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coppo/Downloads/"/>
    </mc:Choice>
  </mc:AlternateContent>
  <xr:revisionPtr revIDLastSave="0" documentId="13_ncr:1_{01719767-5408-974B-A589-F137794DBB40}" xr6:coauthVersionLast="47" xr6:coauthVersionMax="47" xr10:uidLastSave="{00000000-0000-0000-0000-000000000000}"/>
  <bookViews>
    <workbookView xWindow="0" yWindow="500" windowWidth="28800" windowHeight="16140" activeTab="6" xr2:uid="{E4210A50-FF0B-864E-AD9C-E9BC44A87299}"/>
  </bookViews>
  <sheets>
    <sheet name="Situazione attuale" sheetId="1" r:id="rId1"/>
    <sheet name="Modello1" sheetId="2" r:id="rId2"/>
    <sheet name="Worst scenario" sheetId="3" r:id="rId3"/>
    <sheet name="Normal scenario" sheetId="4" r:id="rId4"/>
    <sheet name="Best scenario" sheetId="5" r:id="rId5"/>
    <sheet name="Modello2" sheetId="6" r:id="rId6"/>
    <sheet name="Scenario 1" sheetId="7" r:id="rId7"/>
    <sheet name="Scenario 2" sheetId="8" r:id="rId8"/>
    <sheet name="Scenario 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9" l="1"/>
  <c r="P29" i="9"/>
  <c r="Q29" i="9"/>
  <c r="R29" i="9"/>
  <c r="N29" i="9"/>
  <c r="O28" i="9"/>
  <c r="P28" i="9"/>
  <c r="Q28" i="9"/>
  <c r="R28" i="9"/>
  <c r="N28" i="9"/>
  <c r="R27" i="9"/>
  <c r="Q27" i="9"/>
  <c r="P27" i="9"/>
  <c r="O27" i="9"/>
  <c r="N27" i="9"/>
  <c r="I29" i="9"/>
  <c r="J29" i="9"/>
  <c r="K29" i="9"/>
  <c r="L29" i="9"/>
  <c r="H29" i="9"/>
  <c r="I28" i="9"/>
  <c r="J28" i="9"/>
  <c r="K28" i="9"/>
  <c r="L28" i="9"/>
  <c r="H28" i="9"/>
  <c r="L27" i="9"/>
  <c r="K27" i="9"/>
  <c r="J27" i="9"/>
  <c r="I27" i="9"/>
  <c r="H27" i="9"/>
  <c r="C29" i="9"/>
  <c r="D29" i="9"/>
  <c r="E29" i="9"/>
  <c r="F29" i="9"/>
  <c r="B29" i="9"/>
  <c r="C28" i="9"/>
  <c r="D28" i="9"/>
  <c r="E28" i="9"/>
  <c r="F28" i="9"/>
  <c r="B28" i="9"/>
  <c r="F27" i="9"/>
  <c r="E27" i="9"/>
  <c r="D27" i="9"/>
  <c r="C27" i="9"/>
  <c r="B27" i="9"/>
  <c r="J69" i="9"/>
  <c r="J68" i="9"/>
  <c r="J66" i="9"/>
  <c r="J65" i="9"/>
  <c r="G68" i="9"/>
  <c r="F68" i="9"/>
  <c r="E68" i="9"/>
  <c r="D68" i="9"/>
  <c r="C68" i="9"/>
  <c r="B68" i="9"/>
  <c r="D67" i="9"/>
  <c r="E67" i="9"/>
  <c r="F67" i="9"/>
  <c r="G67" i="9"/>
  <c r="C67" i="9"/>
  <c r="G66" i="9"/>
  <c r="F66" i="9"/>
  <c r="E66" i="9"/>
  <c r="D66" i="9"/>
  <c r="C66" i="9"/>
  <c r="G65" i="9"/>
  <c r="F65" i="9"/>
  <c r="E65" i="9"/>
  <c r="D65" i="9"/>
  <c r="C65" i="9"/>
  <c r="B64" i="9"/>
  <c r="J60" i="9"/>
  <c r="J59" i="9"/>
  <c r="J57" i="9"/>
  <c r="J56" i="9"/>
  <c r="G59" i="9"/>
  <c r="F59" i="9"/>
  <c r="E59" i="9"/>
  <c r="D59" i="9"/>
  <c r="C59" i="9"/>
  <c r="B59" i="9"/>
  <c r="D58" i="9"/>
  <c r="E58" i="9"/>
  <c r="F58" i="9"/>
  <c r="G58" i="9"/>
  <c r="C58" i="9"/>
  <c r="G57" i="9"/>
  <c r="F57" i="9"/>
  <c r="E57" i="9"/>
  <c r="D57" i="9"/>
  <c r="C57" i="9"/>
  <c r="G56" i="9"/>
  <c r="F56" i="9"/>
  <c r="E56" i="9"/>
  <c r="D56" i="9"/>
  <c r="C56" i="9"/>
  <c r="B55" i="9"/>
  <c r="J51" i="9"/>
  <c r="F50" i="9"/>
  <c r="F48" i="9"/>
  <c r="J50" i="9"/>
  <c r="J48" i="9"/>
  <c r="J47" i="9"/>
  <c r="E50" i="9"/>
  <c r="G50" i="9"/>
  <c r="D50" i="9"/>
  <c r="C50" i="9"/>
  <c r="B50" i="9"/>
  <c r="D49" i="9"/>
  <c r="E49" i="9"/>
  <c r="F49" i="9"/>
  <c r="G49" i="9"/>
  <c r="C49" i="9"/>
  <c r="G48" i="9"/>
  <c r="E48" i="9"/>
  <c r="D48" i="9"/>
  <c r="C48" i="9"/>
  <c r="D47" i="9"/>
  <c r="E47" i="9" s="1"/>
  <c r="F47" i="9" s="1"/>
  <c r="G47" i="9" s="1"/>
  <c r="C47" i="9"/>
  <c r="B46" i="9"/>
  <c r="G42" i="9"/>
  <c r="F42" i="9"/>
  <c r="E42" i="9"/>
  <c r="D42" i="9"/>
  <c r="C42" i="9"/>
  <c r="B42" i="9"/>
  <c r="G41" i="9"/>
  <c r="F40" i="9"/>
  <c r="E40" i="9"/>
  <c r="D40" i="9"/>
  <c r="C40" i="9"/>
  <c r="B40" i="9"/>
  <c r="B39" i="9"/>
  <c r="G38" i="9"/>
  <c r="F38" i="9"/>
  <c r="E38" i="9"/>
  <c r="D38" i="9"/>
  <c r="C38" i="9"/>
  <c r="D37" i="9"/>
  <c r="E37" i="9"/>
  <c r="F37" i="9"/>
  <c r="G37" i="9"/>
  <c r="C37" i="9"/>
  <c r="D36" i="9"/>
  <c r="E36" i="9"/>
  <c r="F36" i="9"/>
  <c r="G36" i="9"/>
  <c r="C36" i="9"/>
  <c r="G35" i="9"/>
  <c r="F35" i="9"/>
  <c r="E35" i="9"/>
  <c r="D35" i="9"/>
  <c r="C35" i="9"/>
  <c r="D34" i="9"/>
  <c r="E34" i="9"/>
  <c r="F34" i="9"/>
  <c r="G34" i="9"/>
  <c r="C34" i="9"/>
  <c r="G33" i="9"/>
  <c r="F33" i="9"/>
  <c r="E33" i="9"/>
  <c r="D33" i="9"/>
  <c r="C33" i="9"/>
  <c r="D26" i="9"/>
  <c r="E26" i="9"/>
  <c r="F26" i="9"/>
  <c r="C26" i="9"/>
  <c r="B26" i="9"/>
  <c r="F25" i="9"/>
  <c r="E25" i="9"/>
  <c r="D25" i="9"/>
  <c r="C25" i="9"/>
  <c r="B25" i="9"/>
  <c r="C24" i="9"/>
  <c r="D24" i="9"/>
  <c r="E24" i="9"/>
  <c r="F24" i="9"/>
  <c r="B24" i="9"/>
  <c r="F23" i="9"/>
  <c r="E23" i="9"/>
  <c r="D23" i="9"/>
  <c r="C23" i="9"/>
  <c r="B23" i="9"/>
  <c r="G19" i="9"/>
  <c r="F19" i="9"/>
  <c r="E19" i="9"/>
  <c r="D19" i="9"/>
  <c r="C19" i="9"/>
  <c r="B19" i="9"/>
  <c r="G15" i="9"/>
  <c r="G14" i="9"/>
  <c r="F15" i="9"/>
  <c r="F14" i="9"/>
  <c r="E15" i="9"/>
  <c r="E14" i="9"/>
  <c r="D15" i="9"/>
  <c r="D14" i="9"/>
  <c r="C15" i="9"/>
  <c r="C14" i="9"/>
  <c r="B15" i="9"/>
  <c r="G8" i="9"/>
  <c r="G9" i="9"/>
  <c r="F8" i="9"/>
  <c r="F9" i="9"/>
  <c r="E8" i="9"/>
  <c r="E9" i="9"/>
  <c r="D8" i="9"/>
  <c r="D9" i="9"/>
  <c r="C8" i="9"/>
  <c r="C9" i="9"/>
  <c r="C4" i="9"/>
  <c r="D4" i="9"/>
  <c r="E4" i="9"/>
  <c r="F4" i="9"/>
  <c r="G4" i="9"/>
  <c r="B4" i="9"/>
  <c r="E3" i="9"/>
  <c r="F3" i="9"/>
  <c r="G3" i="9" s="1"/>
  <c r="D3" i="9"/>
  <c r="C3" i="9"/>
  <c r="P29" i="8"/>
  <c r="Q29" i="8"/>
  <c r="R29" i="8"/>
  <c r="S29" i="8"/>
  <c r="O29" i="8"/>
  <c r="P28" i="8"/>
  <c r="Q28" i="8"/>
  <c r="R28" i="8"/>
  <c r="S28" i="8"/>
  <c r="O28" i="8"/>
  <c r="S27" i="8"/>
  <c r="R27" i="8"/>
  <c r="Q27" i="8"/>
  <c r="P27" i="8"/>
  <c r="O27" i="8"/>
  <c r="J29" i="8"/>
  <c r="K29" i="8"/>
  <c r="L29" i="8"/>
  <c r="M29" i="8"/>
  <c r="I29" i="8"/>
  <c r="J28" i="8"/>
  <c r="K28" i="8"/>
  <c r="L28" i="8"/>
  <c r="M28" i="8"/>
  <c r="I28" i="8"/>
  <c r="M27" i="8"/>
  <c r="L27" i="8"/>
  <c r="K27" i="8"/>
  <c r="J27" i="8"/>
  <c r="I27" i="8"/>
  <c r="F29" i="8"/>
  <c r="C29" i="8"/>
  <c r="D29" i="8"/>
  <c r="E29" i="8"/>
  <c r="B29" i="8"/>
  <c r="C28" i="8"/>
  <c r="D28" i="8"/>
  <c r="E28" i="8"/>
  <c r="F28" i="8"/>
  <c r="B28" i="8"/>
  <c r="F27" i="8"/>
  <c r="E27" i="8"/>
  <c r="D27" i="8"/>
  <c r="C27" i="8"/>
  <c r="B27" i="8"/>
  <c r="K68" i="8"/>
  <c r="K67" i="8"/>
  <c r="K63" i="8"/>
  <c r="K65" i="8"/>
  <c r="K64" i="8"/>
  <c r="G69" i="8"/>
  <c r="F69" i="8"/>
  <c r="E69" i="8"/>
  <c r="D69" i="8"/>
  <c r="C69" i="8"/>
  <c r="B69" i="8"/>
  <c r="D68" i="8"/>
  <c r="E68" i="8"/>
  <c r="F68" i="8"/>
  <c r="G68" i="8"/>
  <c r="C68" i="8"/>
  <c r="G67" i="8"/>
  <c r="F67" i="8"/>
  <c r="E67" i="8"/>
  <c r="D67" i="8"/>
  <c r="C67" i="8"/>
  <c r="G66" i="8"/>
  <c r="F66" i="8"/>
  <c r="E66" i="8"/>
  <c r="D66" i="8"/>
  <c r="C66" i="8"/>
  <c r="B65" i="8"/>
  <c r="K60" i="8"/>
  <c r="K59" i="8"/>
  <c r="K54" i="8"/>
  <c r="K57" i="8"/>
  <c r="K56" i="8"/>
  <c r="G60" i="8"/>
  <c r="F60" i="8"/>
  <c r="E60" i="8"/>
  <c r="D60" i="8"/>
  <c r="C60" i="8"/>
  <c r="B60" i="8"/>
  <c r="D59" i="8"/>
  <c r="E59" i="8"/>
  <c r="F59" i="8"/>
  <c r="G59" i="8"/>
  <c r="C59" i="8"/>
  <c r="G58" i="8"/>
  <c r="F58" i="8"/>
  <c r="E58" i="8"/>
  <c r="D58" i="8"/>
  <c r="C58" i="8"/>
  <c r="G57" i="8"/>
  <c r="F57" i="8"/>
  <c r="E57" i="8"/>
  <c r="D57" i="8"/>
  <c r="C57" i="8"/>
  <c r="B56" i="8"/>
  <c r="K51" i="8"/>
  <c r="K50" i="8"/>
  <c r="K44" i="8"/>
  <c r="K48" i="8"/>
  <c r="K47" i="8"/>
  <c r="G50" i="8"/>
  <c r="F50" i="8"/>
  <c r="E50" i="8"/>
  <c r="D50" i="8"/>
  <c r="C50" i="8"/>
  <c r="B50" i="8"/>
  <c r="G49" i="8"/>
  <c r="G48" i="8"/>
  <c r="D49" i="8"/>
  <c r="E49" i="8"/>
  <c r="F49" i="8"/>
  <c r="C49" i="8"/>
  <c r="F48" i="8"/>
  <c r="E48" i="8"/>
  <c r="D48" i="8"/>
  <c r="C48" i="8"/>
  <c r="G47" i="8"/>
  <c r="F47" i="8"/>
  <c r="E47" i="8"/>
  <c r="D47" i="8"/>
  <c r="C47" i="8"/>
  <c r="B46" i="8"/>
  <c r="G42" i="8"/>
  <c r="F42" i="8"/>
  <c r="E42" i="8"/>
  <c r="D42" i="8"/>
  <c r="C42" i="8"/>
  <c r="B42" i="8"/>
  <c r="G41" i="8"/>
  <c r="F40" i="8"/>
  <c r="E40" i="8"/>
  <c r="D40" i="8"/>
  <c r="C40" i="8"/>
  <c r="B40" i="8"/>
  <c r="B39" i="8"/>
  <c r="G38" i="8"/>
  <c r="F38" i="8"/>
  <c r="E38" i="8"/>
  <c r="D38" i="8"/>
  <c r="C38" i="8"/>
  <c r="D37" i="8"/>
  <c r="E37" i="8"/>
  <c r="F37" i="8"/>
  <c r="G37" i="8"/>
  <c r="C37" i="8"/>
  <c r="D36" i="8"/>
  <c r="E36" i="8"/>
  <c r="F36" i="8"/>
  <c r="G36" i="8"/>
  <c r="C36" i="8"/>
  <c r="G35" i="8"/>
  <c r="F35" i="8"/>
  <c r="E35" i="8"/>
  <c r="D35" i="8"/>
  <c r="C35" i="8"/>
  <c r="D34" i="8"/>
  <c r="E34" i="8"/>
  <c r="F34" i="8"/>
  <c r="G34" i="8"/>
  <c r="C34" i="8"/>
  <c r="G33" i="8"/>
  <c r="F33" i="8"/>
  <c r="E33" i="8"/>
  <c r="D33" i="8"/>
  <c r="C33" i="8"/>
  <c r="C26" i="8"/>
  <c r="D26" i="8"/>
  <c r="E26" i="8"/>
  <c r="F26" i="8"/>
  <c r="B26" i="8"/>
  <c r="F25" i="8"/>
  <c r="E25" i="8"/>
  <c r="D25" i="8"/>
  <c r="C25" i="8"/>
  <c r="B25" i="8"/>
  <c r="C24" i="8"/>
  <c r="D24" i="8"/>
  <c r="E24" i="8"/>
  <c r="F24" i="8"/>
  <c r="B24" i="8"/>
  <c r="F23" i="8"/>
  <c r="E23" i="8"/>
  <c r="D23" i="8"/>
  <c r="C23" i="8"/>
  <c r="B23" i="8"/>
  <c r="G19" i="8"/>
  <c r="F19" i="8"/>
  <c r="E19" i="8"/>
  <c r="D19" i="8"/>
  <c r="C19" i="8"/>
  <c r="B19" i="8"/>
  <c r="G15" i="8"/>
  <c r="G14" i="8"/>
  <c r="F15" i="8"/>
  <c r="F14" i="8"/>
  <c r="E15" i="8"/>
  <c r="E14" i="8"/>
  <c r="D15" i="8"/>
  <c r="D14" i="8"/>
  <c r="C15" i="8"/>
  <c r="C14" i="8"/>
  <c r="B15" i="8"/>
  <c r="G8" i="8"/>
  <c r="F8" i="8"/>
  <c r="E8" i="8"/>
  <c r="D8" i="8"/>
  <c r="C8" i="8"/>
  <c r="G9" i="8"/>
  <c r="F9" i="8"/>
  <c r="E9" i="8"/>
  <c r="D9" i="8"/>
  <c r="C9" i="8"/>
  <c r="C4" i="8"/>
  <c r="D4" i="8"/>
  <c r="E4" i="8"/>
  <c r="F4" i="8"/>
  <c r="G4" i="8"/>
  <c r="B4" i="8"/>
  <c r="E3" i="8"/>
  <c r="F3" i="8" s="1"/>
  <c r="G3" i="8" s="1"/>
  <c r="D3" i="8"/>
  <c r="C3" i="8"/>
  <c r="P30" i="7"/>
  <c r="Q30" i="7"/>
  <c r="R30" i="7"/>
  <c r="S30" i="7"/>
  <c r="O30" i="7"/>
  <c r="P29" i="7"/>
  <c r="Q29" i="7"/>
  <c r="R29" i="7"/>
  <c r="S29" i="7"/>
  <c r="O29" i="7"/>
  <c r="S28" i="7"/>
  <c r="Q28" i="7"/>
  <c r="R28" i="7"/>
  <c r="P28" i="7"/>
  <c r="O28" i="7"/>
  <c r="J30" i="7"/>
  <c r="K30" i="7"/>
  <c r="L30" i="7"/>
  <c r="M30" i="7"/>
  <c r="I30" i="7"/>
  <c r="C29" i="7"/>
  <c r="D29" i="7"/>
  <c r="D30" i="7" s="1"/>
  <c r="E29" i="7"/>
  <c r="E30" i="7" s="1"/>
  <c r="F29" i="7"/>
  <c r="F30" i="7" s="1"/>
  <c r="B29" i="7"/>
  <c r="J29" i="7"/>
  <c r="K29" i="7"/>
  <c r="L29" i="7"/>
  <c r="M29" i="7"/>
  <c r="I29" i="7"/>
  <c r="M28" i="7"/>
  <c r="L28" i="7"/>
  <c r="K28" i="7"/>
  <c r="J28" i="7"/>
  <c r="I28" i="7"/>
  <c r="C30" i="7"/>
  <c r="B30" i="7"/>
  <c r="F28" i="7"/>
  <c r="E28" i="7"/>
  <c r="D28" i="7"/>
  <c r="C28" i="7"/>
  <c r="B28" i="7"/>
  <c r="J81" i="7"/>
  <c r="J80" i="7"/>
  <c r="J73" i="7"/>
  <c r="J77" i="7"/>
  <c r="J75" i="7"/>
  <c r="J74" i="7"/>
  <c r="G76" i="7"/>
  <c r="F76" i="7"/>
  <c r="E76" i="7"/>
  <c r="D76" i="7"/>
  <c r="C76" i="7"/>
  <c r="B76" i="7"/>
  <c r="D75" i="7"/>
  <c r="E75" i="7"/>
  <c r="F75" i="7"/>
  <c r="G75" i="7"/>
  <c r="C75" i="7"/>
  <c r="G74" i="7"/>
  <c r="F74" i="7"/>
  <c r="E74" i="7"/>
  <c r="D74" i="7"/>
  <c r="C74" i="7"/>
  <c r="G73" i="7"/>
  <c r="F73" i="7"/>
  <c r="E73" i="7"/>
  <c r="D73" i="7"/>
  <c r="C73" i="7"/>
  <c r="B72" i="7"/>
  <c r="J68" i="7"/>
  <c r="J67" i="7"/>
  <c r="J62" i="7"/>
  <c r="J64" i="7"/>
  <c r="J63" i="7"/>
  <c r="G65" i="7"/>
  <c r="F65" i="7"/>
  <c r="E65" i="7"/>
  <c r="D65" i="7"/>
  <c r="C65" i="7"/>
  <c r="B65" i="7"/>
  <c r="D64" i="7"/>
  <c r="E64" i="7"/>
  <c r="F64" i="7"/>
  <c r="G64" i="7"/>
  <c r="C64" i="7"/>
  <c r="G63" i="7"/>
  <c r="F63" i="7"/>
  <c r="E63" i="7"/>
  <c r="D63" i="7"/>
  <c r="C63" i="7"/>
  <c r="G62" i="7"/>
  <c r="F62" i="7"/>
  <c r="E62" i="7"/>
  <c r="D62" i="7"/>
  <c r="C62" i="7"/>
  <c r="B61" i="7"/>
  <c r="J58" i="7"/>
  <c r="J57" i="7"/>
  <c r="J48" i="7"/>
  <c r="J54" i="7"/>
  <c r="J52" i="7"/>
  <c r="J51" i="7"/>
  <c r="G51" i="7"/>
  <c r="F51" i="7"/>
  <c r="E51" i="7"/>
  <c r="D51" i="7"/>
  <c r="C51" i="7"/>
  <c r="B51" i="7"/>
  <c r="D50" i="7"/>
  <c r="E50" i="7"/>
  <c r="F50" i="7"/>
  <c r="G50" i="7"/>
  <c r="C50" i="7"/>
  <c r="G49" i="7"/>
  <c r="F49" i="7"/>
  <c r="E49" i="7"/>
  <c r="D49" i="7"/>
  <c r="C49" i="7"/>
  <c r="G48" i="7"/>
  <c r="F48" i="7"/>
  <c r="E48" i="7"/>
  <c r="D48" i="7"/>
  <c r="C48" i="7"/>
  <c r="B47" i="7"/>
  <c r="G43" i="7"/>
  <c r="F43" i="7"/>
  <c r="E43" i="7"/>
  <c r="D43" i="7"/>
  <c r="C43" i="7"/>
  <c r="B43" i="7"/>
  <c r="G42" i="7"/>
  <c r="F41" i="7"/>
  <c r="E41" i="7"/>
  <c r="D41" i="7"/>
  <c r="C41" i="7"/>
  <c r="B41" i="7"/>
  <c r="B40" i="7"/>
  <c r="G39" i="7"/>
  <c r="F39" i="7"/>
  <c r="E39" i="7"/>
  <c r="D39" i="7"/>
  <c r="C39" i="7"/>
  <c r="D38" i="7"/>
  <c r="E38" i="7"/>
  <c r="F38" i="7"/>
  <c r="G38" i="7"/>
  <c r="C38" i="7"/>
  <c r="D37" i="7"/>
  <c r="E37" i="7"/>
  <c r="F37" i="7"/>
  <c r="G37" i="7"/>
  <c r="C37" i="7"/>
  <c r="G36" i="7"/>
  <c r="F36" i="7"/>
  <c r="E36" i="7"/>
  <c r="D36" i="7"/>
  <c r="C36" i="7"/>
  <c r="G35" i="7"/>
  <c r="F35" i="7"/>
  <c r="E35" i="7"/>
  <c r="D35" i="7"/>
  <c r="C35" i="7"/>
  <c r="G34" i="7"/>
  <c r="F34" i="7"/>
  <c r="E34" i="7"/>
  <c r="D34" i="7"/>
  <c r="C34" i="7"/>
  <c r="B16" i="7"/>
  <c r="G10" i="7"/>
  <c r="F10" i="7"/>
  <c r="E10" i="7"/>
  <c r="D10" i="7"/>
  <c r="C10" i="7"/>
  <c r="G4" i="7"/>
  <c r="C3" i="7"/>
  <c r="B4" i="7" s="1"/>
  <c r="D22" i="6"/>
  <c r="C22" i="6"/>
  <c r="D11" i="6"/>
  <c r="D12" i="6" s="1"/>
  <c r="C12" i="6"/>
  <c r="D3" i="6"/>
  <c r="C3" i="6"/>
  <c r="J15" i="5"/>
  <c r="K15" i="5"/>
  <c r="L15" i="5"/>
  <c r="M15" i="5"/>
  <c r="I15" i="5"/>
  <c r="J14" i="5"/>
  <c r="K14" i="5"/>
  <c r="L14" i="5"/>
  <c r="M14" i="5"/>
  <c r="I14" i="5"/>
  <c r="C15" i="5"/>
  <c r="D15" i="5"/>
  <c r="E15" i="5"/>
  <c r="F15" i="5"/>
  <c r="B15" i="5"/>
  <c r="C14" i="5"/>
  <c r="D14" i="5"/>
  <c r="E14" i="5"/>
  <c r="F14" i="5"/>
  <c r="B14" i="5"/>
  <c r="K40" i="5"/>
  <c r="K39" i="5"/>
  <c r="G32" i="5"/>
  <c r="F32" i="5"/>
  <c r="E32" i="5"/>
  <c r="D32" i="5"/>
  <c r="C32" i="5"/>
  <c r="G39" i="5"/>
  <c r="F39" i="5"/>
  <c r="E39" i="5"/>
  <c r="D39" i="5"/>
  <c r="C39" i="5"/>
  <c r="B39" i="5"/>
  <c r="D38" i="5"/>
  <c r="E38" i="5"/>
  <c r="F38" i="5"/>
  <c r="G38" i="5"/>
  <c r="C38" i="5"/>
  <c r="G37" i="5"/>
  <c r="F37" i="5"/>
  <c r="E37" i="5"/>
  <c r="D37" i="5"/>
  <c r="G36" i="5"/>
  <c r="F36" i="5"/>
  <c r="E36" i="5"/>
  <c r="D36" i="5"/>
  <c r="C36" i="5"/>
  <c r="C37" i="5"/>
  <c r="B35" i="5"/>
  <c r="K30" i="5"/>
  <c r="B32" i="5"/>
  <c r="D31" i="5"/>
  <c r="E31" i="5"/>
  <c r="F31" i="5"/>
  <c r="G31" i="5"/>
  <c r="C31" i="5"/>
  <c r="G30" i="5"/>
  <c r="F30" i="5"/>
  <c r="E30" i="5"/>
  <c r="D30" i="5"/>
  <c r="C30" i="5"/>
  <c r="G29" i="5"/>
  <c r="F29" i="5"/>
  <c r="E29" i="5"/>
  <c r="D29" i="5"/>
  <c r="C29" i="5"/>
  <c r="B28" i="5"/>
  <c r="D26" i="5"/>
  <c r="E26" i="5"/>
  <c r="F26" i="5"/>
  <c r="G26" i="5"/>
  <c r="C26" i="5"/>
  <c r="B26" i="5"/>
  <c r="G25" i="5"/>
  <c r="F24" i="5"/>
  <c r="E24" i="5"/>
  <c r="D24" i="5"/>
  <c r="C24" i="5"/>
  <c r="G21" i="5"/>
  <c r="D21" i="5"/>
  <c r="E21" i="5"/>
  <c r="F21" i="5"/>
  <c r="C21" i="5"/>
  <c r="C12" i="5"/>
  <c r="D12" i="5"/>
  <c r="E12" i="5"/>
  <c r="F12" i="5"/>
  <c r="B12" i="5"/>
  <c r="C10" i="5"/>
  <c r="D10" i="5"/>
  <c r="E10" i="5"/>
  <c r="F10" i="5"/>
  <c r="B10" i="5"/>
  <c r="F9" i="5"/>
  <c r="E9" i="5"/>
  <c r="D9" i="5"/>
  <c r="C9" i="5"/>
  <c r="C4" i="5"/>
  <c r="D4" i="5"/>
  <c r="E4" i="5"/>
  <c r="F4" i="5"/>
  <c r="G4" i="5"/>
  <c r="B4" i="5"/>
  <c r="E3" i="5"/>
  <c r="F3" i="5" s="1"/>
  <c r="G3" i="5" s="1"/>
  <c r="D3" i="5"/>
  <c r="J15" i="4"/>
  <c r="K15" i="4"/>
  <c r="L15" i="4"/>
  <c r="M15" i="4"/>
  <c r="I15" i="4"/>
  <c r="J14" i="4"/>
  <c r="K14" i="4"/>
  <c r="L14" i="4"/>
  <c r="M14" i="4"/>
  <c r="I14" i="4"/>
  <c r="C15" i="4"/>
  <c r="D15" i="4"/>
  <c r="E15" i="4"/>
  <c r="F15" i="4"/>
  <c r="B15" i="4"/>
  <c r="C14" i="4"/>
  <c r="D14" i="4"/>
  <c r="E14" i="4"/>
  <c r="F14" i="4"/>
  <c r="B14" i="4"/>
  <c r="F10" i="4"/>
  <c r="E10" i="4"/>
  <c r="E12" i="4" s="1"/>
  <c r="D10" i="4"/>
  <c r="C10" i="4"/>
  <c r="C12" i="4" s="1"/>
  <c r="D23" i="4" s="1"/>
  <c r="D28" i="4" s="1"/>
  <c r="B10" i="4"/>
  <c r="G23" i="3"/>
  <c r="F23" i="3"/>
  <c r="E23" i="3"/>
  <c r="D23" i="3"/>
  <c r="C23" i="3"/>
  <c r="F10" i="3"/>
  <c r="F12" i="3" s="1"/>
  <c r="E10" i="3"/>
  <c r="E12" i="3" s="1"/>
  <c r="D10" i="3"/>
  <c r="C10" i="3"/>
  <c r="C12" i="3" s="1"/>
  <c r="B10" i="3"/>
  <c r="J48" i="4"/>
  <c r="J46" i="4"/>
  <c r="J45" i="4"/>
  <c r="J41" i="4"/>
  <c r="E44" i="4"/>
  <c r="B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B40" i="4"/>
  <c r="F12" i="4"/>
  <c r="F18" i="4" s="1"/>
  <c r="B12" i="4"/>
  <c r="B34" i="4"/>
  <c r="D33" i="4"/>
  <c r="E33" i="4"/>
  <c r="F33" i="4"/>
  <c r="G33" i="4"/>
  <c r="C33" i="4"/>
  <c r="G32" i="4"/>
  <c r="F32" i="4"/>
  <c r="E32" i="4"/>
  <c r="D32" i="4"/>
  <c r="C32" i="4"/>
  <c r="G31" i="4"/>
  <c r="F31" i="4"/>
  <c r="E31" i="4"/>
  <c r="D31" i="4"/>
  <c r="C31" i="4"/>
  <c r="B30" i="4"/>
  <c r="G27" i="4"/>
  <c r="F26" i="4"/>
  <c r="E26" i="4"/>
  <c r="D26" i="4"/>
  <c r="C26" i="4"/>
  <c r="G24" i="4"/>
  <c r="F24" i="4"/>
  <c r="E24" i="4"/>
  <c r="D24" i="4"/>
  <c r="C24" i="4"/>
  <c r="B28" i="4"/>
  <c r="D12" i="4"/>
  <c r="E23" i="4" s="1"/>
  <c r="E28" i="4" s="1"/>
  <c r="E34" i="4" s="1"/>
  <c r="F9" i="4"/>
  <c r="E9" i="4"/>
  <c r="D9" i="4"/>
  <c r="C9" i="4"/>
  <c r="G4" i="3"/>
  <c r="D4" i="3"/>
  <c r="B4" i="3"/>
  <c r="F3" i="3"/>
  <c r="E4" i="3" s="1"/>
  <c r="E3" i="3"/>
  <c r="D3" i="3"/>
  <c r="C4" i="3" s="1"/>
  <c r="D3" i="4"/>
  <c r="E3" i="4" s="1"/>
  <c r="B4" i="4"/>
  <c r="C4" i="4"/>
  <c r="G4" i="4"/>
  <c r="I14" i="3"/>
  <c r="I15" i="3" s="1"/>
  <c r="J48" i="3"/>
  <c r="K49" i="3"/>
  <c r="J49" i="3"/>
  <c r="J51" i="3"/>
  <c r="J50" i="3"/>
  <c r="B48" i="3"/>
  <c r="D47" i="3"/>
  <c r="E47" i="3"/>
  <c r="F47" i="3"/>
  <c r="G47" i="3"/>
  <c r="C47" i="3"/>
  <c r="G46" i="3"/>
  <c r="F46" i="3"/>
  <c r="E46" i="3"/>
  <c r="D46" i="3"/>
  <c r="C46" i="3"/>
  <c r="G45" i="3"/>
  <c r="F45" i="3"/>
  <c r="E45" i="3"/>
  <c r="D45" i="3"/>
  <c r="C45" i="3"/>
  <c r="B44" i="3"/>
  <c r="K34" i="3"/>
  <c r="J34" i="3"/>
  <c r="J39" i="3"/>
  <c r="B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D24" i="2"/>
  <c r="B30" i="3"/>
  <c r="B28" i="3"/>
  <c r="C26" i="3"/>
  <c r="B17" i="3"/>
  <c r="C29" i="2"/>
  <c r="B12" i="3"/>
  <c r="B14" i="3" s="1"/>
  <c r="B15" i="3" s="1"/>
  <c r="D12" i="3"/>
  <c r="K14" i="3" s="1"/>
  <c r="K15" i="3" s="1"/>
  <c r="G25" i="1"/>
  <c r="B16" i="1"/>
  <c r="F9" i="3"/>
  <c r="E9" i="3"/>
  <c r="D9" i="3"/>
  <c r="C9" i="3"/>
  <c r="G22" i="1"/>
  <c r="G21" i="1"/>
  <c r="G20" i="1"/>
  <c r="G19" i="1"/>
  <c r="G18" i="1"/>
  <c r="G17" i="1"/>
  <c r="G16" i="1"/>
  <c r="G15" i="1"/>
  <c r="B14" i="1"/>
  <c r="B13" i="1"/>
  <c r="B12" i="1"/>
  <c r="B11" i="1"/>
  <c r="B19" i="1" s="1"/>
  <c r="B20" i="7" l="1"/>
  <c r="B24" i="7"/>
  <c r="D9" i="7"/>
  <c r="D3" i="7"/>
  <c r="C4" i="7" s="1"/>
  <c r="G9" i="7"/>
  <c r="C9" i="7"/>
  <c r="C15" i="7"/>
  <c r="B26" i="7" s="1"/>
  <c r="E9" i="7"/>
  <c r="F9" i="7"/>
  <c r="K31" i="5"/>
  <c r="D34" i="4"/>
  <c r="D44" i="4"/>
  <c r="F17" i="3"/>
  <c r="F14" i="3"/>
  <c r="F15" i="3" s="1"/>
  <c r="M14" i="3"/>
  <c r="M15" i="3" s="1"/>
  <c r="E14" i="3"/>
  <c r="E15" i="3" s="1"/>
  <c r="L14" i="3"/>
  <c r="L15" i="3" s="1"/>
  <c r="E17" i="3"/>
  <c r="D14" i="3"/>
  <c r="D15" i="3" s="1"/>
  <c r="D17" i="3"/>
  <c r="C17" i="3"/>
  <c r="J14" i="3"/>
  <c r="J15" i="3" s="1"/>
  <c r="C14" i="3"/>
  <c r="C15" i="3" s="1"/>
  <c r="G23" i="4"/>
  <c r="G28" i="4" s="1"/>
  <c r="E18" i="4"/>
  <c r="F23" i="4"/>
  <c r="F28" i="4" s="1"/>
  <c r="D18" i="4"/>
  <c r="C18" i="4"/>
  <c r="B18" i="4"/>
  <c r="C23" i="4"/>
  <c r="C28" i="4" s="1"/>
  <c r="G3" i="3"/>
  <c r="F4" i="3" s="1"/>
  <c r="D26" i="3"/>
  <c r="D28" i="3" s="1"/>
  <c r="F3" i="4"/>
  <c r="D4" i="4"/>
  <c r="C28" i="3"/>
  <c r="B18" i="1"/>
  <c r="E3" i="7" l="1"/>
  <c r="C24" i="7"/>
  <c r="B25" i="7"/>
  <c r="B27" i="7" s="1"/>
  <c r="C16" i="7"/>
  <c r="D15" i="7" s="1"/>
  <c r="G34" i="4"/>
  <c r="G44" i="4"/>
  <c r="F34" i="4"/>
  <c r="F44" i="4"/>
  <c r="J50" i="4"/>
  <c r="C44" i="4"/>
  <c r="J51" i="4" s="1"/>
  <c r="J35" i="4"/>
  <c r="C34" i="4"/>
  <c r="J36" i="4" s="1"/>
  <c r="G3" i="4"/>
  <c r="F4" i="4" s="1"/>
  <c r="E4" i="4"/>
  <c r="F26" i="3" s="1"/>
  <c r="F28" i="3" s="1"/>
  <c r="D34" i="3"/>
  <c r="D48" i="3"/>
  <c r="C48" i="3"/>
  <c r="C34" i="3"/>
  <c r="C20" i="7" l="1"/>
  <c r="C25" i="7"/>
  <c r="D16" i="7"/>
  <c r="C26" i="7"/>
  <c r="C27" i="7" s="1"/>
  <c r="D24" i="7"/>
  <c r="D4" i="7"/>
  <c r="F3" i="7"/>
  <c r="F34" i="3"/>
  <c r="F48" i="3"/>
  <c r="E26" i="3"/>
  <c r="E24" i="7" l="1"/>
  <c r="E4" i="7"/>
  <c r="G3" i="7"/>
  <c r="D20" i="7"/>
  <c r="E15" i="7"/>
  <c r="D25" i="7"/>
  <c r="E28" i="3"/>
  <c r="G27" i="3"/>
  <c r="G28" i="3" s="1"/>
  <c r="F4" i="7" l="1"/>
  <c r="F24" i="7"/>
  <c r="E16" i="7"/>
  <c r="D26" i="7"/>
  <c r="D27" i="7" s="1"/>
  <c r="E25" i="7"/>
  <c r="E34" i="3"/>
  <c r="E48" i="3"/>
  <c r="J53" i="3"/>
  <c r="J41" i="3"/>
  <c r="G48" i="3"/>
  <c r="G34" i="3"/>
  <c r="E20" i="7" l="1"/>
  <c r="F15" i="7"/>
  <c r="F25" i="7"/>
  <c r="J54" i="3"/>
  <c r="J42" i="3"/>
  <c r="F16" i="7" l="1"/>
  <c r="E26" i="7"/>
  <c r="E27" i="7" s="1"/>
  <c r="F20" i="7" l="1"/>
  <c r="G15" i="7"/>
  <c r="G16" i="7" l="1"/>
  <c r="G20" i="7" s="1"/>
  <c r="F26" i="7"/>
  <c r="F27" i="7" s="1"/>
</calcChain>
</file>

<file path=xl/sharedStrings.xml><?xml version="1.0" encoding="utf-8"?>
<sst xmlns="http://schemas.openxmlformats.org/spreadsheetml/2006/main" count="765" uniqueCount="232">
  <si>
    <t>Situazione Attuale</t>
  </si>
  <si>
    <t xml:space="preserve">Conto Economico </t>
  </si>
  <si>
    <t>Ipotesi</t>
  </si>
  <si>
    <t>Coltivazione Spirulina</t>
  </si>
  <si>
    <t>produttività</t>
  </si>
  <si>
    <t>0.8 g/l d</t>
  </si>
  <si>
    <t>impianto</t>
  </si>
  <si>
    <t>3.63 m3</t>
  </si>
  <si>
    <t>Produttività mese:67kg</t>
  </si>
  <si>
    <t>prezzo mercato</t>
  </si>
  <si>
    <t>Spirulina only</t>
  </si>
  <si>
    <t>50-100</t>
  </si>
  <si>
    <t>Anno 2022</t>
  </si>
  <si>
    <t>Ricavi</t>
  </si>
  <si>
    <t>Costi:</t>
  </si>
  <si>
    <t>Sali</t>
  </si>
  <si>
    <t>Chimici pulizia</t>
  </si>
  <si>
    <t>Acqua per analisi</t>
  </si>
  <si>
    <t>Dispendio acqua</t>
  </si>
  <si>
    <t>Elettricità</t>
  </si>
  <si>
    <t>Pulizia impianto</t>
  </si>
  <si>
    <t>Consumabili</t>
  </si>
  <si>
    <t>CO2 da bombole</t>
  </si>
  <si>
    <t>Gestione impianto</t>
  </si>
  <si>
    <t>Ricavo annuo:</t>
  </si>
  <si>
    <t>CO2 da bombola</t>
  </si>
  <si>
    <t>CO2 da impianto</t>
  </si>
  <si>
    <t>Ipotesi in cui aumenta la produttività</t>
  </si>
  <si>
    <t xml:space="preserve">Ipotesi con la ficocianina </t>
  </si>
  <si>
    <t xml:space="preserve">stima costi di estrazione </t>
  </si>
  <si>
    <t>ipotesi sulla percentuale di ficocianina in relazione al peso secco e sulla percentuale di recupero</t>
  </si>
  <si>
    <t>Costi fissi:</t>
  </si>
  <si>
    <t>pulizia impianto</t>
  </si>
  <si>
    <t>manutenzione impianto</t>
  </si>
  <si>
    <t>ammortamenti</t>
  </si>
  <si>
    <t>costi di estrazione(strumentazione,equipaggiamento)</t>
  </si>
  <si>
    <t>acqua per analisi</t>
  </si>
  <si>
    <t>Costi variabili:</t>
  </si>
  <si>
    <t>costo del lavoro</t>
  </si>
  <si>
    <t>costo materiale algale</t>
  </si>
  <si>
    <t>CO2(eventualmente)</t>
  </si>
  <si>
    <t>R&amp;D</t>
  </si>
  <si>
    <t>Oneri finanziari</t>
  </si>
  <si>
    <t>Nutrienti</t>
  </si>
  <si>
    <t>Incidenza costi sui ricavi:</t>
  </si>
  <si>
    <t>Chmici pulizia</t>
  </si>
  <si>
    <t>dispendio acqua</t>
  </si>
  <si>
    <t>elettricità</t>
  </si>
  <si>
    <t>pulizia</t>
  </si>
  <si>
    <t>consumabili</t>
  </si>
  <si>
    <t>co2 da bombole</t>
  </si>
  <si>
    <t>Lavoro</t>
  </si>
  <si>
    <t>Attualmente</t>
  </si>
  <si>
    <t>inclusi nel Capex</t>
  </si>
  <si>
    <t>Impianto</t>
  </si>
  <si>
    <t>opera in semi continuo</t>
  </si>
  <si>
    <t>12 h/d</t>
  </si>
  <si>
    <t>365d/y</t>
  </si>
  <si>
    <t xml:space="preserve">Biomassa algale </t>
  </si>
  <si>
    <t>Worst scenario</t>
  </si>
  <si>
    <t>% Ficocianina sul peso secco</t>
  </si>
  <si>
    <t>Normal scenario</t>
  </si>
  <si>
    <t>grandezza</t>
  </si>
  <si>
    <t>1600m2</t>
  </si>
  <si>
    <t>Ficocianina prodotta(kg)</t>
  </si>
  <si>
    <t>600kg</t>
  </si>
  <si>
    <t>Best scenario</t>
  </si>
  <si>
    <t>Scenari ipotetici</t>
  </si>
  <si>
    <t>% recupero della ficocianina</t>
  </si>
  <si>
    <t>(target)</t>
  </si>
  <si>
    <t>9950,25 kg</t>
  </si>
  <si>
    <t>7272,72kg</t>
  </si>
  <si>
    <t>4166,67kg</t>
  </si>
  <si>
    <t>tasso di crescita 3.5% annuo</t>
  </si>
  <si>
    <t>Tasse</t>
  </si>
  <si>
    <t>Kd(dati da riportare)</t>
  </si>
  <si>
    <t>Kel(dati da riportare)</t>
  </si>
  <si>
    <t>Costi fissi(% attuale)</t>
  </si>
  <si>
    <t>Costi variabili(variano in relazione alla quantità prodotta)</t>
  </si>
  <si>
    <t>Ammortamento</t>
  </si>
  <si>
    <t>Capitale circolante commerciale</t>
  </si>
  <si>
    <t>5% dei ricavi dell'anno successivo</t>
  </si>
  <si>
    <t>Investimento Iniziale</t>
  </si>
  <si>
    <t>i dati vengono riportati in dollari</t>
  </si>
  <si>
    <t>Ricavi in t1</t>
  </si>
  <si>
    <t>crescono 3.5% YoY</t>
  </si>
  <si>
    <t>(in letteratura si trova la stima)</t>
  </si>
  <si>
    <t xml:space="preserve">entrambi calcolati come percentuale dei ricavi </t>
  </si>
  <si>
    <t>Prezzo</t>
  </si>
  <si>
    <t>Analisi di sensitività</t>
  </si>
  <si>
    <t>Indebitamento</t>
  </si>
  <si>
    <t>D/E=50%</t>
  </si>
  <si>
    <t>Costi manutenzione</t>
  </si>
  <si>
    <t>Tabella 1</t>
  </si>
  <si>
    <t>Ricavi operativi</t>
  </si>
  <si>
    <t>CCC</t>
  </si>
  <si>
    <t>T0</t>
  </si>
  <si>
    <t>T1</t>
  </si>
  <si>
    <t>T2</t>
  </si>
  <si>
    <t>T3</t>
  </si>
  <si>
    <t>T4</t>
  </si>
  <si>
    <t>T5</t>
  </si>
  <si>
    <t>Tabella 2</t>
  </si>
  <si>
    <t>Margini operativi</t>
  </si>
  <si>
    <t>Costi operativi</t>
  </si>
  <si>
    <t>EBIT</t>
  </si>
  <si>
    <t>EBIT(1-t)</t>
  </si>
  <si>
    <t>Incidenza totale</t>
  </si>
  <si>
    <t>Incidenza totale costi</t>
  </si>
  <si>
    <t>calcolato prima</t>
  </si>
  <si>
    <t>vita economica utile:10 anni</t>
  </si>
  <si>
    <t>riusciamo a stimare solo i primi 5 anni</t>
  </si>
  <si>
    <t>Utile ante imposte</t>
  </si>
  <si>
    <t>Utile netto</t>
  </si>
  <si>
    <t>necessario per il calcolo dei flussi di cassa</t>
  </si>
  <si>
    <t>Tabella 3</t>
  </si>
  <si>
    <t>Cash flows</t>
  </si>
  <si>
    <t>Ebit(1-t)</t>
  </si>
  <si>
    <t>Ammortamenti</t>
  </si>
  <si>
    <t>Capex</t>
  </si>
  <si>
    <t>Variazione CCC</t>
  </si>
  <si>
    <t>Salvage value</t>
  </si>
  <si>
    <t>FCO</t>
  </si>
  <si>
    <t>i=1,08%</t>
  </si>
  <si>
    <t>BTP a 10 anni</t>
  </si>
  <si>
    <t>RF=2,48%</t>
  </si>
  <si>
    <t>Ipotesi finanziamento al 50%</t>
  </si>
  <si>
    <t>Finanziamento</t>
  </si>
  <si>
    <t>Quote capitali</t>
  </si>
  <si>
    <t>QC costanti</t>
  </si>
  <si>
    <t>Scudo fiscale</t>
  </si>
  <si>
    <t>FCFE</t>
  </si>
  <si>
    <t>OF</t>
  </si>
  <si>
    <t>sul debito residuo</t>
  </si>
  <si>
    <t>tasso d'int.</t>
  </si>
  <si>
    <t>Kd(1-t)</t>
  </si>
  <si>
    <t>mutuo quinquiennale</t>
  </si>
  <si>
    <t>WACC</t>
  </si>
  <si>
    <t>Kel</t>
  </si>
  <si>
    <t>Kd</t>
  </si>
  <si>
    <t>Coeff.di ponderazione</t>
  </si>
  <si>
    <t>VAN per gli investitori</t>
  </si>
  <si>
    <t>VAN per gli azionisti</t>
  </si>
  <si>
    <t>Ipotesi finanziamento al 65%</t>
  </si>
  <si>
    <t>Coeff. di ponderazione</t>
  </si>
  <si>
    <t>Valore Equity</t>
  </si>
  <si>
    <t>Valore Debito</t>
  </si>
  <si>
    <t>Fin.al 50%</t>
  </si>
  <si>
    <t>Fin.al 65%</t>
  </si>
  <si>
    <t>Ipotesi fin. Al 50%</t>
  </si>
  <si>
    <t>(come prima)</t>
  </si>
  <si>
    <t>vanno riviste le stime</t>
  </si>
  <si>
    <t>Ipotesi fin. Al 70%</t>
  </si>
  <si>
    <t>mutuo a 5 anni</t>
  </si>
  <si>
    <t>Coeff. di ripartizione</t>
  </si>
  <si>
    <t>E</t>
  </si>
  <si>
    <t>Acqua</t>
  </si>
  <si>
    <t>Fin. al 50%</t>
  </si>
  <si>
    <t>Fin. al 70%</t>
  </si>
  <si>
    <t>Payback period</t>
  </si>
  <si>
    <t>IRR</t>
  </si>
  <si>
    <t xml:space="preserve">Ricavi </t>
  </si>
  <si>
    <t>Utile d'esercizio</t>
  </si>
  <si>
    <t>Cash Flow</t>
  </si>
  <si>
    <t>Fin. Al 50%</t>
  </si>
  <si>
    <t>Fin.al 70%</t>
  </si>
  <si>
    <t>Ipotesi fin.al 50%</t>
  </si>
  <si>
    <t>mutuo  5 anni</t>
  </si>
  <si>
    <t>Coeff. Di pon.</t>
  </si>
  <si>
    <t>Ipotesi fin.al 70%</t>
  </si>
  <si>
    <t>come prima</t>
  </si>
  <si>
    <t>Ipotesi: modello 1</t>
  </si>
  <si>
    <t>Ipotesi: modello 2</t>
  </si>
  <si>
    <t>Grandezza impianto</t>
  </si>
  <si>
    <t>3200m2</t>
  </si>
  <si>
    <t>vita eco utile</t>
  </si>
  <si>
    <t>10 anni</t>
  </si>
  <si>
    <t>i 3 diversi scenari</t>
  </si>
  <si>
    <t>%Ficocianina sul peso secco</t>
  </si>
  <si>
    <t>Scenario 1</t>
  </si>
  <si>
    <t>Scenario 2</t>
  </si>
  <si>
    <t>Scenario 3</t>
  </si>
  <si>
    <t>%recupero della ficocianina</t>
  </si>
  <si>
    <t>Biomassa Algale(kg)</t>
  </si>
  <si>
    <t>6400m2</t>
  </si>
  <si>
    <t>cresce</t>
  </si>
  <si>
    <t>g=3.5%</t>
  </si>
  <si>
    <t>Incidenza Costi operativi</t>
  </si>
  <si>
    <t>Analisi di sensività</t>
  </si>
  <si>
    <t>RF</t>
  </si>
  <si>
    <t>BTP</t>
  </si>
  <si>
    <t>Investimento in R&amp;D(pre-progetto)</t>
  </si>
  <si>
    <t>stimare i primi 5 anni</t>
  </si>
  <si>
    <t>3.5% YoY</t>
  </si>
  <si>
    <t>Pre-Project Investment</t>
  </si>
  <si>
    <t>PPI</t>
  </si>
  <si>
    <t>_</t>
  </si>
  <si>
    <t>Book Value</t>
  </si>
  <si>
    <t>del book value alla fine dell'anno precedente</t>
  </si>
  <si>
    <t>Tabella 4</t>
  </si>
  <si>
    <t>Capital Employed</t>
  </si>
  <si>
    <t>CE</t>
  </si>
  <si>
    <t>(PPI+BV+CCC)</t>
  </si>
  <si>
    <t>Tabella 5</t>
  </si>
  <si>
    <t>Tabella 6</t>
  </si>
  <si>
    <t>Salvage Value</t>
  </si>
  <si>
    <t>Ebit</t>
  </si>
  <si>
    <t>Quota capitale</t>
  </si>
  <si>
    <t>mutuo quinquiennali QC costanti, i=1,08%</t>
  </si>
  <si>
    <t>Coeff.</t>
  </si>
  <si>
    <t>Equity</t>
  </si>
  <si>
    <t>Debito</t>
  </si>
  <si>
    <t>stesse condizioni</t>
  </si>
  <si>
    <t>QC</t>
  </si>
  <si>
    <t>SF</t>
  </si>
  <si>
    <t>Ind.40%</t>
  </si>
  <si>
    <t>Ind.50%</t>
  </si>
  <si>
    <t>Ind.70%</t>
  </si>
  <si>
    <t>Pre-project investment</t>
  </si>
  <si>
    <t>Ind. 40%</t>
  </si>
  <si>
    <t>Ind. 50%</t>
  </si>
  <si>
    <t>Amm.</t>
  </si>
  <si>
    <t>Indebitamento 40%</t>
  </si>
  <si>
    <t>VAN Inv.</t>
  </si>
  <si>
    <t>VAN azionisti</t>
  </si>
  <si>
    <t>Indebitamento 50%</t>
  </si>
  <si>
    <t>Valore Eq.</t>
  </si>
  <si>
    <t>Indebitamento 70%</t>
  </si>
  <si>
    <t>Capital Employed(PPI+BV+CCC)</t>
  </si>
  <si>
    <t>condizioni di prima</t>
  </si>
  <si>
    <t>coeff.</t>
  </si>
  <si>
    <t>stesse condizioni di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</si>
</sst>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8" fontId="0" fillId="0" borderId="0" xfId="0" applyNumberFormat="1"/>
    <xf numFmtId="8" fontId="2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applyNumberFormat="1"/>
    <xf numFmtId="0" fontId="0" fillId="0" borderId="0" xfId="0" applyFont="1"/>
  </cellXfs>
  <cellStyles count="3">
    <cellStyle name="Normale" xfId="0" builtinId="0"/>
    <cellStyle name="Percentuale" xfId="1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CED5-CC26-7848-9662-FF4E17BCACFF}">
  <dimension ref="A1:M25"/>
  <sheetViews>
    <sheetView zoomScale="83" workbookViewId="0">
      <selection activeCell="G25" sqref="G25"/>
    </sheetView>
  </sheetViews>
  <sheetFormatPr baseColWidth="10" defaultRowHeight="16" x14ac:dyDescent="0.2"/>
  <cols>
    <col min="1" max="1" width="21.6640625" customWidth="1"/>
    <col min="3" max="3" width="13.5" customWidth="1"/>
    <col min="6" max="6" width="21.83203125" customWidth="1"/>
    <col min="7" max="7" width="13.6640625" customWidth="1"/>
  </cols>
  <sheetData>
    <row r="1" spans="1:13" x14ac:dyDescent="0.2">
      <c r="A1" t="s">
        <v>0</v>
      </c>
      <c r="C1" t="s">
        <v>1</v>
      </c>
    </row>
    <row r="2" spans="1:13" x14ac:dyDescent="0.2">
      <c r="A2" t="s">
        <v>2</v>
      </c>
      <c r="B2" t="s">
        <v>3</v>
      </c>
      <c r="C2" t="s">
        <v>10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K2" t="s">
        <v>9</v>
      </c>
      <c r="M2" t="s">
        <v>11</v>
      </c>
    </row>
    <row r="4" spans="1:13" x14ac:dyDescent="0.2">
      <c r="A4" t="s">
        <v>12</v>
      </c>
    </row>
    <row r="5" spans="1:13" x14ac:dyDescent="0.2">
      <c r="A5" t="s">
        <v>13</v>
      </c>
      <c r="B5" s="1">
        <v>40200</v>
      </c>
    </row>
    <row r="6" spans="1:13" x14ac:dyDescent="0.2">
      <c r="A6" t="s">
        <v>14</v>
      </c>
      <c r="F6" t="s">
        <v>27</v>
      </c>
    </row>
    <row r="7" spans="1:13" x14ac:dyDescent="0.2">
      <c r="A7" t="s">
        <v>15</v>
      </c>
      <c r="B7" s="1">
        <v>4512</v>
      </c>
      <c r="F7" t="s">
        <v>28</v>
      </c>
      <c r="H7" t="s">
        <v>29</v>
      </c>
      <c r="J7" t="s">
        <v>30</v>
      </c>
    </row>
    <row r="8" spans="1:13" x14ac:dyDescent="0.2">
      <c r="A8" t="s">
        <v>16</v>
      </c>
      <c r="B8">
        <v>108</v>
      </c>
    </row>
    <row r="9" spans="1:13" x14ac:dyDescent="0.2">
      <c r="A9" t="s">
        <v>17</v>
      </c>
      <c r="B9" s="1">
        <v>36</v>
      </c>
    </row>
    <row r="10" spans="1:13" x14ac:dyDescent="0.2">
      <c r="A10" t="s">
        <v>18</v>
      </c>
      <c r="B10">
        <v>372</v>
      </c>
    </row>
    <row r="11" spans="1:13" x14ac:dyDescent="0.2">
      <c r="A11" t="s">
        <v>19</v>
      </c>
      <c r="B11">
        <f>186*12</f>
        <v>2232</v>
      </c>
    </row>
    <row r="12" spans="1:13" x14ac:dyDescent="0.2">
      <c r="A12" t="s">
        <v>20</v>
      </c>
      <c r="B12">
        <f>600*12</f>
        <v>7200</v>
      </c>
    </row>
    <row r="13" spans="1:13" x14ac:dyDescent="0.2">
      <c r="A13" t="s">
        <v>21</v>
      </c>
      <c r="B13">
        <f>(13.45+2.46+0.834+5.9+3.7+2.95)*12</f>
        <v>351.52799999999996</v>
      </c>
      <c r="F13" t="s">
        <v>44</v>
      </c>
      <c r="I13" t="s">
        <v>52</v>
      </c>
    </row>
    <row r="14" spans="1:13" x14ac:dyDescent="0.2">
      <c r="A14" t="s">
        <v>22</v>
      </c>
      <c r="B14">
        <f>50.4*12</f>
        <v>604.79999999999995</v>
      </c>
      <c r="F14" t="s">
        <v>15</v>
      </c>
      <c r="G14" s="2">
        <v>11.22</v>
      </c>
    </row>
    <row r="15" spans="1:13" x14ac:dyDescent="0.2">
      <c r="A15" t="s">
        <v>23</v>
      </c>
      <c r="B15">
        <v>12000</v>
      </c>
      <c r="F15" t="s">
        <v>45</v>
      </c>
      <c r="G15" s="2">
        <f>(B8/B5)*100</f>
        <v>0.26865671641791045</v>
      </c>
    </row>
    <row r="16" spans="1:13" x14ac:dyDescent="0.2">
      <c r="B16" s="1">
        <f>SUM(B7:B15)</f>
        <v>27416.328000000001</v>
      </c>
      <c r="F16" t="s">
        <v>17</v>
      </c>
      <c r="G16">
        <f>(B9/B5)*100</f>
        <v>8.9552238805970144E-2</v>
      </c>
    </row>
    <row r="17" spans="1:7" x14ac:dyDescent="0.2">
      <c r="A17" t="s">
        <v>24</v>
      </c>
      <c r="F17" t="s">
        <v>46</v>
      </c>
      <c r="G17">
        <f>(B10/B5)*100</f>
        <v>0.9253731343283581</v>
      </c>
    </row>
    <row r="18" spans="1:7" x14ac:dyDescent="0.2">
      <c r="A18" t="s">
        <v>25</v>
      </c>
      <c r="B18" s="1">
        <f>(B5-B7-B8-B9-B10-B11-B12-B13-B14-B15)</f>
        <v>12783.672000000002</v>
      </c>
      <c r="F18" t="s">
        <v>47</v>
      </c>
      <c r="G18">
        <f>(B11/B5)*100</f>
        <v>5.5522388059701493</v>
      </c>
    </row>
    <row r="19" spans="1:7" x14ac:dyDescent="0.2">
      <c r="A19" t="s">
        <v>26</v>
      </c>
      <c r="B19" s="1">
        <f>(B5-B7-B8-B9-B10-B11-B12-B13-B15)</f>
        <v>13388.472000000002</v>
      </c>
      <c r="F19" t="s">
        <v>48</v>
      </c>
      <c r="G19">
        <f>(B12/B5)*100</f>
        <v>17.910447761194028</v>
      </c>
    </row>
    <row r="20" spans="1:7" x14ac:dyDescent="0.2">
      <c r="F20" t="s">
        <v>49</v>
      </c>
      <c r="G20">
        <f>(B13/B5)*100</f>
        <v>0.87444776119402978</v>
      </c>
    </row>
    <row r="21" spans="1:7" x14ac:dyDescent="0.2">
      <c r="F21" t="s">
        <v>50</v>
      </c>
      <c r="G21">
        <f>(B14/B5)*100</f>
        <v>1.5044776119402983</v>
      </c>
    </row>
    <row r="22" spans="1:7" x14ac:dyDescent="0.2">
      <c r="F22" t="s">
        <v>51</v>
      </c>
      <c r="G22">
        <f>(B15/B5)*100</f>
        <v>29.850746268656714</v>
      </c>
    </row>
    <row r="23" spans="1:7" x14ac:dyDescent="0.2">
      <c r="F23" t="s">
        <v>92</v>
      </c>
      <c r="G23">
        <v>0.02</v>
      </c>
    </row>
    <row r="25" spans="1:7" x14ac:dyDescent="0.2">
      <c r="F25" t="s">
        <v>107</v>
      </c>
      <c r="G25">
        <f>(B16/B5)*100</f>
        <v>68.199820895522393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72F6-5E33-E64E-816C-28A7661BA623}">
  <dimension ref="A1:G33"/>
  <sheetViews>
    <sheetView workbookViewId="0">
      <selection activeCell="A13" sqref="A13"/>
    </sheetView>
  </sheetViews>
  <sheetFormatPr baseColWidth="10" defaultRowHeight="16" x14ac:dyDescent="0.2"/>
  <cols>
    <col min="1" max="1" width="27.6640625" customWidth="1"/>
    <col min="2" max="2" width="29" customWidth="1"/>
    <col min="3" max="3" width="24.33203125" customWidth="1"/>
    <col min="4" max="4" width="17" customWidth="1"/>
    <col min="5" max="5" width="13.5" customWidth="1"/>
    <col min="7" max="7" width="21.6640625" customWidth="1"/>
  </cols>
  <sheetData>
    <row r="1" spans="1:7" x14ac:dyDescent="0.2">
      <c r="A1" t="s">
        <v>31</v>
      </c>
      <c r="G1" t="s">
        <v>37</v>
      </c>
    </row>
    <row r="2" spans="1:7" x14ac:dyDescent="0.2">
      <c r="A2" t="s">
        <v>32</v>
      </c>
      <c r="G2" t="s">
        <v>38</v>
      </c>
    </row>
    <row r="3" spans="1:7" x14ac:dyDescent="0.2">
      <c r="A3" t="s">
        <v>33</v>
      </c>
      <c r="G3" t="s">
        <v>39</v>
      </c>
    </row>
    <row r="4" spans="1:7" x14ac:dyDescent="0.2">
      <c r="A4" t="s">
        <v>34</v>
      </c>
      <c r="G4" t="s">
        <v>21</v>
      </c>
    </row>
    <row r="5" spans="1:7" x14ac:dyDescent="0.2">
      <c r="A5" t="s">
        <v>35</v>
      </c>
      <c r="C5" t="s">
        <v>53</v>
      </c>
      <c r="G5" t="s">
        <v>19</v>
      </c>
    </row>
    <row r="6" spans="1:7" x14ac:dyDescent="0.2">
      <c r="G6" t="s">
        <v>156</v>
      </c>
    </row>
    <row r="7" spans="1:7" x14ac:dyDescent="0.2">
      <c r="A7" t="s">
        <v>36</v>
      </c>
    </row>
    <row r="8" spans="1:7" x14ac:dyDescent="0.2">
      <c r="A8" t="s">
        <v>40</v>
      </c>
    </row>
    <row r="9" spans="1:7" x14ac:dyDescent="0.2">
      <c r="A9" t="s">
        <v>41</v>
      </c>
    </row>
    <row r="10" spans="1:7" x14ac:dyDescent="0.2">
      <c r="A10" t="s">
        <v>43</v>
      </c>
    </row>
    <row r="13" spans="1:7" x14ac:dyDescent="0.2">
      <c r="A13" t="s">
        <v>171</v>
      </c>
    </row>
    <row r="14" spans="1:7" x14ac:dyDescent="0.2">
      <c r="A14" t="s">
        <v>82</v>
      </c>
      <c r="B14" s="7">
        <v>596439.63</v>
      </c>
      <c r="C14" t="s">
        <v>86</v>
      </c>
      <c r="G14" t="s">
        <v>83</v>
      </c>
    </row>
    <row r="15" spans="1:7" x14ac:dyDescent="0.2">
      <c r="A15" t="s">
        <v>54</v>
      </c>
      <c r="B15" t="s">
        <v>110</v>
      </c>
      <c r="C15" t="s">
        <v>62</v>
      </c>
      <c r="D15" t="s">
        <v>63</v>
      </c>
      <c r="E15" t="s">
        <v>111</v>
      </c>
    </row>
    <row r="16" spans="1:7" x14ac:dyDescent="0.2">
      <c r="B16" t="s">
        <v>55</v>
      </c>
      <c r="C16" t="s">
        <v>56</v>
      </c>
      <c r="D16" t="s">
        <v>57</v>
      </c>
    </row>
    <row r="17" spans="1:7" x14ac:dyDescent="0.2">
      <c r="A17" t="s">
        <v>64</v>
      </c>
      <c r="B17" s="4" t="s">
        <v>65</v>
      </c>
      <c r="C17" t="s">
        <v>69</v>
      </c>
    </row>
    <row r="18" spans="1:7" x14ac:dyDescent="0.2">
      <c r="A18" t="s">
        <v>67</v>
      </c>
      <c r="B18" t="s">
        <v>59</v>
      </c>
      <c r="C18" t="s">
        <v>61</v>
      </c>
      <c r="D18" t="s">
        <v>66</v>
      </c>
    </row>
    <row r="19" spans="1:7" x14ac:dyDescent="0.2">
      <c r="A19" t="s">
        <v>60</v>
      </c>
      <c r="B19" s="5">
        <v>0.09</v>
      </c>
      <c r="C19" s="3">
        <v>0.11</v>
      </c>
      <c r="D19" s="3">
        <v>0.18</v>
      </c>
    </row>
    <row r="20" spans="1:7" x14ac:dyDescent="0.2">
      <c r="A20" t="s">
        <v>68</v>
      </c>
      <c r="B20" s="3">
        <v>0.67</v>
      </c>
      <c r="C20" s="3">
        <v>0.75</v>
      </c>
      <c r="D20" s="3">
        <v>0.8</v>
      </c>
    </row>
    <row r="21" spans="1:7" x14ac:dyDescent="0.2">
      <c r="A21" t="s">
        <v>58</v>
      </c>
      <c r="B21" s="4" t="s">
        <v>70</v>
      </c>
      <c r="C21" s="4" t="s">
        <v>71</v>
      </c>
      <c r="D21" s="4" t="s">
        <v>72</v>
      </c>
    </row>
    <row r="22" spans="1:7" x14ac:dyDescent="0.2">
      <c r="A22" s="8" t="s">
        <v>88</v>
      </c>
      <c r="B22" s="8">
        <v>500</v>
      </c>
      <c r="C22" t="s">
        <v>73</v>
      </c>
      <c r="D22" t="s">
        <v>84</v>
      </c>
      <c r="E22" s="8">
        <v>300000</v>
      </c>
      <c r="F22" t="s">
        <v>85</v>
      </c>
    </row>
    <row r="23" spans="1:7" x14ac:dyDescent="0.2">
      <c r="A23" t="s">
        <v>74</v>
      </c>
      <c r="B23" s="3">
        <v>0.28000000000000003</v>
      </c>
    </row>
    <row r="24" spans="1:7" x14ac:dyDescent="0.2">
      <c r="A24" t="s">
        <v>75</v>
      </c>
      <c r="B24" s="6">
        <v>3.8800000000000001E-2</v>
      </c>
      <c r="C24" t="s">
        <v>135</v>
      </c>
      <c r="D24">
        <f>3.88*(1-0.28)</f>
        <v>2.7935999999999996</v>
      </c>
    </row>
    <row r="25" spans="1:7" x14ac:dyDescent="0.2">
      <c r="A25" t="s">
        <v>76</v>
      </c>
      <c r="B25" s="6">
        <v>6.7900000000000002E-2</v>
      </c>
    </row>
    <row r="26" spans="1:7" x14ac:dyDescent="0.2">
      <c r="A26" t="s">
        <v>77</v>
      </c>
      <c r="C26" t="s">
        <v>87</v>
      </c>
    </row>
    <row r="27" spans="1:7" x14ac:dyDescent="0.2">
      <c r="A27" t="s">
        <v>78</v>
      </c>
    </row>
    <row r="28" spans="1:7" x14ac:dyDescent="0.2">
      <c r="A28" t="s">
        <v>108</v>
      </c>
      <c r="B28" s="3">
        <v>0.6</v>
      </c>
      <c r="C28" s="3">
        <v>0.4</v>
      </c>
      <c r="D28" s="3">
        <v>0.25</v>
      </c>
    </row>
    <row r="29" spans="1:7" x14ac:dyDescent="0.2">
      <c r="A29" t="s">
        <v>79</v>
      </c>
      <c r="B29" s="3">
        <v>0.1</v>
      </c>
      <c r="C29" s="8">
        <f>(B14*0.1)</f>
        <v>59643.963000000003</v>
      </c>
    </row>
    <row r="30" spans="1:7" x14ac:dyDescent="0.2">
      <c r="A30" t="s">
        <v>80</v>
      </c>
      <c r="B30" t="s">
        <v>81</v>
      </c>
    </row>
    <row r="32" spans="1:7" x14ac:dyDescent="0.2">
      <c r="A32" t="s">
        <v>89</v>
      </c>
      <c r="B32" t="s">
        <v>90</v>
      </c>
      <c r="C32" s="3">
        <v>0.5</v>
      </c>
      <c r="D32" s="4" t="s">
        <v>91</v>
      </c>
      <c r="E32" t="s">
        <v>123</v>
      </c>
      <c r="F32" t="s">
        <v>125</v>
      </c>
      <c r="G32" t="s">
        <v>124</v>
      </c>
    </row>
    <row r="33" spans="3:3" x14ac:dyDescent="0.2">
      <c r="C33" s="3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6EF5-9F4A-004A-962E-114A1588F67C}">
  <dimension ref="A1:N59"/>
  <sheetViews>
    <sheetView topLeftCell="A21" workbookViewId="0">
      <selection activeCell="J54" sqref="J54"/>
    </sheetView>
  </sheetViews>
  <sheetFormatPr baseColWidth="10" defaultRowHeight="16" x14ac:dyDescent="0.2"/>
  <cols>
    <col min="1" max="1" width="20" customWidth="1"/>
    <col min="2" max="2" width="21.6640625" customWidth="1"/>
    <col min="3" max="3" width="16.1640625" customWidth="1"/>
    <col min="4" max="4" width="16" customWidth="1"/>
    <col min="5" max="5" width="15.33203125" customWidth="1"/>
    <col min="6" max="7" width="15.1640625" customWidth="1"/>
    <col min="9" max="9" width="24.83203125" customWidth="1"/>
    <col min="10" max="10" width="26" customWidth="1"/>
    <col min="11" max="11" width="14.5" customWidth="1"/>
    <col min="12" max="12" width="11.33203125" bestFit="1" customWidth="1"/>
    <col min="13" max="13" width="13" customWidth="1"/>
    <col min="14" max="14" width="11.33203125" bestFit="1" customWidth="1"/>
  </cols>
  <sheetData>
    <row r="1" spans="1:14" x14ac:dyDescent="0.2">
      <c r="A1" t="s">
        <v>93</v>
      </c>
      <c r="B1" t="s">
        <v>94</v>
      </c>
    </row>
    <row r="2" spans="1:14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</row>
    <row r="3" spans="1:14" x14ac:dyDescent="0.2">
      <c r="A3" t="s">
        <v>13</v>
      </c>
      <c r="C3" s="8">
        <v>300000</v>
      </c>
      <c r="D3" s="8">
        <f>(C3*1.035)</f>
        <v>310500</v>
      </c>
      <c r="E3" s="8">
        <f>(D3*1.035)</f>
        <v>321367.5</v>
      </c>
      <c r="F3" s="8">
        <f>(E3*1.035)</f>
        <v>332615.36249999999</v>
      </c>
      <c r="G3" s="8">
        <f>(F3*1.035)</f>
        <v>344256.90018749994</v>
      </c>
    </row>
    <row r="4" spans="1:14" x14ac:dyDescent="0.2">
      <c r="A4" t="s">
        <v>95</v>
      </c>
      <c r="B4" s="8">
        <f>C3*0.05</f>
        <v>15000</v>
      </c>
      <c r="C4" s="8">
        <f>D3*0.05</f>
        <v>15525</v>
      </c>
      <c r="D4" s="8">
        <f>E3*0.05</f>
        <v>16068.375</v>
      </c>
      <c r="E4" s="8">
        <f>F3*0.05</f>
        <v>16630.768124999999</v>
      </c>
      <c r="F4" s="8">
        <f>G3*0.05</f>
        <v>17212.845009374996</v>
      </c>
      <c r="G4" s="8">
        <f>'Worst scenario'!H3*0.05</f>
        <v>0</v>
      </c>
    </row>
    <row r="6" spans="1:14" x14ac:dyDescent="0.2">
      <c r="A6" t="s">
        <v>102</v>
      </c>
      <c r="B6" t="s">
        <v>103</v>
      </c>
    </row>
    <row r="8" spans="1:14" x14ac:dyDescent="0.2">
      <c r="B8" t="s">
        <v>97</v>
      </c>
      <c r="C8" t="s">
        <v>98</v>
      </c>
      <c r="D8" t="s">
        <v>99</v>
      </c>
      <c r="E8" t="s">
        <v>100</v>
      </c>
      <c r="F8" t="s">
        <v>101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</row>
    <row r="9" spans="1:14" x14ac:dyDescent="0.2">
      <c r="A9" t="s">
        <v>13</v>
      </c>
      <c r="B9" s="8">
        <v>300000</v>
      </c>
      <c r="C9" s="8">
        <f>(B9*1.035)</f>
        <v>310500</v>
      </c>
      <c r="D9" s="8">
        <f>(C9*1.035)</f>
        <v>321367.5</v>
      </c>
      <c r="E9" s="8">
        <f>(D9*1.035)</f>
        <v>332615.36249999999</v>
      </c>
      <c r="F9" s="8">
        <f>(E9*1.035)</f>
        <v>344256.90018749994</v>
      </c>
    </row>
    <row r="10" spans="1:14" x14ac:dyDescent="0.2">
      <c r="A10" t="s">
        <v>104</v>
      </c>
      <c r="B10" s="8">
        <f>(B9*0.6)</f>
        <v>180000</v>
      </c>
      <c r="C10" s="8">
        <f>(C9*0.6)</f>
        <v>186300</v>
      </c>
      <c r="D10" s="8">
        <f>(D9*0.6)</f>
        <v>192820.5</v>
      </c>
      <c r="E10" s="8">
        <f>(E9*0.6)</f>
        <v>199569.2175</v>
      </c>
      <c r="F10" s="8">
        <f>(F9*0.6)</f>
        <v>206554.14011249997</v>
      </c>
    </row>
    <row r="11" spans="1:14" x14ac:dyDescent="0.2">
      <c r="A11" t="s">
        <v>79</v>
      </c>
      <c r="B11" s="8">
        <v>59643.96</v>
      </c>
      <c r="C11" s="8">
        <v>59643.96</v>
      </c>
      <c r="D11" s="8">
        <v>59643.96</v>
      </c>
      <c r="E11" s="8">
        <v>59643.96</v>
      </c>
      <c r="F11" s="8">
        <v>59643.96</v>
      </c>
      <c r="H11" t="s">
        <v>109</v>
      </c>
    </row>
    <row r="12" spans="1:14" x14ac:dyDescent="0.2">
      <c r="A12" t="s">
        <v>105</v>
      </c>
      <c r="B12" s="8">
        <f>(B9-B10-B11)</f>
        <v>60356.04</v>
      </c>
      <c r="C12" s="8">
        <f t="shared" ref="C12:F12" si="0">(C9-C10-C11)</f>
        <v>64556.04</v>
      </c>
      <c r="D12" s="8">
        <f t="shared" si="0"/>
        <v>68903.040000000008</v>
      </c>
      <c r="E12" s="8">
        <f t="shared" si="0"/>
        <v>73402.184999999998</v>
      </c>
      <c r="F12" s="8">
        <f t="shared" si="0"/>
        <v>78058.800074999977</v>
      </c>
    </row>
    <row r="13" spans="1:14" x14ac:dyDescent="0.2">
      <c r="A13" t="s">
        <v>42</v>
      </c>
      <c r="B13" s="8">
        <v>-3220.77</v>
      </c>
      <c r="C13" s="8">
        <v>-2576.62</v>
      </c>
      <c r="D13" s="8">
        <v>-1932.46</v>
      </c>
      <c r="E13" s="8">
        <v>-1288.31</v>
      </c>
      <c r="F13" s="8">
        <v>-644.15</v>
      </c>
      <c r="G13" t="s">
        <v>147</v>
      </c>
      <c r="I13" s="8">
        <v>-4187.01</v>
      </c>
      <c r="J13" s="8">
        <v>-3349.6</v>
      </c>
      <c r="K13" s="8">
        <v>-2512.1999999999998</v>
      </c>
      <c r="L13" s="8">
        <v>-1674.8</v>
      </c>
      <c r="M13" s="8">
        <v>-837.4</v>
      </c>
      <c r="N13" t="s">
        <v>148</v>
      </c>
    </row>
    <row r="14" spans="1:14" x14ac:dyDescent="0.2">
      <c r="A14" t="s">
        <v>112</v>
      </c>
      <c r="B14" s="8">
        <f>B12+B13</f>
        <v>57135.270000000004</v>
      </c>
      <c r="C14" s="8">
        <f t="shared" ref="C14:F14" si="1">C12+C13</f>
        <v>61979.42</v>
      </c>
      <c r="D14" s="8">
        <f t="shared" si="1"/>
        <v>66970.58</v>
      </c>
      <c r="E14" s="8">
        <f t="shared" si="1"/>
        <v>72113.875</v>
      </c>
      <c r="F14" s="8">
        <f t="shared" si="1"/>
        <v>77414.650074999983</v>
      </c>
      <c r="I14" s="8">
        <f>B12+I13</f>
        <v>56169.03</v>
      </c>
      <c r="J14" s="8">
        <f t="shared" ref="J14:M14" si="2">C12+J13</f>
        <v>61206.44</v>
      </c>
      <c r="K14" s="8">
        <f t="shared" si="2"/>
        <v>66390.840000000011</v>
      </c>
      <c r="L14" s="8">
        <f t="shared" si="2"/>
        <v>71727.384999999995</v>
      </c>
      <c r="M14" s="8">
        <f t="shared" si="2"/>
        <v>77221.400074999983</v>
      </c>
    </row>
    <row r="15" spans="1:14" x14ac:dyDescent="0.2">
      <c r="A15" t="s">
        <v>113</v>
      </c>
      <c r="B15" s="8">
        <f>B14*(1-0.28)</f>
        <v>41137.394400000005</v>
      </c>
      <c r="C15" s="8">
        <f t="shared" ref="C15:F15" si="3">C14*(1-0.28)</f>
        <v>44625.182399999998</v>
      </c>
      <c r="D15" s="8">
        <f t="shared" si="3"/>
        <v>48218.817600000002</v>
      </c>
      <c r="E15" s="8">
        <f t="shared" si="3"/>
        <v>51921.99</v>
      </c>
      <c r="F15" s="8">
        <f t="shared" si="3"/>
        <v>55738.548053999984</v>
      </c>
      <c r="I15" s="8">
        <f>I14*(1-0.28)</f>
        <v>40441.7016</v>
      </c>
      <c r="J15" s="8">
        <f t="shared" ref="J15:M15" si="4">J14*(1-0.28)</f>
        <v>44068.6368</v>
      </c>
      <c r="K15" s="8">
        <f t="shared" si="4"/>
        <v>47801.404800000004</v>
      </c>
      <c r="L15" s="8">
        <f t="shared" si="4"/>
        <v>51643.717199999992</v>
      </c>
      <c r="M15" s="8">
        <f t="shared" si="4"/>
        <v>55599.408053999985</v>
      </c>
    </row>
    <row r="17" spans="1:14" x14ac:dyDescent="0.2">
      <c r="A17" t="s">
        <v>106</v>
      </c>
      <c r="B17" s="8">
        <f>B12*(1-0.28)</f>
        <v>43456.3488</v>
      </c>
      <c r="C17" s="8">
        <f t="shared" ref="C17:F17" si="5">C12*(1-0.28)</f>
        <v>46480.3488</v>
      </c>
      <c r="D17" s="8">
        <f t="shared" si="5"/>
        <v>49610.188800000004</v>
      </c>
      <c r="E17" s="8">
        <f t="shared" si="5"/>
        <v>52849.573199999999</v>
      </c>
      <c r="F17" s="8">
        <f t="shared" si="5"/>
        <v>56202.336053999985</v>
      </c>
      <c r="H17" t="s">
        <v>114</v>
      </c>
    </row>
    <row r="20" spans="1:14" x14ac:dyDescent="0.2">
      <c r="A20" t="s">
        <v>115</v>
      </c>
      <c r="B20" t="s">
        <v>116</v>
      </c>
    </row>
    <row r="22" spans="1:14" x14ac:dyDescent="0.2">
      <c r="B22" t="s">
        <v>96</v>
      </c>
      <c r="C22" t="s">
        <v>97</v>
      </c>
      <c r="D22" t="s">
        <v>98</v>
      </c>
      <c r="E22" t="s">
        <v>99</v>
      </c>
      <c r="F22" t="s">
        <v>100</v>
      </c>
      <c r="G22" t="s">
        <v>101</v>
      </c>
    </row>
    <row r="23" spans="1:14" x14ac:dyDescent="0.2">
      <c r="A23" t="s">
        <v>117</v>
      </c>
      <c r="C23" s="8">
        <f>B12*(1-0.28)</f>
        <v>43456.3488</v>
      </c>
      <c r="D23" s="8">
        <f>C12*(1-0.28)</f>
        <v>46480.3488</v>
      </c>
      <c r="E23" s="8">
        <f>D12*(1-0.28)</f>
        <v>49610.188800000004</v>
      </c>
      <c r="F23" s="8">
        <f>E12*(1-0.28)</f>
        <v>52849.573199999999</v>
      </c>
      <c r="G23" s="8">
        <f>F12*(1-0.28)</f>
        <v>56202.336053999985</v>
      </c>
    </row>
    <row r="24" spans="1:14" x14ac:dyDescent="0.2">
      <c r="A24" t="s">
        <v>118</v>
      </c>
      <c r="C24" s="8">
        <v>59643.96</v>
      </c>
      <c r="D24" s="8">
        <v>59643.96</v>
      </c>
      <c r="E24" s="8">
        <v>59643.96</v>
      </c>
      <c r="F24" s="8">
        <v>59643.96</v>
      </c>
      <c r="G24" s="8">
        <v>59643.96</v>
      </c>
    </row>
    <row r="25" spans="1:14" x14ac:dyDescent="0.2">
      <c r="A25" t="s">
        <v>119</v>
      </c>
      <c r="B25" s="8">
        <v>-596439.63</v>
      </c>
    </row>
    <row r="26" spans="1:14" x14ac:dyDescent="0.2">
      <c r="A26" t="s">
        <v>120</v>
      </c>
      <c r="B26" s="8">
        <v>-15000</v>
      </c>
      <c r="C26" s="8">
        <f>'Normal scenario'!B4-'Normal scenario'!C4</f>
        <v>-525</v>
      </c>
      <c r="D26" s="8">
        <f>'Normal scenario'!C4-'Normal scenario'!D4</f>
        <v>-543.375</v>
      </c>
      <c r="E26" s="8">
        <f>'Normal scenario'!D4-'Normal scenario'!E4</f>
        <v>-562.39312499999869</v>
      </c>
      <c r="F26" s="8">
        <f>'Normal scenario'!E4-'Normal scenario'!F4</f>
        <v>-582.07688437499746</v>
      </c>
    </row>
    <row r="27" spans="1:14" x14ac:dyDescent="0.2">
      <c r="A27" t="s">
        <v>121</v>
      </c>
      <c r="G27" s="8">
        <f>-(B26+C26+D26+E26+F26)</f>
        <v>17212.845009374996</v>
      </c>
    </row>
    <row r="28" spans="1:14" x14ac:dyDescent="0.2">
      <c r="A28" t="s">
        <v>122</v>
      </c>
      <c r="B28" s="8">
        <f>B25+B26</f>
        <v>-611439.63</v>
      </c>
      <c r="C28" s="8">
        <f>C23+C24+C26</f>
        <v>102575.3088</v>
      </c>
      <c r="D28" s="8">
        <f>D23+D24+D26</f>
        <v>105580.9338</v>
      </c>
      <c r="E28" s="8">
        <f>E23+E24+E26</f>
        <v>108691.75567499999</v>
      </c>
      <c r="F28" s="8">
        <f>F23+F24+F26</f>
        <v>111911.45631562501</v>
      </c>
      <c r="G28" s="8">
        <f>G23+G24+G27</f>
        <v>133059.14106337496</v>
      </c>
    </row>
    <row r="29" spans="1:14" x14ac:dyDescent="0.2">
      <c r="I29" t="s">
        <v>126</v>
      </c>
      <c r="K29" t="s">
        <v>129</v>
      </c>
      <c r="L29" s="3">
        <v>0.2</v>
      </c>
      <c r="N29" s="8"/>
    </row>
    <row r="30" spans="1:14" x14ac:dyDescent="0.2">
      <c r="A30" t="s">
        <v>127</v>
      </c>
      <c r="B30" s="8">
        <f>-(B25*0.5)</f>
        <v>298219.815</v>
      </c>
      <c r="C30" s="8"/>
      <c r="D30" s="8"/>
      <c r="E30" s="8"/>
      <c r="F30" s="8"/>
      <c r="G30" s="8"/>
      <c r="I30" t="s">
        <v>136</v>
      </c>
      <c r="K30" t="s">
        <v>132</v>
      </c>
      <c r="L30" t="s">
        <v>133</v>
      </c>
    </row>
    <row r="31" spans="1:14" x14ac:dyDescent="0.2">
      <c r="A31" t="s">
        <v>128</v>
      </c>
      <c r="B31" s="8"/>
      <c r="C31" s="8">
        <f>-B30*0.2</f>
        <v>-59643.963000000003</v>
      </c>
      <c r="D31" s="8">
        <f>-B30*0.2</f>
        <v>-59643.963000000003</v>
      </c>
      <c r="E31" s="8">
        <f>-B30*0.2</f>
        <v>-59643.963000000003</v>
      </c>
      <c r="F31" s="8">
        <f>-B30*0.2</f>
        <v>-59643.963000000003</v>
      </c>
      <c r="G31" s="8">
        <f>-B30*0.2</f>
        <v>-59643.963000000003</v>
      </c>
      <c r="K31" t="s">
        <v>134</v>
      </c>
      <c r="L31" s="6">
        <v>1.0800000000000001E-2</v>
      </c>
    </row>
    <row r="32" spans="1:14" x14ac:dyDescent="0.2">
      <c r="A32" t="s">
        <v>42</v>
      </c>
      <c r="B32" s="8"/>
      <c r="C32" s="8">
        <f>-(B30*0.0108)</f>
        <v>-3220.7740020000001</v>
      </c>
      <c r="D32" s="8">
        <f>-(B30+C31)*0.0108</f>
        <v>-2576.6192016000005</v>
      </c>
      <c r="E32" s="8">
        <f>-(B30+C31+D31)*0.0108</f>
        <v>-1932.4644012000003</v>
      </c>
      <c r="F32" s="8">
        <f>-(B30+C31+D31+E31)*0.0108</f>
        <v>-1288.3096008000002</v>
      </c>
      <c r="G32" s="8">
        <f>-(B30+C31+D31+E31+F31)*0.0108</f>
        <v>-644.15480040000023</v>
      </c>
    </row>
    <row r="33" spans="1:13" x14ac:dyDescent="0.2">
      <c r="A33" t="s">
        <v>130</v>
      </c>
      <c r="B33" s="8"/>
      <c r="C33" s="8">
        <f>-(C32*0.28)</f>
        <v>901.81672056000014</v>
      </c>
      <c r="D33" s="8">
        <f>-(D32*0.28)</f>
        <v>721.4533764480002</v>
      </c>
      <c r="E33" s="8">
        <f>-(E32*0.28)</f>
        <v>541.09003233600015</v>
      </c>
      <c r="F33" s="8">
        <f>-(F32*0.28)</f>
        <v>360.7266882240001</v>
      </c>
      <c r="G33" s="8">
        <f>-(G32*0.28)</f>
        <v>180.36334411200008</v>
      </c>
    </row>
    <row r="34" spans="1:13" x14ac:dyDescent="0.2">
      <c r="A34" t="s">
        <v>131</v>
      </c>
      <c r="B34" s="8">
        <f>B28+B30</f>
        <v>-313219.815</v>
      </c>
      <c r="C34" s="8">
        <f>(C28+C31+C32+C33)</f>
        <v>40612.388518559994</v>
      </c>
      <c r="D34" s="8">
        <f>D28+D31+D32+D33</f>
        <v>44081.804974847997</v>
      </c>
      <c r="E34" s="8">
        <f>E28+E31+E32+E33</f>
        <v>47656.418306135994</v>
      </c>
      <c r="F34" s="8">
        <f>F28+F31+F32+F33</f>
        <v>51339.910403049005</v>
      </c>
      <c r="G34" s="8">
        <f>G28+G31+G32+G33</f>
        <v>72951.386607086955</v>
      </c>
      <c r="I34" t="s">
        <v>137</v>
      </c>
      <c r="J34">
        <f>0.0679*0.5+0.0279*0.5</f>
        <v>4.7899999999999998E-2</v>
      </c>
      <c r="K34">
        <f>J34*100</f>
        <v>4.79</v>
      </c>
      <c r="L34" s="6">
        <v>4.7899999999999998E-2</v>
      </c>
    </row>
    <row r="36" spans="1:13" x14ac:dyDescent="0.2">
      <c r="I36" t="s">
        <v>138</v>
      </c>
      <c r="J36" s="6">
        <v>6.7900000000000002E-2</v>
      </c>
      <c r="K36">
        <v>6.7900000000000002E-2</v>
      </c>
    </row>
    <row r="37" spans="1:13" x14ac:dyDescent="0.2">
      <c r="I37" t="s">
        <v>139</v>
      </c>
      <c r="J37" s="6">
        <v>2.7900000000000001E-2</v>
      </c>
    </row>
    <row r="39" spans="1:13" x14ac:dyDescent="0.2">
      <c r="I39" t="s">
        <v>140</v>
      </c>
      <c r="J39">
        <f>-(B30/B25)</f>
        <v>0.5</v>
      </c>
    </row>
    <row r="41" spans="1:13" x14ac:dyDescent="0.2">
      <c r="I41" t="s">
        <v>141</v>
      </c>
      <c r="J41" s="9">
        <f>NPV(J34,B28,C28,D28,E28,F28,G28)</f>
        <v>-119125.84393058826</v>
      </c>
    </row>
    <row r="42" spans="1:13" x14ac:dyDescent="0.2">
      <c r="I42" t="s">
        <v>142</v>
      </c>
      <c r="J42" s="9">
        <f>NPV(K36,B34,C34,D34,E34,F34,G34)</f>
        <v>-98699.156888940226</v>
      </c>
    </row>
    <row r="44" spans="1:13" x14ac:dyDescent="0.2">
      <c r="A44" t="s">
        <v>127</v>
      </c>
      <c r="B44" s="8">
        <f>-(B25*0.65)</f>
        <v>387685.75950000004</v>
      </c>
      <c r="C44" s="8"/>
      <c r="D44" s="8"/>
      <c r="E44" s="8"/>
      <c r="F44" s="8"/>
      <c r="G44" s="8"/>
      <c r="I44" t="s">
        <v>143</v>
      </c>
      <c r="K44" t="s">
        <v>129</v>
      </c>
      <c r="L44" s="8"/>
      <c r="M44" s="3">
        <v>0.2</v>
      </c>
    </row>
    <row r="45" spans="1:13" x14ac:dyDescent="0.2">
      <c r="A45" t="s">
        <v>128</v>
      </c>
      <c r="B45" s="8"/>
      <c r="C45" s="8">
        <f>-(B44*0.2)</f>
        <v>-77537.151900000012</v>
      </c>
      <c r="D45" s="8">
        <f>-(B44*0.2)</f>
        <v>-77537.151900000012</v>
      </c>
      <c r="E45" s="8">
        <f>-(B44*0.2)</f>
        <v>-77537.151900000012</v>
      </c>
      <c r="F45" s="8">
        <f>-(B44*0.2)</f>
        <v>-77537.151900000012</v>
      </c>
      <c r="G45" s="8">
        <f>-(B44*0.2)</f>
        <v>-77537.151900000012</v>
      </c>
      <c r="I45" t="s">
        <v>136</v>
      </c>
      <c r="K45" t="s">
        <v>132</v>
      </c>
      <c r="L45" t="s">
        <v>133</v>
      </c>
    </row>
    <row r="46" spans="1:13" x14ac:dyDescent="0.2">
      <c r="A46" t="s">
        <v>42</v>
      </c>
      <c r="B46" s="8"/>
      <c r="C46" s="8">
        <f>-(B44*0.0108)</f>
        <v>-4187.0062026000005</v>
      </c>
      <c r="D46" s="8">
        <f>-(B44+C45)*0.0108</f>
        <v>-3349.6049620800009</v>
      </c>
      <c r="E46" s="8">
        <f>-(B44+C45+D45)*0.0108</f>
        <v>-2512.2037215600008</v>
      </c>
      <c r="F46" s="8">
        <f>-(B44+C45+D45+E45)*0.0108</f>
        <v>-1674.8024810400007</v>
      </c>
      <c r="G46" s="8">
        <f>-(B44+C45+D45+E45+F45)*0.0108</f>
        <v>-837.40124052000044</v>
      </c>
      <c r="K46" t="s">
        <v>134</v>
      </c>
      <c r="L46" s="6">
        <v>1.0800000000000001E-2</v>
      </c>
    </row>
    <row r="47" spans="1:13" x14ac:dyDescent="0.2">
      <c r="A47" t="s">
        <v>130</v>
      </c>
      <c r="B47" s="8"/>
      <c r="C47" s="8">
        <f>-(C46*0.28)</f>
        <v>1172.3617367280003</v>
      </c>
      <c r="D47" s="8">
        <f t="shared" ref="D47:G47" si="6">-(D46*0.28)</f>
        <v>937.88938938240028</v>
      </c>
      <c r="E47" s="8">
        <f t="shared" si="6"/>
        <v>703.41704203680024</v>
      </c>
      <c r="F47" s="8">
        <f t="shared" si="6"/>
        <v>468.94469469120025</v>
      </c>
      <c r="G47" s="8">
        <f t="shared" si="6"/>
        <v>234.47234734560016</v>
      </c>
    </row>
    <row r="48" spans="1:13" x14ac:dyDescent="0.2">
      <c r="A48" t="s">
        <v>131</v>
      </c>
      <c r="B48" s="8">
        <f>B28+B44</f>
        <v>-223753.87049999996</v>
      </c>
      <c r="C48" s="8">
        <f>C28+C45+C46+C47</f>
        <v>22023.512434127988</v>
      </c>
      <c r="D48" s="8">
        <f>D28+D45+D46+D47</f>
        <v>25632.066327302386</v>
      </c>
      <c r="E48" s="8">
        <f>E28+E45+E46+E47</f>
        <v>29345.817095476781</v>
      </c>
      <c r="F48" s="8">
        <f>F28+F45+F46+F47</f>
        <v>33168.446629276194</v>
      </c>
      <c r="G48" s="8">
        <f>G28+G45+G46+G47</f>
        <v>54919.060270200556</v>
      </c>
      <c r="I48" t="s">
        <v>137</v>
      </c>
      <c r="J48">
        <f>0.0679*J49+0.0279*K49</f>
        <v>4.1899999999999993E-2</v>
      </c>
      <c r="K48" s="6">
        <v>4.19E-2</v>
      </c>
    </row>
    <row r="49" spans="9:11" x14ac:dyDescent="0.2">
      <c r="I49" t="s">
        <v>144</v>
      </c>
      <c r="J49">
        <f>-(J50/B25)</f>
        <v>0.34999999999999992</v>
      </c>
      <c r="K49">
        <f>-(J51/B25)</f>
        <v>0.65</v>
      </c>
    </row>
    <row r="50" spans="9:11" x14ac:dyDescent="0.2">
      <c r="I50" t="s">
        <v>145</v>
      </c>
      <c r="J50" s="8">
        <f>-(B25+B44)</f>
        <v>208753.87049999996</v>
      </c>
    </row>
    <row r="51" spans="9:11" x14ac:dyDescent="0.2">
      <c r="I51" t="s">
        <v>146</v>
      </c>
      <c r="J51" s="8">
        <f>-(B25*0.65)</f>
        <v>387685.75950000004</v>
      </c>
    </row>
    <row r="53" spans="9:11" x14ac:dyDescent="0.2">
      <c r="I53" t="s">
        <v>141</v>
      </c>
      <c r="J53" s="9">
        <f>NPV(J48,B28,C28,D28,E28,F28,G28)</f>
        <v>-111616.09226378619</v>
      </c>
    </row>
    <row r="54" spans="9:11" x14ac:dyDescent="0.2">
      <c r="I54" t="s">
        <v>142</v>
      </c>
      <c r="J54" s="9">
        <f>NPV(K36,B48,C48,D48,E48,F48,G48)</f>
        <v>-85692.708190370613</v>
      </c>
    </row>
    <row r="58" spans="9:11" x14ac:dyDescent="0.2">
      <c r="I58" t="s">
        <v>159</v>
      </c>
    </row>
    <row r="59" spans="9:11" x14ac:dyDescent="0.2">
      <c r="I59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A9C2-0697-FE47-8B31-243988F5CD4E}">
  <dimension ref="A1:N51"/>
  <sheetViews>
    <sheetView topLeftCell="A12" workbookViewId="0">
      <selection activeCell="J36" sqref="J36"/>
    </sheetView>
  </sheetViews>
  <sheetFormatPr baseColWidth="10" defaultRowHeight="16" x14ac:dyDescent="0.2"/>
  <cols>
    <col min="1" max="1" width="16.6640625" customWidth="1"/>
    <col min="2" max="2" width="17" customWidth="1"/>
    <col min="3" max="3" width="16.6640625" customWidth="1"/>
    <col min="4" max="4" width="17.1640625" customWidth="1"/>
    <col min="5" max="6" width="17.6640625" customWidth="1"/>
    <col min="7" max="8" width="18.33203125" customWidth="1"/>
    <col min="9" max="9" width="22.5" customWidth="1"/>
    <col min="10" max="10" width="21.6640625" customWidth="1"/>
    <col min="11" max="11" width="15.1640625" customWidth="1"/>
    <col min="12" max="12" width="13.33203125" customWidth="1"/>
    <col min="13" max="13" width="16.33203125" customWidth="1"/>
  </cols>
  <sheetData>
    <row r="1" spans="1:14" x14ac:dyDescent="0.2">
      <c r="A1" t="s">
        <v>93</v>
      </c>
      <c r="B1" t="s">
        <v>94</v>
      </c>
    </row>
    <row r="2" spans="1:14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</row>
    <row r="3" spans="1:14" x14ac:dyDescent="0.2">
      <c r="A3" t="s">
        <v>13</v>
      </c>
      <c r="C3" s="8">
        <v>300000</v>
      </c>
      <c r="D3" s="8">
        <f>(C3*1.035)</f>
        <v>310500</v>
      </c>
      <c r="E3" s="8">
        <f>(D3*1.035)</f>
        <v>321367.5</v>
      </c>
      <c r="F3" s="8">
        <f>(E3*1.035)</f>
        <v>332615.36249999999</v>
      </c>
      <c r="G3" s="8">
        <f>(F3*1.035)</f>
        <v>344256.90018749994</v>
      </c>
    </row>
    <row r="4" spans="1:14" x14ac:dyDescent="0.2">
      <c r="A4" t="s">
        <v>95</v>
      </c>
      <c r="B4" s="8">
        <f>C3*0.05</f>
        <v>15000</v>
      </c>
      <c r="C4" s="8">
        <f>D3*0.05</f>
        <v>15525</v>
      </c>
      <c r="D4" s="8">
        <f>E3*0.05</f>
        <v>16068.375</v>
      </c>
      <c r="E4" s="8">
        <f>F3*0.05</f>
        <v>16630.768124999999</v>
      </c>
      <c r="F4" s="8">
        <f>G3*0.05</f>
        <v>17212.845009374996</v>
      </c>
      <c r="G4" s="8">
        <f>'Worst scenario'!H3*0.05</f>
        <v>0</v>
      </c>
    </row>
    <row r="6" spans="1:14" x14ac:dyDescent="0.2">
      <c r="A6" t="s">
        <v>102</v>
      </c>
      <c r="B6" t="s">
        <v>103</v>
      </c>
    </row>
    <row r="8" spans="1:14" x14ac:dyDescent="0.2">
      <c r="B8" t="s">
        <v>97</v>
      </c>
      <c r="C8" t="s">
        <v>98</v>
      </c>
      <c r="D8" t="s">
        <v>99</v>
      </c>
      <c r="E8" t="s">
        <v>100</v>
      </c>
      <c r="F8" t="s">
        <v>101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</row>
    <row r="9" spans="1:14" x14ac:dyDescent="0.2">
      <c r="A9" t="s">
        <v>13</v>
      </c>
      <c r="B9" s="8">
        <v>300000</v>
      </c>
      <c r="C9" s="8">
        <f>(B9*1.035)</f>
        <v>310500</v>
      </c>
      <c r="D9" s="8">
        <f>(C9*1.035)</f>
        <v>321367.5</v>
      </c>
      <c r="E9" s="8">
        <f>(D9*1.035)</f>
        <v>332615.36249999999</v>
      </c>
      <c r="F9" s="8">
        <f>(E9*1.035)</f>
        <v>344256.90018749994</v>
      </c>
    </row>
    <row r="10" spans="1:14" x14ac:dyDescent="0.2">
      <c r="A10" t="s">
        <v>104</v>
      </c>
      <c r="B10" s="8">
        <f>B9*0.4</f>
        <v>120000</v>
      </c>
      <c r="C10" s="8">
        <f>C9*0.4</f>
        <v>124200</v>
      </c>
      <c r="D10" s="8">
        <f>D9*0.4</f>
        <v>128547</v>
      </c>
      <c r="E10" s="8">
        <f>E9*0.4</f>
        <v>133046.14499999999</v>
      </c>
      <c r="F10" s="8">
        <f>F9*0.4</f>
        <v>137702.76007499997</v>
      </c>
    </row>
    <row r="11" spans="1:14" x14ac:dyDescent="0.2">
      <c r="A11" t="s">
        <v>79</v>
      </c>
      <c r="B11" s="8">
        <v>59643.96</v>
      </c>
      <c r="C11" s="8">
        <v>59643.96</v>
      </c>
      <c r="D11" s="8">
        <v>59643.96</v>
      </c>
      <c r="E11" s="8">
        <v>59643.96</v>
      </c>
      <c r="F11" s="8">
        <v>59643.96</v>
      </c>
      <c r="N11" t="s">
        <v>158</v>
      </c>
    </row>
    <row r="12" spans="1:14" x14ac:dyDescent="0.2">
      <c r="A12" t="s">
        <v>105</v>
      </c>
      <c r="B12" s="8">
        <f>B9-B10-B11</f>
        <v>120356.04000000001</v>
      </c>
      <c r="C12" s="8">
        <f t="shared" ref="C12:F12" si="0">C9-C10-C11</f>
        <v>126656.04000000001</v>
      </c>
      <c r="D12" s="8">
        <f t="shared" si="0"/>
        <v>133176.54</v>
      </c>
      <c r="E12" s="8">
        <f t="shared" si="0"/>
        <v>139925.25750000001</v>
      </c>
      <c r="F12" s="8">
        <f t="shared" si="0"/>
        <v>146910.18011249998</v>
      </c>
      <c r="G12" t="s">
        <v>157</v>
      </c>
    </row>
    <row r="13" spans="1:14" x14ac:dyDescent="0.2">
      <c r="A13" t="s">
        <v>42</v>
      </c>
      <c r="B13" s="8">
        <v>-3220.77</v>
      </c>
      <c r="C13" s="8">
        <v>-2576.62</v>
      </c>
      <c r="D13" s="8">
        <v>-1932.46</v>
      </c>
      <c r="E13" s="8">
        <v>-1288.31</v>
      </c>
      <c r="F13" s="8">
        <v>-644.15</v>
      </c>
      <c r="I13" s="8">
        <v>-4509.08</v>
      </c>
      <c r="J13" s="8">
        <v>-3607.27</v>
      </c>
      <c r="K13" s="8">
        <v>-2705.45</v>
      </c>
      <c r="L13" s="8">
        <v>1803.63</v>
      </c>
      <c r="M13" s="8">
        <v>-901.82</v>
      </c>
    </row>
    <row r="14" spans="1:14" x14ac:dyDescent="0.2">
      <c r="A14" t="s">
        <v>112</v>
      </c>
      <c r="B14" s="8">
        <f>(B12-B13)</f>
        <v>123576.81000000001</v>
      </c>
      <c r="C14" s="8">
        <f t="shared" ref="C14:F14" si="1">(C12-C13)</f>
        <v>129232.66</v>
      </c>
      <c r="D14" s="8">
        <f t="shared" si="1"/>
        <v>135109</v>
      </c>
      <c r="E14" s="8">
        <f t="shared" si="1"/>
        <v>141213.5675</v>
      </c>
      <c r="F14" s="8">
        <f t="shared" si="1"/>
        <v>147554.33011249997</v>
      </c>
      <c r="I14" s="8">
        <f>B12+I13</f>
        <v>115846.96</v>
      </c>
      <c r="J14" s="8">
        <f t="shared" ref="J14:M14" si="2">C12+J13</f>
        <v>123048.77</v>
      </c>
      <c r="K14" s="8">
        <f t="shared" si="2"/>
        <v>130471.09000000001</v>
      </c>
      <c r="L14" s="8">
        <f t="shared" si="2"/>
        <v>141728.88750000001</v>
      </c>
      <c r="M14" s="8">
        <f t="shared" si="2"/>
        <v>146008.36011249997</v>
      </c>
    </row>
    <row r="15" spans="1:14" x14ac:dyDescent="0.2">
      <c r="A15" t="s">
        <v>113</v>
      </c>
      <c r="B15" s="8">
        <f>B14*(1-0.28)</f>
        <v>88975.303200000009</v>
      </c>
      <c r="C15" s="8">
        <f t="shared" ref="C15:F15" si="3">C14*(1-0.28)</f>
        <v>93047.515199999994</v>
      </c>
      <c r="D15" s="8">
        <f t="shared" si="3"/>
        <v>97278.48</v>
      </c>
      <c r="E15" s="8">
        <f t="shared" si="3"/>
        <v>101673.7686</v>
      </c>
      <c r="F15" s="8">
        <f t="shared" si="3"/>
        <v>106239.11768099997</v>
      </c>
      <c r="I15" s="8">
        <f>I14*(1-0.28)</f>
        <v>83409.811199999996</v>
      </c>
      <c r="J15" s="8">
        <f t="shared" ref="J15:M15" si="4">J14*(1-0.28)</f>
        <v>88595.114400000006</v>
      </c>
      <c r="K15" s="8">
        <f t="shared" si="4"/>
        <v>93939.184800000003</v>
      </c>
      <c r="L15" s="8">
        <f t="shared" si="4"/>
        <v>102044.799</v>
      </c>
      <c r="M15" s="8">
        <f t="shared" si="4"/>
        <v>105126.01928099997</v>
      </c>
    </row>
    <row r="18" spans="1:14" x14ac:dyDescent="0.2">
      <c r="A18" t="s">
        <v>106</v>
      </c>
      <c r="B18" s="8">
        <f>B12*(1-0.28)</f>
        <v>86656.348800000007</v>
      </c>
      <c r="C18" s="8">
        <f t="shared" ref="C18:F18" si="5">C12*(1-0.28)</f>
        <v>91192.348800000007</v>
      </c>
      <c r="D18" s="8">
        <f t="shared" si="5"/>
        <v>95887.108800000002</v>
      </c>
      <c r="E18" s="8">
        <f t="shared" si="5"/>
        <v>100746.1854</v>
      </c>
      <c r="F18" s="8">
        <f t="shared" si="5"/>
        <v>105775.32968099997</v>
      </c>
    </row>
    <row r="20" spans="1:14" x14ac:dyDescent="0.2">
      <c r="A20" t="s">
        <v>115</v>
      </c>
      <c r="B20" t="s">
        <v>116</v>
      </c>
    </row>
    <row r="22" spans="1:14" x14ac:dyDescent="0.2">
      <c r="B22" t="s">
        <v>96</v>
      </c>
      <c r="C22" t="s">
        <v>97</v>
      </c>
      <c r="D22" t="s">
        <v>98</v>
      </c>
      <c r="E22" t="s">
        <v>99</v>
      </c>
      <c r="F22" t="s">
        <v>100</v>
      </c>
      <c r="G22" t="s">
        <v>101</v>
      </c>
    </row>
    <row r="23" spans="1:14" x14ac:dyDescent="0.2">
      <c r="A23" t="s">
        <v>117</v>
      </c>
      <c r="B23" s="8"/>
      <c r="C23" s="8">
        <f>B12*(1-0.28)</f>
        <v>86656.348800000007</v>
      </c>
      <c r="D23" s="8">
        <f t="shared" ref="D23:G23" si="6">C12*(1-0.28)</f>
        <v>91192.348800000007</v>
      </c>
      <c r="E23" s="8">
        <f t="shared" si="6"/>
        <v>95887.108800000002</v>
      </c>
      <c r="F23" s="8">
        <f t="shared" si="6"/>
        <v>100746.1854</v>
      </c>
      <c r="G23" s="8">
        <f t="shared" si="6"/>
        <v>105775.32968099997</v>
      </c>
    </row>
    <row r="24" spans="1:14" x14ac:dyDescent="0.2">
      <c r="A24" t="s">
        <v>79</v>
      </c>
      <c r="B24" s="8"/>
      <c r="C24" s="8">
        <f>-(B25*0.1)</f>
        <v>59643.963000000003</v>
      </c>
      <c r="D24" s="8">
        <f>-(B25*0.1)</f>
        <v>59643.963000000003</v>
      </c>
      <c r="E24" s="8">
        <f>-(B25*0.1)</f>
        <v>59643.963000000003</v>
      </c>
      <c r="F24" s="8">
        <f>-(B25*0.1)</f>
        <v>59643.963000000003</v>
      </c>
      <c r="G24" s="8">
        <f>-(B25*0.1)</f>
        <v>59643.963000000003</v>
      </c>
    </row>
    <row r="25" spans="1:14" x14ac:dyDescent="0.2">
      <c r="A25" t="s">
        <v>119</v>
      </c>
      <c r="B25" s="8">
        <v>-596439.63</v>
      </c>
      <c r="C25" s="8"/>
      <c r="D25" s="8"/>
      <c r="E25" s="8"/>
      <c r="F25" s="8"/>
      <c r="G25" s="8"/>
    </row>
    <row r="26" spans="1:14" x14ac:dyDescent="0.2">
      <c r="A26" t="s">
        <v>120</v>
      </c>
      <c r="B26" s="8">
        <v>-15000</v>
      </c>
      <c r="C26" s="8">
        <f>B4-C4</f>
        <v>-525</v>
      </c>
      <c r="D26" s="8">
        <f>C4-D4</f>
        <v>-543.375</v>
      </c>
      <c r="E26" s="8">
        <f>D4-E4</f>
        <v>-562.39312499999869</v>
      </c>
      <c r="F26" s="8">
        <f>E4-F4</f>
        <v>-582.07688437499746</v>
      </c>
      <c r="G26" s="8"/>
    </row>
    <row r="27" spans="1:14" x14ac:dyDescent="0.2">
      <c r="A27" t="s">
        <v>121</v>
      </c>
      <c r="B27" s="8"/>
      <c r="C27" s="8"/>
      <c r="D27" s="8"/>
      <c r="E27" s="8"/>
      <c r="F27" s="8"/>
      <c r="G27" s="8">
        <f>-(B26+C26+D26+E26+F26)</f>
        <v>17212.845009374996</v>
      </c>
    </row>
    <row r="28" spans="1:14" x14ac:dyDescent="0.2">
      <c r="A28" t="s">
        <v>122</v>
      </c>
      <c r="B28" s="8">
        <f>B25+B26</f>
        <v>-611439.63</v>
      </c>
      <c r="C28" s="8">
        <f>C23+C24+C26</f>
        <v>145775.31180000002</v>
      </c>
      <c r="D28" s="8">
        <f>D23+D24+D26</f>
        <v>150292.93680000002</v>
      </c>
      <c r="E28" s="8">
        <f>E23+E24+E26</f>
        <v>154968.678675</v>
      </c>
      <c r="F28" s="8">
        <f>F23+F24+F26</f>
        <v>159808.07151562499</v>
      </c>
      <c r="G28" s="8">
        <f>G23+G24+G27</f>
        <v>182632.13769037495</v>
      </c>
    </row>
    <row r="29" spans="1:14" x14ac:dyDescent="0.2">
      <c r="H29" t="s">
        <v>149</v>
      </c>
      <c r="I29" t="s">
        <v>150</v>
      </c>
    </row>
    <row r="30" spans="1:14" x14ac:dyDescent="0.2">
      <c r="A30" t="s">
        <v>127</v>
      </c>
      <c r="B30" s="8">
        <f>-(B25*0.5)</f>
        <v>298219.815</v>
      </c>
      <c r="C30" s="8"/>
      <c r="D30" s="8"/>
      <c r="E30" s="8"/>
      <c r="F30" s="8"/>
      <c r="G30" s="8"/>
      <c r="H30" t="s">
        <v>153</v>
      </c>
    </row>
    <row r="31" spans="1:14" x14ac:dyDescent="0.2">
      <c r="A31" t="s">
        <v>128</v>
      </c>
      <c r="B31" s="8"/>
      <c r="C31" s="8">
        <f>-(B30*0.2)</f>
        <v>-59643.963000000003</v>
      </c>
      <c r="D31" s="8">
        <f>-(B30*0.2)</f>
        <v>-59643.963000000003</v>
      </c>
      <c r="E31" s="8">
        <f>-(B30*0.2)</f>
        <v>-59643.963000000003</v>
      </c>
      <c r="F31" s="8">
        <f>-(B30*0.2)</f>
        <v>-59643.963000000003</v>
      </c>
      <c r="G31" s="8">
        <f>-(B30*0.2)</f>
        <v>-59643.963000000003</v>
      </c>
    </row>
    <row r="32" spans="1:14" x14ac:dyDescent="0.2">
      <c r="A32" t="s">
        <v>42</v>
      </c>
      <c r="B32" s="8"/>
      <c r="C32" s="8">
        <f>-(B30*0.0108)</f>
        <v>-3220.7740020000001</v>
      </c>
      <c r="D32" s="8">
        <f>-(B30+C31)*0.0108</f>
        <v>-2576.6192016000005</v>
      </c>
      <c r="E32" s="8">
        <f>-(B30+C31+D31)*0.0108</f>
        <v>-1932.4644012000003</v>
      </c>
      <c r="F32" s="8">
        <f>-(B30+C31+D31+E31)*0.0108</f>
        <v>-1288.3096008000002</v>
      </c>
      <c r="G32" s="8">
        <f>-(B30+C31+D31+E31+F31)*0.0108</f>
        <v>-644.15480040000023</v>
      </c>
      <c r="I32" t="s">
        <v>137</v>
      </c>
      <c r="J32">
        <v>4.7899999999999998E-2</v>
      </c>
      <c r="K32" s="6">
        <v>4.7899999999999998E-2</v>
      </c>
      <c r="L32" t="s">
        <v>138</v>
      </c>
      <c r="M32">
        <v>6.7900000000000002E-2</v>
      </c>
      <c r="N32" s="6">
        <v>6.7900000000000002E-2</v>
      </c>
    </row>
    <row r="33" spans="1:12" x14ac:dyDescent="0.2">
      <c r="A33" t="s">
        <v>130</v>
      </c>
      <c r="B33" s="8"/>
      <c r="C33" s="8">
        <f>-(C32*0.28)</f>
        <v>901.81672056000014</v>
      </c>
      <c r="D33" s="8">
        <f t="shared" ref="D33:G33" si="7">-(D32*0.28)</f>
        <v>721.4533764480002</v>
      </c>
      <c r="E33" s="8">
        <f t="shared" si="7"/>
        <v>541.09003233600015</v>
      </c>
      <c r="F33" s="8">
        <f t="shared" si="7"/>
        <v>360.7266882240001</v>
      </c>
      <c r="G33" s="8">
        <f t="shared" si="7"/>
        <v>180.36334411200008</v>
      </c>
      <c r="I33" t="s">
        <v>144</v>
      </c>
      <c r="J33">
        <v>0.5</v>
      </c>
    </row>
    <row r="34" spans="1:12" x14ac:dyDescent="0.2">
      <c r="A34" t="s">
        <v>131</v>
      </c>
      <c r="B34" s="8">
        <f>B28+B30</f>
        <v>-313219.815</v>
      </c>
      <c r="C34" s="8">
        <f>C28+C31+C32+C33</f>
        <v>83812.39151856002</v>
      </c>
      <c r="D34" s="8">
        <f>D28+D31+D32+D33</f>
        <v>88793.807974848023</v>
      </c>
      <c r="E34" s="8">
        <f>E28+E31+E32+E33</f>
        <v>93933.34130613599</v>
      </c>
      <c r="F34" s="8">
        <f>F28+F31+F32+F33</f>
        <v>99236.525603048998</v>
      </c>
      <c r="G34" s="8">
        <f>G28+G31+G32+G33</f>
        <v>122524.38323408694</v>
      </c>
    </row>
    <row r="35" spans="1:12" x14ac:dyDescent="0.2">
      <c r="I35" t="s">
        <v>141</v>
      </c>
      <c r="J35" s="10">
        <f>NPV(J32,B28,C28,D28,E28,F28,G28)</f>
        <v>72794.825420328329</v>
      </c>
      <c r="L35" t="s">
        <v>151</v>
      </c>
    </row>
    <row r="36" spans="1:12" x14ac:dyDescent="0.2">
      <c r="I36" t="s">
        <v>142</v>
      </c>
      <c r="J36" s="10">
        <f>NPV(M32,B34,C34,D34,E34,F34,G34)</f>
        <v>79389.934287072974</v>
      </c>
    </row>
    <row r="39" spans="1:12" x14ac:dyDescent="0.2">
      <c r="H39" t="s">
        <v>152</v>
      </c>
      <c r="I39" t="s">
        <v>150</v>
      </c>
    </row>
    <row r="40" spans="1:12" x14ac:dyDescent="0.2">
      <c r="A40" t="s">
        <v>127</v>
      </c>
      <c r="B40" s="8">
        <f>-(B25*0.7)</f>
        <v>417507.74099999998</v>
      </c>
      <c r="C40" s="8"/>
      <c r="D40" s="8"/>
      <c r="E40" s="8"/>
      <c r="F40" s="8"/>
      <c r="G40" s="8"/>
      <c r="H40" t="s">
        <v>153</v>
      </c>
    </row>
    <row r="41" spans="1:12" x14ac:dyDescent="0.2">
      <c r="A41" t="s">
        <v>128</v>
      </c>
      <c r="B41" s="8"/>
      <c r="C41" s="8">
        <f>-(B40*0.2)</f>
        <v>-83501.548200000005</v>
      </c>
      <c r="D41" s="8">
        <f>-(B40*0.2)</f>
        <v>-83501.548200000005</v>
      </c>
      <c r="E41" s="8">
        <f>-(B40*0.2)</f>
        <v>-83501.548200000005</v>
      </c>
      <c r="F41" s="8">
        <f>-(B40*0.2)</f>
        <v>-83501.548200000005</v>
      </c>
      <c r="G41" s="8">
        <f>-(B40*0.2)</f>
        <v>-83501.548200000005</v>
      </c>
      <c r="I41" t="s">
        <v>145</v>
      </c>
      <c r="J41" s="8">
        <f>-(B25+J42)</f>
        <v>178931.89</v>
      </c>
    </row>
    <row r="42" spans="1:12" x14ac:dyDescent="0.2">
      <c r="A42" t="s">
        <v>42</v>
      </c>
      <c r="B42" s="8"/>
      <c r="C42" s="8">
        <f>-(B40*0.0108)</f>
        <v>-4509.0836028000003</v>
      </c>
      <c r="D42" s="8">
        <f>-(B40+C41)*0.0108</f>
        <v>-3607.2668822399996</v>
      </c>
      <c r="E42" s="8">
        <f>-(B40+C41+D41)*0.0108</f>
        <v>-2705.4501616799994</v>
      </c>
      <c r="F42" s="8">
        <f>-(B40+C41+D41+E41)*0.0108</f>
        <v>-1803.6334411199994</v>
      </c>
      <c r="G42" s="8">
        <f>-(B40+C41+D41+E41+F41)*0.0108</f>
        <v>-901.81672055999911</v>
      </c>
      <c r="I42" t="s">
        <v>146</v>
      </c>
      <c r="J42" s="8">
        <v>417507.74</v>
      </c>
    </row>
    <row r="43" spans="1:12" x14ac:dyDescent="0.2">
      <c r="A43" t="s">
        <v>130</v>
      </c>
      <c r="B43" s="8"/>
      <c r="C43" s="8">
        <f>-(C42*0.28)</f>
        <v>1262.5434087840001</v>
      </c>
      <c r="D43" s="8">
        <f>-(D42*0.28)</f>
        <v>1010.0347270272</v>
      </c>
      <c r="E43" s="8">
        <f>-(E42*0.28)</f>
        <v>757.52604527039989</v>
      </c>
      <c r="F43" s="8">
        <f>-(F42*0.28)</f>
        <v>505.01736351359989</v>
      </c>
      <c r="G43" s="8">
        <f>-(G42*0.28)</f>
        <v>252.50868175679977</v>
      </c>
      <c r="I43" t="s">
        <v>138</v>
      </c>
      <c r="J43">
        <v>6.7900000000000002E-2</v>
      </c>
      <c r="K43" s="6">
        <v>6.7900000000000002E-2</v>
      </c>
    </row>
    <row r="44" spans="1:12" x14ac:dyDescent="0.2">
      <c r="A44" t="s">
        <v>131</v>
      </c>
      <c r="B44" s="8">
        <f>B28+B40</f>
        <v>-193931.88900000002</v>
      </c>
      <c r="C44" s="8">
        <f>C28+C41+C42+C43</f>
        <v>59027.223405984019</v>
      </c>
      <c r="D44" s="8">
        <f>D28+D41+D42+D43</f>
        <v>64194.156444787222</v>
      </c>
      <c r="E44" s="8">
        <f>E28+E41+E42+E43</f>
        <v>69519.206358590396</v>
      </c>
      <c r="F44" s="8">
        <f>F28+F41+F42+F43</f>
        <v>75007.907238018597</v>
      </c>
      <c r="G44" s="8">
        <f>G28+G41+G42+G43</f>
        <v>98481.281451571733</v>
      </c>
      <c r="I44" t="s">
        <v>139</v>
      </c>
      <c r="J44">
        <v>2.7900000000000001E-2</v>
      </c>
      <c r="K44" s="6">
        <v>2.7900000000000001E-2</v>
      </c>
    </row>
    <row r="45" spans="1:12" x14ac:dyDescent="0.2">
      <c r="I45" t="s">
        <v>154</v>
      </c>
      <c r="J45">
        <f>-(J41/B25)</f>
        <v>0.30000000167661567</v>
      </c>
      <c r="K45" t="s">
        <v>155</v>
      </c>
    </row>
    <row r="46" spans="1:12" x14ac:dyDescent="0.2">
      <c r="J46">
        <f>-(J42/B25)</f>
        <v>0.69999999832338433</v>
      </c>
    </row>
    <row r="48" spans="1:12" x14ac:dyDescent="0.2">
      <c r="I48" t="s">
        <v>137</v>
      </c>
      <c r="J48">
        <f>J43*J45+J44*J46</f>
        <v>3.990000006706463E-2</v>
      </c>
      <c r="K48" s="6">
        <v>3.9899999999999998E-2</v>
      </c>
    </row>
    <row r="50" spans="9:10" x14ac:dyDescent="0.2">
      <c r="I50" t="s">
        <v>141</v>
      </c>
      <c r="J50" s="10">
        <f>NPV(J48,B28,C28,D28,E28,F28,G28)</f>
        <v>88825.27862783325</v>
      </c>
    </row>
    <row r="51" spans="9:10" x14ac:dyDescent="0.2">
      <c r="I51" t="s">
        <v>142</v>
      </c>
      <c r="J51" s="10">
        <f>NPV(J43,B44,C44,D44,E44,F44,G44)</f>
        <v>96731.865885165796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B6E0-627B-6D49-AA36-0BD689FE42AE}">
  <dimension ref="A1:P40"/>
  <sheetViews>
    <sheetView workbookViewId="0">
      <selection activeCell="H17" sqref="H17"/>
    </sheetView>
  </sheetViews>
  <sheetFormatPr baseColWidth="10" defaultRowHeight="16" x14ac:dyDescent="0.2"/>
  <cols>
    <col min="1" max="1" width="21.5" customWidth="1"/>
    <col min="2" max="2" width="16" customWidth="1"/>
    <col min="3" max="3" width="13.5" customWidth="1"/>
    <col min="4" max="4" width="16.6640625" customWidth="1"/>
    <col min="5" max="5" width="16.33203125" customWidth="1"/>
    <col min="6" max="6" width="14.83203125" customWidth="1"/>
    <col min="7" max="7" width="16.33203125" customWidth="1"/>
    <col min="8" max="9" width="15.6640625" customWidth="1"/>
    <col min="10" max="10" width="21.1640625" customWidth="1"/>
    <col min="11" max="11" width="14.6640625" customWidth="1"/>
    <col min="12" max="12" width="12.5" customWidth="1"/>
    <col min="13" max="13" width="14.1640625" customWidth="1"/>
  </cols>
  <sheetData>
    <row r="1" spans="1:16" x14ac:dyDescent="0.2">
      <c r="A1" t="s">
        <v>93</v>
      </c>
      <c r="B1" t="s">
        <v>94</v>
      </c>
    </row>
    <row r="2" spans="1:16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</row>
    <row r="3" spans="1:16" x14ac:dyDescent="0.2">
      <c r="A3" t="s">
        <v>161</v>
      </c>
      <c r="B3" s="8"/>
      <c r="C3" s="8">
        <v>300000</v>
      </c>
      <c r="D3" s="8">
        <f>C3*1.035</f>
        <v>310500</v>
      </c>
      <c r="E3" s="8">
        <f t="shared" ref="E3:G3" si="0">D3*1.035</f>
        <v>321367.5</v>
      </c>
      <c r="F3" s="8">
        <f t="shared" si="0"/>
        <v>332615.36249999999</v>
      </c>
      <c r="G3" s="8">
        <f t="shared" si="0"/>
        <v>344256.90018749994</v>
      </c>
    </row>
    <row r="4" spans="1:16" x14ac:dyDescent="0.2">
      <c r="A4" t="s">
        <v>95</v>
      </c>
      <c r="B4" s="8">
        <f>C3*0.05</f>
        <v>15000</v>
      </c>
      <c r="C4" s="8">
        <f t="shared" ref="C4:G4" si="1">D3*0.05</f>
        <v>15525</v>
      </c>
      <c r="D4" s="8">
        <f t="shared" si="1"/>
        <v>16068.375</v>
      </c>
      <c r="E4" s="8">
        <f t="shared" si="1"/>
        <v>16630.768124999999</v>
      </c>
      <c r="F4" s="8">
        <f t="shared" si="1"/>
        <v>17212.845009374996</v>
      </c>
      <c r="G4" s="8">
        <f t="shared" si="1"/>
        <v>0</v>
      </c>
    </row>
    <row r="6" spans="1:16" x14ac:dyDescent="0.2">
      <c r="A6" t="s">
        <v>102</v>
      </c>
      <c r="B6" t="s">
        <v>103</v>
      </c>
    </row>
    <row r="8" spans="1:16" x14ac:dyDescent="0.2">
      <c r="B8" t="s">
        <v>97</v>
      </c>
      <c r="C8" t="s">
        <v>98</v>
      </c>
      <c r="D8" t="s">
        <v>99</v>
      </c>
      <c r="E8" t="s">
        <v>100</v>
      </c>
      <c r="F8" t="s">
        <v>101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</row>
    <row r="9" spans="1:16" x14ac:dyDescent="0.2">
      <c r="A9" t="s">
        <v>13</v>
      </c>
      <c r="B9" s="8">
        <v>300000</v>
      </c>
      <c r="C9" s="8">
        <f>B9*1.035</f>
        <v>310500</v>
      </c>
      <c r="D9" s="8">
        <f t="shared" ref="D9:F9" si="2">C9*1.035</f>
        <v>321367.5</v>
      </c>
      <c r="E9" s="8">
        <f t="shared" si="2"/>
        <v>332615.36249999999</v>
      </c>
      <c r="F9" s="8">
        <f t="shared" si="2"/>
        <v>344256.90018749994</v>
      </c>
    </row>
    <row r="10" spans="1:16" x14ac:dyDescent="0.2">
      <c r="A10" t="s">
        <v>104</v>
      </c>
      <c r="B10" s="8">
        <f>B9*0.25</f>
        <v>75000</v>
      </c>
      <c r="C10" s="8">
        <f t="shared" ref="C10:F10" si="3">C9*0.25</f>
        <v>77625</v>
      </c>
      <c r="D10" s="8">
        <f t="shared" si="3"/>
        <v>80341.875</v>
      </c>
      <c r="E10" s="8">
        <f t="shared" si="3"/>
        <v>83153.840624999997</v>
      </c>
      <c r="F10" s="8">
        <f t="shared" si="3"/>
        <v>86064.225046874984</v>
      </c>
    </row>
    <row r="11" spans="1:16" x14ac:dyDescent="0.2">
      <c r="A11" t="s">
        <v>79</v>
      </c>
      <c r="B11" s="8">
        <v>59643.96</v>
      </c>
      <c r="C11" s="8">
        <v>59643.96</v>
      </c>
      <c r="D11" s="8">
        <v>59643.96</v>
      </c>
      <c r="E11" s="8">
        <v>59643.96</v>
      </c>
      <c r="F11" s="8">
        <v>59643.96</v>
      </c>
    </row>
    <row r="12" spans="1:16" x14ac:dyDescent="0.2">
      <c r="A12" t="s">
        <v>105</v>
      </c>
      <c r="B12" s="8">
        <f>B9-B10-B11</f>
        <v>165356.04</v>
      </c>
      <c r="C12" s="8">
        <f t="shared" ref="C12:F12" si="4">C9-C10-C11</f>
        <v>173231.04</v>
      </c>
      <c r="D12" s="8">
        <f t="shared" si="4"/>
        <v>181381.66500000001</v>
      </c>
      <c r="E12" s="8">
        <f t="shared" si="4"/>
        <v>189817.56187499998</v>
      </c>
      <c r="F12" s="8">
        <f t="shared" si="4"/>
        <v>198548.71514062496</v>
      </c>
      <c r="G12" t="s">
        <v>164</v>
      </c>
      <c r="I12" s="8"/>
      <c r="J12" s="8"/>
      <c r="K12" s="8"/>
      <c r="L12" s="8"/>
      <c r="M12" s="8"/>
      <c r="P12" t="s">
        <v>165</v>
      </c>
    </row>
    <row r="13" spans="1:16" x14ac:dyDescent="0.2">
      <c r="A13" t="s">
        <v>42</v>
      </c>
      <c r="B13" s="8">
        <v>-3220.77</v>
      </c>
      <c r="C13" s="8">
        <v>-2576.62</v>
      </c>
      <c r="D13" s="8">
        <v>-1932.46</v>
      </c>
      <c r="E13" s="8">
        <v>-1288.31</v>
      </c>
      <c r="F13" s="8">
        <v>-644.15</v>
      </c>
      <c r="I13" s="8">
        <v>-4509.08</v>
      </c>
      <c r="J13" s="8">
        <v>-3607.27</v>
      </c>
      <c r="K13" s="8">
        <v>-2705.45</v>
      </c>
      <c r="L13" s="8">
        <v>-1803.63</v>
      </c>
      <c r="M13" s="8">
        <v>-901.82</v>
      </c>
    </row>
    <row r="14" spans="1:16" x14ac:dyDescent="0.2">
      <c r="A14" t="s">
        <v>112</v>
      </c>
      <c r="B14" s="8">
        <f>B12+B13</f>
        <v>162135.27000000002</v>
      </c>
      <c r="C14" s="8">
        <f t="shared" ref="C14:F14" si="5">C12+C13</f>
        <v>170654.42</v>
      </c>
      <c r="D14" s="8">
        <f t="shared" si="5"/>
        <v>179449.20500000002</v>
      </c>
      <c r="E14" s="8">
        <f t="shared" si="5"/>
        <v>188529.25187499999</v>
      </c>
      <c r="F14" s="8">
        <f t="shared" si="5"/>
        <v>197904.56514062497</v>
      </c>
      <c r="I14" s="8">
        <f>B12+I13</f>
        <v>160846.96000000002</v>
      </c>
      <c r="J14" s="8">
        <f t="shared" ref="J14:M14" si="6">C12+J13</f>
        <v>169623.77000000002</v>
      </c>
      <c r="K14" s="8">
        <f t="shared" si="6"/>
        <v>178676.215</v>
      </c>
      <c r="L14" s="8">
        <f t="shared" si="6"/>
        <v>188013.93187499998</v>
      </c>
      <c r="M14" s="8">
        <f t="shared" si="6"/>
        <v>197646.89514062495</v>
      </c>
    </row>
    <row r="15" spans="1:16" x14ac:dyDescent="0.2">
      <c r="A15" t="s">
        <v>162</v>
      </c>
      <c r="B15" s="8">
        <f>B14*(1-0.28)</f>
        <v>116737.3944</v>
      </c>
      <c r="C15" s="8">
        <f t="shared" ref="C15:F15" si="7">C14*(1-0.28)</f>
        <v>122871.18240000001</v>
      </c>
      <c r="D15" s="8">
        <f t="shared" si="7"/>
        <v>129203.42760000001</v>
      </c>
      <c r="E15" s="8">
        <f t="shared" si="7"/>
        <v>135741.06134999997</v>
      </c>
      <c r="F15" s="8">
        <f t="shared" si="7"/>
        <v>142491.28690124996</v>
      </c>
      <c r="I15" s="8">
        <f>I14*(1-0.28)</f>
        <v>115809.81120000001</v>
      </c>
      <c r="J15" s="8">
        <f t="shared" ref="J15:M15" si="8">J14*(1-0.28)</f>
        <v>122129.11440000001</v>
      </c>
      <c r="K15" s="8">
        <f t="shared" si="8"/>
        <v>128646.87479999999</v>
      </c>
      <c r="L15" s="8">
        <f t="shared" si="8"/>
        <v>135370.03094999999</v>
      </c>
      <c r="M15" s="8">
        <f t="shared" si="8"/>
        <v>142305.76450124997</v>
      </c>
    </row>
    <row r="18" spans="1:15" x14ac:dyDescent="0.2">
      <c r="A18" t="s">
        <v>115</v>
      </c>
      <c r="B18" t="s">
        <v>163</v>
      </c>
    </row>
    <row r="20" spans="1:15" x14ac:dyDescent="0.2"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">
        <v>101</v>
      </c>
    </row>
    <row r="21" spans="1:15" x14ac:dyDescent="0.2">
      <c r="A21" t="s">
        <v>117</v>
      </c>
      <c r="B21" s="8"/>
      <c r="C21" s="8">
        <f>B12*(1-0.28)</f>
        <v>119056.34880000001</v>
      </c>
      <c r="D21" s="8">
        <f t="shared" ref="D21:F21" si="9">C12*(1-0.28)</f>
        <v>124726.34880000001</v>
      </c>
      <c r="E21" s="8">
        <f t="shared" si="9"/>
        <v>130594.7988</v>
      </c>
      <c r="F21" s="8">
        <f t="shared" si="9"/>
        <v>136668.64455</v>
      </c>
      <c r="G21" s="8">
        <f>F12*(1-0.28)</f>
        <v>142955.07490124996</v>
      </c>
    </row>
    <row r="22" spans="1:15" x14ac:dyDescent="0.2">
      <c r="A22" t="s">
        <v>79</v>
      </c>
      <c r="C22" s="8">
        <v>59643.96</v>
      </c>
      <c r="D22" s="8">
        <v>59643.96</v>
      </c>
      <c r="E22" s="8">
        <v>59643.96</v>
      </c>
      <c r="F22" s="8">
        <v>59643.96</v>
      </c>
      <c r="G22" s="8">
        <v>59643.96</v>
      </c>
    </row>
    <row r="23" spans="1:15" x14ac:dyDescent="0.2">
      <c r="A23" t="s">
        <v>119</v>
      </c>
      <c r="B23" s="8">
        <v>-596439.63</v>
      </c>
      <c r="C23" s="8"/>
      <c r="D23" s="8"/>
      <c r="E23" s="8"/>
      <c r="F23" s="8"/>
      <c r="G23" s="8"/>
    </row>
    <row r="24" spans="1:15" x14ac:dyDescent="0.2">
      <c r="A24" t="s">
        <v>120</v>
      </c>
      <c r="B24" s="8">
        <v>-15000</v>
      </c>
      <c r="C24" s="8">
        <f>B4-C4</f>
        <v>-525</v>
      </c>
      <c r="D24" s="8">
        <f>C4-D4</f>
        <v>-543.375</v>
      </c>
      <c r="E24" s="8">
        <f>D4-E4</f>
        <v>-562.39312499999869</v>
      </c>
      <c r="F24" s="8">
        <f>E4-F4</f>
        <v>-582.07688437499746</v>
      </c>
      <c r="G24" s="8"/>
    </row>
    <row r="25" spans="1:15" x14ac:dyDescent="0.2">
      <c r="A25" t="s">
        <v>121</v>
      </c>
      <c r="B25" s="8"/>
      <c r="C25" s="8"/>
      <c r="D25" s="8"/>
      <c r="E25" s="8"/>
      <c r="F25" s="8"/>
      <c r="G25" s="8">
        <f>-(B24+C24+D24+E24+F24)</f>
        <v>17212.845009374996</v>
      </c>
    </row>
    <row r="26" spans="1:15" x14ac:dyDescent="0.2">
      <c r="A26" t="s">
        <v>122</v>
      </c>
      <c r="B26" s="8">
        <f>B23+B24</f>
        <v>-611439.63</v>
      </c>
      <c r="C26" s="8">
        <f>C21+C22+C24</f>
        <v>178175.3088</v>
      </c>
      <c r="D26" s="8">
        <f t="shared" ref="D26:G26" si="10">D21+D22+D24</f>
        <v>183826.9338</v>
      </c>
      <c r="E26" s="8">
        <f t="shared" si="10"/>
        <v>189676.36567500001</v>
      </c>
      <c r="F26" s="8">
        <f t="shared" si="10"/>
        <v>195730.52766562498</v>
      </c>
      <c r="G26" s="8">
        <f t="shared" si="10"/>
        <v>202599.03490124995</v>
      </c>
      <c r="H26" t="s">
        <v>166</v>
      </c>
    </row>
    <row r="27" spans="1:15" x14ac:dyDescent="0.2">
      <c r="H27" t="s">
        <v>167</v>
      </c>
      <c r="J27" t="s">
        <v>137</v>
      </c>
      <c r="K27">
        <v>4.7899999999999998E-2</v>
      </c>
      <c r="L27" s="6">
        <v>4.7899999999999998E-2</v>
      </c>
      <c r="M27" t="s">
        <v>138</v>
      </c>
      <c r="N27">
        <v>6.7900000000000002E-2</v>
      </c>
      <c r="O27" s="6">
        <v>6.7900000000000002E-2</v>
      </c>
    </row>
    <row r="28" spans="1:15" x14ac:dyDescent="0.2">
      <c r="A28" t="s">
        <v>127</v>
      </c>
      <c r="B28" s="8">
        <f>-(B23*0.5)</f>
        <v>298219.815</v>
      </c>
      <c r="C28" s="8"/>
      <c r="D28" s="8"/>
      <c r="E28" s="8"/>
      <c r="F28" s="8"/>
      <c r="G28" s="8"/>
      <c r="J28" t="s">
        <v>168</v>
      </c>
      <c r="K28">
        <v>0.5</v>
      </c>
    </row>
    <row r="29" spans="1:15" x14ac:dyDescent="0.2">
      <c r="A29" t="s">
        <v>128</v>
      </c>
      <c r="B29" s="8"/>
      <c r="C29" s="8">
        <f>-B28/5</f>
        <v>-59643.963000000003</v>
      </c>
      <c r="D29" s="8">
        <f>-B28/5</f>
        <v>-59643.963000000003</v>
      </c>
      <c r="E29" s="8">
        <f>-B28/5</f>
        <v>-59643.963000000003</v>
      </c>
      <c r="F29" s="8">
        <f>-B28/5</f>
        <v>-59643.963000000003</v>
      </c>
      <c r="G29" s="8">
        <f>-B28/5</f>
        <v>-59643.963000000003</v>
      </c>
    </row>
    <row r="30" spans="1:15" x14ac:dyDescent="0.2">
      <c r="A30" t="s">
        <v>42</v>
      </c>
      <c r="B30" s="8"/>
      <c r="C30" s="8">
        <f>-(B28*0.0108)</f>
        <v>-3220.7740020000001</v>
      </c>
      <c r="D30" s="8">
        <f>-(B28+C29)*0.0108</f>
        <v>-2576.6192016000005</v>
      </c>
      <c r="E30" s="8">
        <f>-(B28+C29+D29)*0.0108</f>
        <v>-1932.4644012000003</v>
      </c>
      <c r="F30" s="8">
        <f>-(B28+C29+D29+E29)*0.0108</f>
        <v>-1288.3096008000002</v>
      </c>
      <c r="G30" s="8">
        <f>-(B28+C29+D29+E29+F29)*0.0108</f>
        <v>-644.15480040000023</v>
      </c>
      <c r="J30" t="s">
        <v>141</v>
      </c>
      <c r="K30" s="10">
        <f>NPV(K27,B26,C26,D26,E26,F26,G26)</f>
        <v>203735.59705326124</v>
      </c>
    </row>
    <row r="31" spans="1:15" x14ac:dyDescent="0.2">
      <c r="A31" t="s">
        <v>130</v>
      </c>
      <c r="B31" s="8"/>
      <c r="C31" s="8">
        <f>-(C30*0.28)</f>
        <v>901.81672056000014</v>
      </c>
      <c r="D31" s="8">
        <f t="shared" ref="D31:G31" si="11">-(D30*0.28)</f>
        <v>721.4533764480002</v>
      </c>
      <c r="E31" s="8">
        <f t="shared" si="11"/>
        <v>541.09003233600015</v>
      </c>
      <c r="F31" s="8">
        <f t="shared" si="11"/>
        <v>360.7266882240001</v>
      </c>
      <c r="G31" s="8">
        <f t="shared" si="11"/>
        <v>180.36334411200008</v>
      </c>
      <c r="J31" t="s">
        <v>142</v>
      </c>
      <c r="K31" s="10">
        <f>NPV(N27,B32,C32,D32,E32,F32,G32)</f>
        <v>201351.0912146768</v>
      </c>
    </row>
    <row r="32" spans="1:15" x14ac:dyDescent="0.2">
      <c r="A32" t="s">
        <v>131</v>
      </c>
      <c r="B32" s="8">
        <f>B26+B28</f>
        <v>-313219.815</v>
      </c>
      <c r="C32" s="8">
        <f>C26+C29+C30+C31</f>
        <v>116212.38851855999</v>
      </c>
      <c r="D32" s="8">
        <f>D26+D29+D30+D31</f>
        <v>122327.804974848</v>
      </c>
      <c r="E32" s="8">
        <f>E26+E29+E30+E31</f>
        <v>128641.028306136</v>
      </c>
      <c r="F32" s="8">
        <f>F26+F29+F30+F31</f>
        <v>135158.98175304898</v>
      </c>
      <c r="G32" s="8">
        <f>G26+G29+G30+G31</f>
        <v>142491.28044496194</v>
      </c>
    </row>
    <row r="34" spans="1:13" x14ac:dyDescent="0.2">
      <c r="H34" t="s">
        <v>169</v>
      </c>
    </row>
    <row r="35" spans="1:13" x14ac:dyDescent="0.2">
      <c r="A35" t="s">
        <v>127</v>
      </c>
      <c r="B35" s="8">
        <f>-B23*0.7</f>
        <v>417507.74099999998</v>
      </c>
      <c r="C35" s="8"/>
      <c r="D35" s="8"/>
      <c r="E35" s="8"/>
      <c r="F35" s="8"/>
      <c r="G35" s="8"/>
    </row>
    <row r="36" spans="1:13" x14ac:dyDescent="0.2">
      <c r="A36" t="s">
        <v>128</v>
      </c>
      <c r="B36" s="8"/>
      <c r="C36" s="8">
        <f>-B35*0.2</f>
        <v>-83501.548200000005</v>
      </c>
      <c r="D36" s="8">
        <f>-B35*0.2</f>
        <v>-83501.548200000005</v>
      </c>
      <c r="E36" s="8">
        <f>-B35*0.2</f>
        <v>-83501.548200000005</v>
      </c>
      <c r="F36" s="8">
        <f>-B35*0.2</f>
        <v>-83501.548200000005</v>
      </c>
      <c r="G36" s="8">
        <f>-B35*0.2</f>
        <v>-83501.548200000005</v>
      </c>
      <c r="J36" t="s">
        <v>137</v>
      </c>
      <c r="K36">
        <v>3.9899999999999998E-2</v>
      </c>
      <c r="L36" s="6">
        <v>3.9E-2</v>
      </c>
      <c r="M36" t="s">
        <v>170</v>
      </c>
    </row>
    <row r="37" spans="1:13" x14ac:dyDescent="0.2">
      <c r="A37" t="s">
        <v>42</v>
      </c>
      <c r="B37" s="8"/>
      <c r="C37" s="8">
        <f>-(B35*0.0108)</f>
        <v>-4509.0836028000003</v>
      </c>
      <c r="D37" s="8">
        <f>-(B35+C36)*0.0108</f>
        <v>-3607.2668822399996</v>
      </c>
      <c r="E37" s="8">
        <f>-(B35+C36+D36)*0.0108</f>
        <v>-2705.4501616799994</v>
      </c>
      <c r="F37" s="8">
        <f>-(B35+C36+D36+E36)*0.0108</f>
        <v>-1803.6334411199994</v>
      </c>
      <c r="G37" s="8">
        <f>-(B35+C36+D36+E36+F36)*0.0108</f>
        <v>-901.81672055999911</v>
      </c>
      <c r="J37" t="s">
        <v>138</v>
      </c>
      <c r="K37">
        <v>6.7900000000000002E-2</v>
      </c>
      <c r="L37" s="6">
        <v>6.7900000000000002E-2</v>
      </c>
    </row>
    <row r="38" spans="1:13" x14ac:dyDescent="0.2">
      <c r="A38" t="s">
        <v>130</v>
      </c>
      <c r="B38" s="8"/>
      <c r="C38" s="8">
        <f>-(C37*0.28)</f>
        <v>1262.5434087840001</v>
      </c>
      <c r="D38" s="8">
        <f t="shared" ref="D38:G38" si="12">-(D37*0.28)</f>
        <v>1010.0347270272</v>
      </c>
      <c r="E38" s="8">
        <f t="shared" si="12"/>
        <v>757.52604527039989</v>
      </c>
      <c r="F38" s="8">
        <f t="shared" si="12"/>
        <v>505.01736351359989</v>
      </c>
      <c r="G38" s="8">
        <f t="shared" si="12"/>
        <v>252.50868175679977</v>
      </c>
    </row>
    <row r="39" spans="1:13" x14ac:dyDescent="0.2">
      <c r="A39" t="s">
        <v>131</v>
      </c>
      <c r="B39" s="8">
        <f>B26+B35</f>
        <v>-193931.88900000002</v>
      </c>
      <c r="C39" s="8">
        <f>C26+C36+C37+C38</f>
        <v>91427.220405983986</v>
      </c>
      <c r="D39" s="8">
        <f>D26+D36+D37+D38</f>
        <v>97728.153444787196</v>
      </c>
      <c r="E39" s="8">
        <f>E26+E36+E37+E38</f>
        <v>104226.8933585904</v>
      </c>
      <c r="F39" s="8">
        <f>F26+F36+F37+F38</f>
        <v>110930.36338801858</v>
      </c>
      <c r="G39" s="8">
        <f>G26+G36+G37+G38</f>
        <v>118448.17866244673</v>
      </c>
      <c r="J39" t="s">
        <v>141</v>
      </c>
      <c r="K39" s="10">
        <f>NPV(K36,B26,C26,D26,E26,F26,G26)</f>
        <v>223615.62657796519</v>
      </c>
    </row>
    <row r="40" spans="1:13" x14ac:dyDescent="0.2">
      <c r="J40" t="s">
        <v>142</v>
      </c>
      <c r="K40" s="10">
        <f>NPV(K37,B39,C39,D39,E39,F39,G39)</f>
        <v>218693.02281276954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E3B7-C5EC-9348-B090-239E16209885}">
  <dimension ref="A1:H26"/>
  <sheetViews>
    <sheetView workbookViewId="0">
      <selection activeCell="B11" sqref="B11"/>
    </sheetView>
  </sheetViews>
  <sheetFormatPr baseColWidth="10" defaultRowHeight="16" x14ac:dyDescent="0.2"/>
  <cols>
    <col min="1" max="1" width="31.1640625" customWidth="1"/>
    <col min="2" max="2" width="16.83203125" customWidth="1"/>
    <col min="3" max="3" width="18.33203125" customWidth="1"/>
    <col min="4" max="4" width="17.6640625" customWidth="1"/>
    <col min="5" max="5" width="18.6640625" customWidth="1"/>
    <col min="6" max="6" width="14.6640625" customWidth="1"/>
  </cols>
  <sheetData>
    <row r="1" spans="1:6" x14ac:dyDescent="0.2">
      <c r="A1" t="s">
        <v>172</v>
      </c>
    </row>
    <row r="3" spans="1:6" x14ac:dyDescent="0.2">
      <c r="A3" t="s">
        <v>82</v>
      </c>
      <c r="B3" s="8">
        <v>596439.63</v>
      </c>
      <c r="C3" s="8">
        <f>B3*2</f>
        <v>1192879.26</v>
      </c>
      <c r="D3" s="8">
        <f>C3*2</f>
        <v>2385758.52</v>
      </c>
    </row>
    <row r="4" spans="1:6" x14ac:dyDescent="0.2">
      <c r="A4" t="s">
        <v>173</v>
      </c>
      <c r="B4" t="s">
        <v>63</v>
      </c>
      <c r="C4" t="s">
        <v>174</v>
      </c>
      <c r="D4" t="s">
        <v>184</v>
      </c>
      <c r="E4" t="s">
        <v>177</v>
      </c>
    </row>
    <row r="5" spans="1:6" x14ac:dyDescent="0.2">
      <c r="F5" t="s">
        <v>192</v>
      </c>
    </row>
    <row r="6" spans="1:6" x14ac:dyDescent="0.2">
      <c r="A6" t="s">
        <v>175</v>
      </c>
      <c r="B6" t="s">
        <v>176</v>
      </c>
    </row>
    <row r="8" spans="1:6" x14ac:dyDescent="0.2">
      <c r="B8" t="s">
        <v>179</v>
      </c>
      <c r="C8" t="s">
        <v>180</v>
      </c>
      <c r="D8" t="s">
        <v>181</v>
      </c>
    </row>
    <row r="9" spans="1:6" x14ac:dyDescent="0.2">
      <c r="A9" t="s">
        <v>178</v>
      </c>
      <c r="B9" s="3">
        <v>0.11</v>
      </c>
      <c r="C9" s="3">
        <v>0.15</v>
      </c>
      <c r="D9" s="3">
        <v>0.18</v>
      </c>
    </row>
    <row r="10" spans="1:6" x14ac:dyDescent="0.2">
      <c r="A10" t="s">
        <v>182</v>
      </c>
      <c r="B10" s="3">
        <v>0.75</v>
      </c>
      <c r="C10" s="3">
        <v>0.8</v>
      </c>
      <c r="D10" s="3">
        <v>0.85</v>
      </c>
    </row>
    <row r="11" spans="1:6" x14ac:dyDescent="0.2">
      <c r="A11" t="s">
        <v>183</v>
      </c>
      <c r="B11" s="4">
        <v>7272.72</v>
      </c>
      <c r="C11" s="4">
        <v>14545.44</v>
      </c>
      <c r="D11" s="4">
        <f>C11*2</f>
        <v>29090.880000000001</v>
      </c>
    </row>
    <row r="12" spans="1:6" x14ac:dyDescent="0.2">
      <c r="A12" t="s">
        <v>64</v>
      </c>
      <c r="B12" s="4">
        <v>600</v>
      </c>
      <c r="C12" s="11">
        <f>C11*0.15*0.8</f>
        <v>1745.4528</v>
      </c>
      <c r="D12" s="11">
        <f>D11*0.18*0.85</f>
        <v>4450.9046399999997</v>
      </c>
    </row>
    <row r="14" spans="1:6" x14ac:dyDescent="0.2">
      <c r="A14" t="s">
        <v>88</v>
      </c>
      <c r="B14" s="8">
        <v>500</v>
      </c>
      <c r="C14" t="s">
        <v>185</v>
      </c>
      <c r="D14" t="s">
        <v>193</v>
      </c>
    </row>
    <row r="15" spans="1:6" x14ac:dyDescent="0.2">
      <c r="A15" t="s">
        <v>13</v>
      </c>
      <c r="B15" s="4" t="s">
        <v>186</v>
      </c>
    </row>
    <row r="16" spans="1:6" x14ac:dyDescent="0.2">
      <c r="A16" t="s">
        <v>187</v>
      </c>
      <c r="B16" s="3">
        <v>0.4</v>
      </c>
      <c r="C16" s="3">
        <v>0.55000000000000004</v>
      </c>
      <c r="D16" s="3">
        <v>0.65</v>
      </c>
    </row>
    <row r="18" spans="1:8" x14ac:dyDescent="0.2">
      <c r="A18" t="s">
        <v>74</v>
      </c>
      <c r="B18" s="3">
        <v>0.28000000000000003</v>
      </c>
    </row>
    <row r="19" spans="1:8" x14ac:dyDescent="0.2">
      <c r="A19" t="s">
        <v>139</v>
      </c>
      <c r="B19" s="6">
        <v>3.8800000000000001E-2</v>
      </c>
      <c r="C19" t="s">
        <v>135</v>
      </c>
      <c r="D19" s="12">
        <v>2.7936000000000001</v>
      </c>
    </row>
    <row r="20" spans="1:8" x14ac:dyDescent="0.2">
      <c r="A20" t="s">
        <v>138</v>
      </c>
      <c r="B20" s="6">
        <v>6.7900000000000002E-2</v>
      </c>
    </row>
    <row r="21" spans="1:8" x14ac:dyDescent="0.2">
      <c r="A21" t="s">
        <v>79</v>
      </c>
      <c r="B21" s="3">
        <v>0.1</v>
      </c>
      <c r="C21" t="s">
        <v>198</v>
      </c>
    </row>
    <row r="22" spans="1:8" x14ac:dyDescent="0.2">
      <c r="A22" t="s">
        <v>191</v>
      </c>
      <c r="B22" s="8">
        <v>200000</v>
      </c>
      <c r="C22" s="8">
        <f>B22*2</f>
        <v>400000</v>
      </c>
      <c r="D22" s="8">
        <f>C22*2</f>
        <v>800000</v>
      </c>
      <c r="E22" t="s">
        <v>79</v>
      </c>
      <c r="F22" s="3">
        <v>0.1</v>
      </c>
    </row>
    <row r="23" spans="1:8" x14ac:dyDescent="0.2">
      <c r="A23" t="s">
        <v>80</v>
      </c>
      <c r="B23" t="s">
        <v>81</v>
      </c>
    </row>
    <row r="24" spans="1:8" x14ac:dyDescent="0.2">
      <c r="A24" t="s">
        <v>188</v>
      </c>
      <c r="B24" t="s">
        <v>90</v>
      </c>
      <c r="C24" s="3">
        <v>0.4</v>
      </c>
      <c r="D24" t="s">
        <v>123</v>
      </c>
      <c r="E24" t="s">
        <v>189</v>
      </c>
      <c r="F24" s="6">
        <v>2.4799999999999999E-2</v>
      </c>
      <c r="G24" t="s">
        <v>190</v>
      </c>
      <c r="H24" t="s">
        <v>176</v>
      </c>
    </row>
    <row r="25" spans="1:8" x14ac:dyDescent="0.2">
      <c r="C25" s="3">
        <v>0.5</v>
      </c>
    </row>
    <row r="26" spans="1:8" x14ac:dyDescent="0.2">
      <c r="C26" s="3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C9A-ECA9-7242-B948-22B90886FE50}">
  <dimension ref="A1:S81"/>
  <sheetViews>
    <sheetView tabSelected="1" workbookViewId="0">
      <selection activeCell="B14" sqref="B14"/>
    </sheetView>
  </sheetViews>
  <sheetFormatPr baseColWidth="10" defaultRowHeight="16" x14ac:dyDescent="0.2"/>
  <cols>
    <col min="1" max="1" width="17.5" customWidth="1"/>
    <col min="2" max="2" width="17.33203125" customWidth="1"/>
    <col min="3" max="3" width="16.1640625" customWidth="1"/>
    <col min="4" max="4" width="15" customWidth="1"/>
    <col min="5" max="5" width="14.6640625" customWidth="1"/>
    <col min="6" max="6" width="13.33203125" customWidth="1"/>
    <col min="7" max="7" width="16.5" customWidth="1"/>
    <col min="9" max="9" width="23.1640625" customWidth="1"/>
    <col min="10" max="11" width="13" bestFit="1" customWidth="1"/>
    <col min="12" max="12" width="15.1640625" customWidth="1"/>
    <col min="13" max="13" width="12.83203125" customWidth="1"/>
    <col min="15" max="15" width="11.33203125" bestFit="1" customWidth="1"/>
    <col min="16" max="16" width="14" customWidth="1"/>
    <col min="17" max="17" width="13.1640625" customWidth="1"/>
    <col min="18" max="18" width="12.1640625" customWidth="1"/>
    <col min="19" max="19" width="13" customWidth="1"/>
  </cols>
  <sheetData>
    <row r="1" spans="1:7" x14ac:dyDescent="0.2">
      <c r="A1" t="s">
        <v>93</v>
      </c>
      <c r="B1" t="s">
        <v>94</v>
      </c>
    </row>
    <row r="2" spans="1:7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</row>
    <row r="3" spans="1:7" x14ac:dyDescent="0.2">
      <c r="A3" t="s">
        <v>13</v>
      </c>
      <c r="B3" s="8"/>
      <c r="C3" s="8">
        <f>600*500</f>
        <v>300000</v>
      </c>
      <c r="D3" s="8">
        <f>C3*1.035</f>
        <v>310500</v>
      </c>
      <c r="E3" s="8">
        <f t="shared" ref="E3:G3" si="0">D3*1.035</f>
        <v>321367.5</v>
      </c>
      <c r="F3" s="8">
        <f t="shared" si="0"/>
        <v>332615.36249999999</v>
      </c>
      <c r="G3" s="8">
        <f t="shared" si="0"/>
        <v>344256.90018749994</v>
      </c>
    </row>
    <row r="4" spans="1:7" x14ac:dyDescent="0.2">
      <c r="A4" t="s">
        <v>95</v>
      </c>
      <c r="B4" s="8">
        <f>C3*0.05</f>
        <v>15000</v>
      </c>
      <c r="C4" s="8">
        <f t="shared" ref="C4:G4" si="1">D3*0.05</f>
        <v>15525</v>
      </c>
      <c r="D4" s="8">
        <f t="shared" si="1"/>
        <v>16068.375</v>
      </c>
      <c r="E4" s="8">
        <f t="shared" si="1"/>
        <v>16630.768124999999</v>
      </c>
      <c r="F4" s="8">
        <f t="shared" si="1"/>
        <v>17212.845009374996</v>
      </c>
      <c r="G4" s="8">
        <f t="shared" si="1"/>
        <v>0</v>
      </c>
    </row>
    <row r="6" spans="1:7" x14ac:dyDescent="0.2">
      <c r="A6" t="s">
        <v>102</v>
      </c>
      <c r="B6" t="s">
        <v>194</v>
      </c>
    </row>
    <row r="8" spans="1:7" x14ac:dyDescent="0.2"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7" x14ac:dyDescent="0.2">
      <c r="A9" t="s">
        <v>195</v>
      </c>
      <c r="B9" s="8">
        <v>200000</v>
      </c>
      <c r="C9" s="8">
        <f>B9-C10</f>
        <v>180000</v>
      </c>
      <c r="D9" s="8">
        <f>B9-C10-D10</f>
        <v>160000</v>
      </c>
      <c r="E9" s="8">
        <f>B9-C10-D10-E10</f>
        <v>140000</v>
      </c>
      <c r="F9" s="8">
        <f>B9-C10-D10-E10-F10</f>
        <v>120000</v>
      </c>
      <c r="G9" s="8">
        <f>B9-C10-D10-E10-F10-G10</f>
        <v>100000</v>
      </c>
    </row>
    <row r="10" spans="1:7" x14ac:dyDescent="0.2">
      <c r="A10" t="s">
        <v>79</v>
      </c>
      <c r="B10" s="8"/>
      <c r="C10" s="8">
        <f>B9*0.1</f>
        <v>20000</v>
      </c>
      <c r="D10" s="8">
        <f>B9*0.1</f>
        <v>20000</v>
      </c>
      <c r="E10" s="8">
        <f>B9*0.1</f>
        <v>20000</v>
      </c>
      <c r="F10" s="8">
        <f>B9*0.1</f>
        <v>20000</v>
      </c>
      <c r="G10" s="8">
        <f>B9*0.1</f>
        <v>20000</v>
      </c>
    </row>
    <row r="12" spans="1:7" x14ac:dyDescent="0.2">
      <c r="A12" t="s">
        <v>115</v>
      </c>
      <c r="B12" t="s">
        <v>119</v>
      </c>
    </row>
    <row r="13" spans="1:7" x14ac:dyDescent="0.2"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</row>
    <row r="14" spans="1:7" x14ac:dyDescent="0.2">
      <c r="A14" t="s">
        <v>119</v>
      </c>
      <c r="B14" s="8">
        <v>596439.63</v>
      </c>
      <c r="C14" s="8" t="s">
        <v>196</v>
      </c>
      <c r="D14" s="8" t="s">
        <v>196</v>
      </c>
      <c r="E14" s="8" t="s">
        <v>196</v>
      </c>
      <c r="F14" s="8" t="s">
        <v>196</v>
      </c>
      <c r="G14" s="8" t="s">
        <v>196</v>
      </c>
    </row>
    <row r="15" spans="1:7" x14ac:dyDescent="0.2">
      <c r="A15" t="s">
        <v>79</v>
      </c>
      <c r="B15" s="8"/>
      <c r="C15" s="8">
        <f>B16*0.1</f>
        <v>59643.963000000003</v>
      </c>
      <c r="D15" s="8">
        <f>C16*0.1</f>
        <v>53679.566700000003</v>
      </c>
      <c r="E15" s="8">
        <f>D16*0.1</f>
        <v>48311.610030000003</v>
      </c>
      <c r="F15" s="8">
        <f>E16*0.1</f>
        <v>43480.449027000002</v>
      </c>
      <c r="G15" s="8">
        <f>F16*0.1</f>
        <v>39132.404124300003</v>
      </c>
    </row>
    <row r="16" spans="1:7" x14ac:dyDescent="0.2">
      <c r="A16" t="s">
        <v>197</v>
      </c>
      <c r="B16" s="8">
        <f>B14</f>
        <v>596439.63</v>
      </c>
      <c r="C16" s="8">
        <f>B16-C15</f>
        <v>536795.66700000002</v>
      </c>
      <c r="D16" s="8">
        <f>C16-D15</f>
        <v>483116.10029999999</v>
      </c>
      <c r="E16" s="8">
        <f>D16-E15</f>
        <v>434804.49027000001</v>
      </c>
      <c r="F16" s="8">
        <f>E16-F15</f>
        <v>391324.04124300001</v>
      </c>
      <c r="G16" s="8">
        <f>F16-G15</f>
        <v>352191.63711870002</v>
      </c>
    </row>
    <row r="18" spans="1:19" x14ac:dyDescent="0.2">
      <c r="A18" t="s">
        <v>199</v>
      </c>
      <c r="B18" t="s">
        <v>200</v>
      </c>
      <c r="C18" t="s">
        <v>202</v>
      </c>
    </row>
    <row r="19" spans="1:19" x14ac:dyDescent="0.2"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t="s">
        <v>101</v>
      </c>
    </row>
    <row r="20" spans="1:19" x14ac:dyDescent="0.2">
      <c r="A20" t="s">
        <v>201</v>
      </c>
      <c r="B20" s="8">
        <f>B9+B16+B4</f>
        <v>811439.63</v>
      </c>
      <c r="C20" s="8">
        <f t="shared" ref="C20:G20" si="2">C9+C16+C4</f>
        <v>732320.66700000002</v>
      </c>
      <c r="D20" s="8">
        <f t="shared" si="2"/>
        <v>659184.47530000005</v>
      </c>
      <c r="E20" s="8">
        <f t="shared" si="2"/>
        <v>591435.2583949999</v>
      </c>
      <c r="F20" s="8">
        <f t="shared" si="2"/>
        <v>528536.88625237497</v>
      </c>
      <c r="G20" s="8">
        <f t="shared" si="2"/>
        <v>452191.63711870002</v>
      </c>
    </row>
    <row r="22" spans="1:19" x14ac:dyDescent="0.2">
      <c r="A22" t="s">
        <v>203</v>
      </c>
      <c r="B22" t="s">
        <v>103</v>
      </c>
    </row>
    <row r="23" spans="1:19" x14ac:dyDescent="0.2">
      <c r="B23" t="s">
        <v>97</v>
      </c>
      <c r="C23" t="s">
        <v>98</v>
      </c>
      <c r="D23" t="s">
        <v>99</v>
      </c>
      <c r="E23" t="s">
        <v>100</v>
      </c>
      <c r="F23" t="s">
        <v>101</v>
      </c>
      <c r="I23" t="s">
        <v>97</v>
      </c>
      <c r="J23" t="s">
        <v>98</v>
      </c>
      <c r="K23" t="s">
        <v>99</v>
      </c>
      <c r="L23" t="s">
        <v>100</v>
      </c>
      <c r="M23" t="s">
        <v>101</v>
      </c>
      <c r="O23" t="s">
        <v>97</v>
      </c>
      <c r="P23" t="s">
        <v>98</v>
      </c>
      <c r="Q23" t="s">
        <v>99</v>
      </c>
      <c r="R23" t="s">
        <v>100</v>
      </c>
      <c r="S23" t="s">
        <v>101</v>
      </c>
    </row>
    <row r="24" spans="1:19" x14ac:dyDescent="0.2">
      <c r="A24" t="s">
        <v>13</v>
      </c>
      <c r="B24" s="8">
        <f>C3</f>
        <v>300000</v>
      </c>
      <c r="C24" s="8">
        <f>D3</f>
        <v>310500</v>
      </c>
      <c r="D24" s="8">
        <f>E3</f>
        <v>321367.5</v>
      </c>
      <c r="E24" s="8">
        <f>F3</f>
        <v>332615.36249999999</v>
      </c>
      <c r="F24" s="8">
        <f>G3</f>
        <v>344256.90018749994</v>
      </c>
    </row>
    <row r="25" spans="1:19" x14ac:dyDescent="0.2">
      <c r="A25" t="s">
        <v>104</v>
      </c>
      <c r="B25" s="8">
        <f>B24*0.4</f>
        <v>120000</v>
      </c>
      <c r="C25" s="8">
        <f t="shared" ref="C25:F25" si="3">C24*0.4</f>
        <v>124200</v>
      </c>
      <c r="D25" s="8">
        <f t="shared" si="3"/>
        <v>128547</v>
      </c>
      <c r="E25" s="8">
        <f t="shared" si="3"/>
        <v>133046.14499999999</v>
      </c>
      <c r="F25" s="8">
        <f t="shared" si="3"/>
        <v>137702.76007499997</v>
      </c>
    </row>
    <row r="26" spans="1:19" x14ac:dyDescent="0.2">
      <c r="A26" t="s">
        <v>79</v>
      </c>
      <c r="B26" s="8">
        <f>C15+C10</f>
        <v>79643.963000000003</v>
      </c>
      <c r="C26" s="8">
        <f>D15+D10</f>
        <v>73679.566699999996</v>
      </c>
      <c r="D26" s="8">
        <f>E15+E10</f>
        <v>68311.610030000011</v>
      </c>
      <c r="E26" s="8">
        <f>F15+F10</f>
        <v>63480.449027000002</v>
      </c>
      <c r="F26" s="8">
        <f>G15+G10</f>
        <v>59132.404124300003</v>
      </c>
    </row>
    <row r="27" spans="1:19" x14ac:dyDescent="0.2">
      <c r="A27" t="s">
        <v>105</v>
      </c>
      <c r="B27" s="8">
        <f>B24-B25-B26</f>
        <v>100356.037</v>
      </c>
      <c r="C27" s="8">
        <f t="shared" ref="C27:F27" si="4">C24-C25-C26</f>
        <v>112620.4333</v>
      </c>
      <c r="D27" s="8">
        <f t="shared" si="4"/>
        <v>124508.88996999999</v>
      </c>
      <c r="E27" s="8">
        <f t="shared" si="4"/>
        <v>136088.768473</v>
      </c>
      <c r="F27" s="8">
        <f t="shared" si="4"/>
        <v>147421.73598819997</v>
      </c>
      <c r="G27" t="s">
        <v>215</v>
      </c>
      <c r="H27" t="s">
        <v>216</v>
      </c>
      <c r="N27" t="s">
        <v>217</v>
      </c>
    </row>
    <row r="28" spans="1:19" x14ac:dyDescent="0.2">
      <c r="A28" t="s">
        <v>42</v>
      </c>
      <c r="B28" s="8">
        <f>C49</f>
        <v>-2576.6192016000005</v>
      </c>
      <c r="C28" s="8">
        <f>D49</f>
        <v>-2061.2953612800002</v>
      </c>
      <c r="D28" s="8">
        <f>E49</f>
        <v>-1545.9715209600001</v>
      </c>
      <c r="E28" s="8">
        <f>F49</f>
        <v>-1030.6476806400001</v>
      </c>
      <c r="F28" s="8">
        <f>G49</f>
        <v>-515.32384032000004</v>
      </c>
      <c r="I28" s="8">
        <f>C63</f>
        <v>-3220.7740020000001</v>
      </c>
      <c r="J28" s="8">
        <f>D63</f>
        <v>-2576.6192016000005</v>
      </c>
      <c r="K28" s="8">
        <f>E63</f>
        <v>-1932.4644012000003</v>
      </c>
      <c r="L28" s="8">
        <f>F63</f>
        <v>-1288.3096008000002</v>
      </c>
      <c r="M28" s="8">
        <f>G63</f>
        <v>-644.15480040000023</v>
      </c>
      <c r="O28" s="8">
        <f>C74</f>
        <v>-4509.0836028000003</v>
      </c>
      <c r="P28" s="8">
        <f>D74</f>
        <v>-3607.2668822399996</v>
      </c>
      <c r="Q28" s="8">
        <f>E74</f>
        <v>-2705.4501616799994</v>
      </c>
      <c r="R28" s="8">
        <f>F74</f>
        <v>-1803.6334411199994</v>
      </c>
      <c r="S28" s="8">
        <f>G74</f>
        <v>-901.81672055999911</v>
      </c>
    </row>
    <row r="29" spans="1:19" x14ac:dyDescent="0.2">
      <c r="A29" t="s">
        <v>112</v>
      </c>
      <c r="B29" s="8">
        <f>B27+B28</f>
        <v>97779.417798399998</v>
      </c>
      <c r="C29" s="8">
        <f t="shared" ref="C29:F29" si="5">C27+C28</f>
        <v>110559.13793872</v>
      </c>
      <c r="D29" s="8">
        <f t="shared" si="5"/>
        <v>122962.91844903999</v>
      </c>
      <c r="E29" s="8">
        <f t="shared" si="5"/>
        <v>135058.12079236002</v>
      </c>
      <c r="F29" s="8">
        <f t="shared" si="5"/>
        <v>146906.41214787998</v>
      </c>
      <c r="I29" s="8">
        <f>B27+I28</f>
        <v>97135.262997999991</v>
      </c>
      <c r="J29" s="8">
        <f t="shared" ref="J29:M29" si="6">C27+J28</f>
        <v>110043.81409840001</v>
      </c>
      <c r="K29" s="8">
        <f t="shared" si="6"/>
        <v>122576.42556879998</v>
      </c>
      <c r="L29" s="8">
        <f t="shared" si="6"/>
        <v>134800.45887219999</v>
      </c>
      <c r="M29" s="8">
        <f t="shared" si="6"/>
        <v>146777.58118779998</v>
      </c>
      <c r="O29" s="8">
        <f>B27+O28</f>
        <v>95846.953397199992</v>
      </c>
      <c r="P29" s="8">
        <f t="shared" ref="P29:S29" si="7">C27+P28</f>
        <v>109013.16641776</v>
      </c>
      <c r="Q29" s="8">
        <f t="shared" si="7"/>
        <v>121803.43980831999</v>
      </c>
      <c r="R29" s="8">
        <f t="shared" si="7"/>
        <v>134285.13503188</v>
      </c>
      <c r="S29" s="8">
        <f t="shared" si="7"/>
        <v>146519.91926763998</v>
      </c>
    </row>
    <row r="30" spans="1:19" x14ac:dyDescent="0.2">
      <c r="A30" t="s">
        <v>162</v>
      </c>
      <c r="B30" s="8">
        <f>B29*(1-0.28)</f>
        <v>70401.18081484799</v>
      </c>
      <c r="C30" s="8">
        <f t="shared" ref="C30:F30" si="8">C29*(1-0.28)</f>
        <v>79602.579315878393</v>
      </c>
      <c r="D30" s="8">
        <f t="shared" si="8"/>
        <v>88533.301283308785</v>
      </c>
      <c r="E30" s="8">
        <f t="shared" si="8"/>
        <v>97241.846970499202</v>
      </c>
      <c r="F30" s="8">
        <f t="shared" si="8"/>
        <v>105772.61674647358</v>
      </c>
      <c r="I30" s="8">
        <f>I29*(1-0.28)</f>
        <v>69937.389358559987</v>
      </c>
      <c r="J30" s="8">
        <f t="shared" ref="J30:M30" si="9">J29*(1-0.28)</f>
        <v>79231.546150848008</v>
      </c>
      <c r="K30" s="8">
        <f t="shared" si="9"/>
        <v>88255.026409535989</v>
      </c>
      <c r="L30" s="8">
        <f t="shared" si="9"/>
        <v>97056.330387983995</v>
      </c>
      <c r="M30" s="8">
        <f t="shared" si="9"/>
        <v>105679.85845521599</v>
      </c>
      <c r="O30" s="8">
        <f>O29*(1-0.28)</f>
        <v>69009.806445983995</v>
      </c>
      <c r="P30" s="8">
        <f t="shared" ref="P30:S30" si="10">P29*(1-0.28)</f>
        <v>78489.479820787194</v>
      </c>
      <c r="Q30" s="8">
        <f t="shared" si="10"/>
        <v>87698.476661990397</v>
      </c>
      <c r="R30" s="8">
        <f t="shared" si="10"/>
        <v>96685.297222953595</v>
      </c>
      <c r="S30" s="8">
        <f t="shared" si="10"/>
        <v>105494.34187270078</v>
      </c>
    </row>
    <row r="32" spans="1:19" x14ac:dyDescent="0.2">
      <c r="A32" t="s">
        <v>204</v>
      </c>
      <c r="B32" t="s">
        <v>116</v>
      </c>
    </row>
    <row r="33" spans="1:11" x14ac:dyDescent="0.2">
      <c r="B33" t="s">
        <v>96</v>
      </c>
      <c r="C33" t="s">
        <v>97</v>
      </c>
      <c r="D33" t="s">
        <v>98</v>
      </c>
      <c r="E33" t="s">
        <v>99</v>
      </c>
      <c r="F33" t="s">
        <v>100</v>
      </c>
      <c r="G33" t="s">
        <v>101</v>
      </c>
    </row>
    <row r="34" spans="1:11" x14ac:dyDescent="0.2">
      <c r="A34" t="s">
        <v>13</v>
      </c>
      <c r="B34" s="8"/>
      <c r="C34" s="8">
        <f t="shared" ref="C34:G35" si="11">B24</f>
        <v>300000</v>
      </c>
      <c r="D34" s="8">
        <f t="shared" si="11"/>
        <v>310500</v>
      </c>
      <c r="E34" s="8">
        <f t="shared" si="11"/>
        <v>321367.5</v>
      </c>
      <c r="F34" s="8">
        <f t="shared" si="11"/>
        <v>332615.36249999999</v>
      </c>
      <c r="G34" s="8">
        <f t="shared" si="11"/>
        <v>344256.90018749994</v>
      </c>
    </row>
    <row r="35" spans="1:11" x14ac:dyDescent="0.2">
      <c r="A35" t="s">
        <v>104</v>
      </c>
      <c r="C35" s="8">
        <f t="shared" si="11"/>
        <v>120000</v>
      </c>
      <c r="D35" s="8">
        <f t="shared" si="11"/>
        <v>124200</v>
      </c>
      <c r="E35" s="8">
        <f t="shared" si="11"/>
        <v>128547</v>
      </c>
      <c r="F35" s="8">
        <f t="shared" si="11"/>
        <v>133046.14499999999</v>
      </c>
      <c r="G35" s="8">
        <f t="shared" si="11"/>
        <v>137702.76007499997</v>
      </c>
    </row>
    <row r="36" spans="1:11" x14ac:dyDescent="0.2">
      <c r="A36" t="s">
        <v>79</v>
      </c>
      <c r="C36" s="8">
        <f>C15</f>
        <v>59643.963000000003</v>
      </c>
      <c r="D36" s="8">
        <f>D15</f>
        <v>53679.566700000003</v>
      </c>
      <c r="E36" s="8">
        <f>E15</f>
        <v>48311.610030000003</v>
      </c>
      <c r="F36" s="8">
        <f>F15</f>
        <v>43480.449027000002</v>
      </c>
      <c r="G36" s="8">
        <f>G15</f>
        <v>39132.404124300003</v>
      </c>
    </row>
    <row r="37" spans="1:11" x14ac:dyDescent="0.2">
      <c r="A37" t="s">
        <v>206</v>
      </c>
      <c r="C37" s="8">
        <f>C34-C35-C36</f>
        <v>120356.037</v>
      </c>
      <c r="D37" s="8">
        <f t="shared" ref="D37:G37" si="12">D34-D35-D36</f>
        <v>132620.4333</v>
      </c>
      <c r="E37" s="8">
        <f t="shared" si="12"/>
        <v>144508.88996999999</v>
      </c>
      <c r="F37" s="8">
        <f t="shared" si="12"/>
        <v>156088.768473</v>
      </c>
      <c r="G37" s="8">
        <f t="shared" si="12"/>
        <v>167421.73598819997</v>
      </c>
    </row>
    <row r="38" spans="1:11" x14ac:dyDescent="0.2">
      <c r="A38" t="s">
        <v>117</v>
      </c>
      <c r="C38" s="8">
        <f>C37*(1-0.28)</f>
        <v>86656.346639999989</v>
      </c>
      <c r="D38" s="8">
        <f t="shared" ref="D38:G38" si="13">D37*(1-0.28)</f>
        <v>95486.711976000006</v>
      </c>
      <c r="E38" s="8">
        <f t="shared" si="13"/>
        <v>104046.40077839998</v>
      </c>
      <c r="F38" s="8">
        <f t="shared" si="13"/>
        <v>112383.91330056</v>
      </c>
      <c r="G38" s="8">
        <f t="shared" si="13"/>
        <v>120543.64991150398</v>
      </c>
    </row>
    <row r="39" spans="1:11" x14ac:dyDescent="0.2">
      <c r="A39" t="s">
        <v>79</v>
      </c>
      <c r="C39" s="8">
        <f>C36</f>
        <v>59643.963000000003</v>
      </c>
      <c r="D39" s="8">
        <f>D36</f>
        <v>53679.566700000003</v>
      </c>
      <c r="E39" s="8">
        <f>E36</f>
        <v>48311.610030000003</v>
      </c>
      <c r="F39" s="8">
        <f>F36</f>
        <v>43480.449027000002</v>
      </c>
      <c r="G39" s="8">
        <f>G36</f>
        <v>39132.404124300003</v>
      </c>
    </row>
    <row r="40" spans="1:11" x14ac:dyDescent="0.2">
      <c r="A40" t="s">
        <v>119</v>
      </c>
      <c r="B40" s="8">
        <f>-B16</f>
        <v>-596439.63</v>
      </c>
    </row>
    <row r="41" spans="1:11" x14ac:dyDescent="0.2">
      <c r="A41" t="s">
        <v>120</v>
      </c>
      <c r="B41" s="8">
        <f>-B4</f>
        <v>-15000</v>
      </c>
      <c r="C41" s="8">
        <f>B4-C4</f>
        <v>-525</v>
      </c>
      <c r="D41" s="8">
        <f>C4-D4</f>
        <v>-543.375</v>
      </c>
      <c r="E41" s="8">
        <f>D4-E4</f>
        <v>-562.39312499999869</v>
      </c>
      <c r="F41" s="8">
        <f>E4-F4</f>
        <v>-582.07688437499746</v>
      </c>
      <c r="G41" t="s">
        <v>196</v>
      </c>
    </row>
    <row r="42" spans="1:11" x14ac:dyDescent="0.2">
      <c r="A42" t="s">
        <v>205</v>
      </c>
      <c r="G42" s="8">
        <f>-(B41+C41+D41+E41+F41)</f>
        <v>17212.845009374996</v>
      </c>
    </row>
    <row r="43" spans="1:11" x14ac:dyDescent="0.2">
      <c r="A43" t="s">
        <v>122</v>
      </c>
      <c r="B43" s="8">
        <f>B40+B41</f>
        <v>-611439.63</v>
      </c>
      <c r="C43" s="8">
        <f>C38+C39+C41</f>
        <v>145775.30963999999</v>
      </c>
      <c r="D43" s="8">
        <f>D38+D39+D41</f>
        <v>148622.90367600002</v>
      </c>
      <c r="E43" s="8">
        <f>E38+E39+E41</f>
        <v>151795.61768339999</v>
      </c>
      <c r="F43" s="8">
        <f>F38+F39+F41</f>
        <v>155282.28544318501</v>
      </c>
      <c r="G43" s="8">
        <f>G38+G39+G42</f>
        <v>176888.89904517896</v>
      </c>
    </row>
    <row r="45" spans="1:11" x14ac:dyDescent="0.2">
      <c r="A45" t="s">
        <v>90</v>
      </c>
      <c r="B45" s="3">
        <v>0.4</v>
      </c>
      <c r="C45" t="s">
        <v>208</v>
      </c>
    </row>
    <row r="47" spans="1:11" x14ac:dyDescent="0.2">
      <c r="A47" t="s">
        <v>127</v>
      </c>
      <c r="B47" s="8">
        <f>-(B40*0.4)</f>
        <v>238575.85200000001</v>
      </c>
      <c r="C47" s="8"/>
      <c r="D47" s="8"/>
      <c r="E47" s="8"/>
      <c r="F47" s="8"/>
      <c r="G47" s="8"/>
    </row>
    <row r="48" spans="1:11" x14ac:dyDescent="0.2">
      <c r="A48" t="s">
        <v>207</v>
      </c>
      <c r="B48" s="8"/>
      <c r="C48" s="8">
        <f>-(B47*0.2)</f>
        <v>-47715.170400000003</v>
      </c>
      <c r="D48" s="8">
        <f>C48</f>
        <v>-47715.170400000003</v>
      </c>
      <c r="E48" s="8">
        <f>D48</f>
        <v>-47715.170400000003</v>
      </c>
      <c r="F48" s="8">
        <f>E48</f>
        <v>-47715.170400000003</v>
      </c>
      <c r="G48" s="8">
        <f>F48</f>
        <v>-47715.170400000003</v>
      </c>
      <c r="I48" t="s">
        <v>137</v>
      </c>
      <c r="J48">
        <f>J49*J54+J50*J55</f>
        <v>5.1900000000000002E-2</v>
      </c>
      <c r="K48" s="6">
        <v>5.1900000000000002E-2</v>
      </c>
    </row>
    <row r="49" spans="1:11" x14ac:dyDescent="0.2">
      <c r="A49" t="s">
        <v>42</v>
      </c>
      <c r="B49" s="8"/>
      <c r="C49" s="8">
        <f>-(B47*0.0108)</f>
        <v>-2576.6192016000005</v>
      </c>
      <c r="D49" s="8">
        <f>-(B47+C48)*0.0108</f>
        <v>-2061.2953612800002</v>
      </c>
      <c r="E49" s="8">
        <f>-(B47+C48+D48)*0.0108</f>
        <v>-1545.9715209600001</v>
      </c>
      <c r="F49" s="8">
        <f>-(B47+C48+D48+E48)*0.0108</f>
        <v>-1030.6476806400001</v>
      </c>
      <c r="G49" s="8">
        <f>-(B47+C48+D48+E48+F48)*0.0108</f>
        <v>-515.32384032000004</v>
      </c>
      <c r="I49" t="s">
        <v>138</v>
      </c>
      <c r="J49">
        <v>6.7900000000000002E-2</v>
      </c>
    </row>
    <row r="50" spans="1:11" x14ac:dyDescent="0.2">
      <c r="A50" t="s">
        <v>130</v>
      </c>
      <c r="B50" s="8"/>
      <c r="C50" s="8">
        <f>-(C49*0.28)</f>
        <v>721.4533764480002</v>
      </c>
      <c r="D50" s="8">
        <f t="shared" ref="D50:G50" si="14">-(D49*0.28)</f>
        <v>577.16270115840007</v>
      </c>
      <c r="E50" s="8">
        <f t="shared" si="14"/>
        <v>432.87202586880005</v>
      </c>
      <c r="F50" s="8">
        <f t="shared" si="14"/>
        <v>288.58135057920003</v>
      </c>
      <c r="G50" s="8">
        <f t="shared" si="14"/>
        <v>144.29067528960002</v>
      </c>
      <c r="I50" t="s">
        <v>139</v>
      </c>
      <c r="J50">
        <v>2.7900000000000001E-2</v>
      </c>
    </row>
    <row r="51" spans="1:11" x14ac:dyDescent="0.2">
      <c r="A51" t="s">
        <v>131</v>
      </c>
      <c r="B51" s="8">
        <f>B43+B47</f>
        <v>-372863.77799999999</v>
      </c>
      <c r="C51" s="8">
        <f>C43+C48+C49+C50</f>
        <v>96204.973414847991</v>
      </c>
      <c r="D51" s="8">
        <f>D43+D48+D49+D50</f>
        <v>99423.600615878415</v>
      </c>
      <c r="E51" s="8">
        <f>E43+E48+E49+E50</f>
        <v>102967.34778830879</v>
      </c>
      <c r="F51" s="8">
        <f>F43+F48+F49+F50</f>
        <v>106825.04871312421</v>
      </c>
      <c r="G51" s="8">
        <f>G43+G48+G49+G50</f>
        <v>128802.69548014856</v>
      </c>
      <c r="I51" t="s">
        <v>145</v>
      </c>
      <c r="J51" s="8">
        <f>-(B40*0.6)</f>
        <v>357863.77799999999</v>
      </c>
    </row>
    <row r="52" spans="1:11" x14ac:dyDescent="0.2">
      <c r="B52" s="8"/>
      <c r="C52" s="8"/>
      <c r="D52" s="8"/>
      <c r="E52" s="8"/>
      <c r="F52" s="8"/>
      <c r="G52" s="8"/>
      <c r="I52" t="s">
        <v>146</v>
      </c>
      <c r="J52" s="8">
        <f>-(B40*0.4)</f>
        <v>238575.85200000001</v>
      </c>
    </row>
    <row r="53" spans="1:11" x14ac:dyDescent="0.2">
      <c r="I53" t="s">
        <v>209</v>
      </c>
    </row>
    <row r="54" spans="1:11" x14ac:dyDescent="0.2">
      <c r="I54" t="s">
        <v>210</v>
      </c>
      <c r="J54">
        <f>-(J51/B40)</f>
        <v>0.6</v>
      </c>
    </row>
    <row r="55" spans="1:11" x14ac:dyDescent="0.2">
      <c r="I55" t="s">
        <v>211</v>
      </c>
      <c r="J55">
        <v>0.4</v>
      </c>
    </row>
    <row r="57" spans="1:11" x14ac:dyDescent="0.2">
      <c r="I57" t="s">
        <v>141</v>
      </c>
      <c r="J57" s="10">
        <f>NPV(J48,B43,C43,D43,E43,F43,G43)</f>
        <v>53294.074589863303</v>
      </c>
    </row>
    <row r="58" spans="1:11" x14ac:dyDescent="0.2">
      <c r="I58" t="s">
        <v>142</v>
      </c>
      <c r="J58" s="10">
        <f>NPV(J49,B51,C51,D51,E51,F51,G51)</f>
        <v>59776.839470026571</v>
      </c>
    </row>
    <row r="59" spans="1:11" x14ac:dyDescent="0.2">
      <c r="A59" t="s">
        <v>90</v>
      </c>
      <c r="B59" s="3">
        <v>0.5</v>
      </c>
      <c r="C59" t="s">
        <v>212</v>
      </c>
    </row>
    <row r="61" spans="1:11" x14ac:dyDescent="0.2">
      <c r="A61" t="s">
        <v>127</v>
      </c>
      <c r="B61" s="8">
        <f>-(B40*0.5)</f>
        <v>298219.815</v>
      </c>
      <c r="C61" s="8"/>
      <c r="D61" s="8"/>
      <c r="E61" s="8"/>
      <c r="F61" s="8"/>
      <c r="G61" s="8"/>
    </row>
    <row r="62" spans="1:11" x14ac:dyDescent="0.2">
      <c r="A62" t="s">
        <v>207</v>
      </c>
      <c r="B62" s="8"/>
      <c r="C62" s="8">
        <f>-(B61*0.2)</f>
        <v>-59643.963000000003</v>
      </c>
      <c r="D62" s="8">
        <f>C62</f>
        <v>-59643.963000000003</v>
      </c>
      <c r="E62" s="8">
        <f>D62</f>
        <v>-59643.963000000003</v>
      </c>
      <c r="F62" s="8">
        <f>E62</f>
        <v>-59643.963000000003</v>
      </c>
      <c r="G62" s="8">
        <f>F62</f>
        <v>-59643.963000000003</v>
      </c>
      <c r="I62" t="s">
        <v>137</v>
      </c>
      <c r="J62">
        <f>J49*0.5+J50*0.5</f>
        <v>4.7899999999999998E-2</v>
      </c>
      <c r="K62" s="6">
        <v>4.7899999999999998E-2</v>
      </c>
    </row>
    <row r="63" spans="1:11" x14ac:dyDescent="0.2">
      <c r="A63" t="s">
        <v>42</v>
      </c>
      <c r="B63" s="8"/>
      <c r="C63" s="8">
        <f>-(B61*0.0108)</f>
        <v>-3220.7740020000001</v>
      </c>
      <c r="D63" s="8">
        <f>-(B61+C62)*0.0108</f>
        <v>-2576.6192016000005</v>
      </c>
      <c r="E63" s="8">
        <f>-(B61+C62+D62)*0.0108</f>
        <v>-1932.4644012000003</v>
      </c>
      <c r="F63" s="8">
        <f>-(B61+C62+D62+E62)*0.0108</f>
        <v>-1288.3096008000002</v>
      </c>
      <c r="G63" s="8">
        <f>-(B61+C62+D62+E62+F62)*0.0108</f>
        <v>-644.15480040000023</v>
      </c>
      <c r="I63" t="s">
        <v>145</v>
      </c>
      <c r="J63" s="8">
        <f>-(B40*0.5)</f>
        <v>298219.815</v>
      </c>
    </row>
    <row r="64" spans="1:11" x14ac:dyDescent="0.2">
      <c r="A64" t="s">
        <v>130</v>
      </c>
      <c r="B64" s="8"/>
      <c r="C64" s="8">
        <f>-(C63*0.28)</f>
        <v>901.81672056000014</v>
      </c>
      <c r="D64" s="8">
        <f t="shared" ref="D64:G64" si="15">-(D63*0.28)</f>
        <v>721.4533764480002</v>
      </c>
      <c r="E64" s="8">
        <f t="shared" si="15"/>
        <v>541.09003233600015</v>
      </c>
      <c r="F64" s="8">
        <f t="shared" si="15"/>
        <v>360.7266882240001</v>
      </c>
      <c r="G64" s="8">
        <f t="shared" si="15"/>
        <v>180.36334411200008</v>
      </c>
      <c r="I64" t="s">
        <v>146</v>
      </c>
      <c r="J64" s="8">
        <f>J63</f>
        <v>298219.815</v>
      </c>
    </row>
    <row r="65" spans="1:11" x14ac:dyDescent="0.2">
      <c r="A65" t="s">
        <v>131</v>
      </c>
      <c r="B65" s="8">
        <f>B43+B61</f>
        <v>-313219.815</v>
      </c>
      <c r="C65" s="8">
        <f>C43+C62+C63+C64</f>
        <v>83812.389358559987</v>
      </c>
      <c r="D65" s="8">
        <f>D43+D62+D63+D64</f>
        <v>87123.774850848014</v>
      </c>
      <c r="E65" s="8">
        <f>E43+E62+E63+E64</f>
        <v>90760.280314535979</v>
      </c>
      <c r="F65" s="8">
        <f>F43+F62+F63+F64</f>
        <v>94710.739530609018</v>
      </c>
      <c r="G65" s="8">
        <f>G43+G62+G63+G64</f>
        <v>116781.14458889095</v>
      </c>
      <c r="I65" t="s">
        <v>209</v>
      </c>
      <c r="J65">
        <v>0.5</v>
      </c>
    </row>
    <row r="67" spans="1:11" x14ac:dyDescent="0.2">
      <c r="I67" t="s">
        <v>141</v>
      </c>
      <c r="J67" s="10">
        <f>NPV(J62,B43,C43,D43,E43,F43,G43)</f>
        <v>60792.79199781768</v>
      </c>
    </row>
    <row r="68" spans="1:11" x14ac:dyDescent="0.2">
      <c r="I68" t="s">
        <v>142</v>
      </c>
      <c r="J68" s="10">
        <f>NPV(J49,B65,C65,D65,E65,F65,G65)</f>
        <v>68447.805269072967</v>
      </c>
    </row>
    <row r="70" spans="1:11" x14ac:dyDescent="0.2">
      <c r="A70" t="s">
        <v>90</v>
      </c>
      <c r="B70" s="3">
        <v>0.7</v>
      </c>
      <c r="C70" t="s">
        <v>212</v>
      </c>
    </row>
    <row r="72" spans="1:11" x14ac:dyDescent="0.2">
      <c r="A72" t="s">
        <v>127</v>
      </c>
      <c r="B72" s="8">
        <f>-(B40*0.7)</f>
        <v>417507.74099999998</v>
      </c>
      <c r="C72" s="8"/>
      <c r="D72" s="8"/>
      <c r="E72" s="8"/>
      <c r="F72" s="8"/>
      <c r="G72" s="8"/>
    </row>
    <row r="73" spans="1:11" x14ac:dyDescent="0.2">
      <c r="A73" t="s">
        <v>213</v>
      </c>
      <c r="B73" s="8"/>
      <c r="C73" s="8">
        <f>-(B72*0.2)</f>
        <v>-83501.548200000005</v>
      </c>
      <c r="D73" s="8">
        <f>C73</f>
        <v>-83501.548200000005</v>
      </c>
      <c r="E73" s="8">
        <f>D73</f>
        <v>-83501.548200000005</v>
      </c>
      <c r="F73" s="8">
        <f>E73</f>
        <v>-83501.548200000005</v>
      </c>
      <c r="G73" s="8">
        <f>F73</f>
        <v>-83501.548200000005</v>
      </c>
      <c r="I73" t="s">
        <v>137</v>
      </c>
      <c r="J73">
        <f>J49*J77+J50*J78</f>
        <v>3.9899999999999998E-2</v>
      </c>
      <c r="K73" s="6">
        <v>3.9899999999999998E-2</v>
      </c>
    </row>
    <row r="74" spans="1:11" x14ac:dyDescent="0.2">
      <c r="A74" t="s">
        <v>132</v>
      </c>
      <c r="B74" s="8"/>
      <c r="C74" s="8">
        <f>-(B72*0.0108)</f>
        <v>-4509.0836028000003</v>
      </c>
      <c r="D74" s="8">
        <f>-(B72+C73)*0.0108</f>
        <v>-3607.2668822399996</v>
      </c>
      <c r="E74" s="8">
        <f>-(B72+C73+D73)*0.0108</f>
        <v>-2705.4501616799994</v>
      </c>
      <c r="F74" s="8">
        <f>-(B72+C73+D73+E73)*0.0108</f>
        <v>-1803.6334411199994</v>
      </c>
      <c r="G74" s="8">
        <f>-(B72+C73+D73+E73+F73)*0.0108</f>
        <v>-901.81672055999911</v>
      </c>
      <c r="I74" t="s">
        <v>145</v>
      </c>
      <c r="J74" s="13">
        <f>-(B40*0.3)</f>
        <v>178931.889</v>
      </c>
    </row>
    <row r="75" spans="1:11" x14ac:dyDescent="0.2">
      <c r="A75" t="s">
        <v>214</v>
      </c>
      <c r="B75" s="8"/>
      <c r="C75" s="8">
        <f>-(C74*0.28)</f>
        <v>1262.5434087840001</v>
      </c>
      <c r="D75" s="8">
        <f t="shared" ref="D75:G75" si="16">-(D74*0.28)</f>
        <v>1010.0347270272</v>
      </c>
      <c r="E75" s="8">
        <f t="shared" si="16"/>
        <v>757.52604527039989</v>
      </c>
      <c r="F75" s="8">
        <f t="shared" si="16"/>
        <v>505.01736351359989</v>
      </c>
      <c r="G75" s="8">
        <f t="shared" si="16"/>
        <v>252.50868175679977</v>
      </c>
      <c r="I75" t="s">
        <v>146</v>
      </c>
      <c r="J75" s="13">
        <f>-(B40+J74)</f>
        <v>417507.74100000004</v>
      </c>
      <c r="K75" s="14"/>
    </row>
    <row r="76" spans="1:11" x14ac:dyDescent="0.2">
      <c r="A76" t="s">
        <v>131</v>
      </c>
      <c r="B76" s="8">
        <f>B43+B72</f>
        <v>-193931.88900000002</v>
      </c>
      <c r="C76" s="8">
        <f>C43+C73+C74+C75</f>
        <v>59027.221245983987</v>
      </c>
      <c r="D76" s="8">
        <f>D43+D73+D74+D75</f>
        <v>62524.123320787214</v>
      </c>
      <c r="E76" s="8">
        <f>E43+E73+E74+E75</f>
        <v>66346.145366990386</v>
      </c>
      <c r="F76" s="8">
        <f>F43+F73+F74+F75</f>
        <v>70482.121165578617</v>
      </c>
      <c r="G76" s="8">
        <f>G43+G73+G74+G75</f>
        <v>92738.042806375743</v>
      </c>
      <c r="I76" t="s">
        <v>209</v>
      </c>
    </row>
    <row r="77" spans="1:11" x14ac:dyDescent="0.2">
      <c r="I77" t="s">
        <v>210</v>
      </c>
      <c r="J77">
        <f>-(J74/B40)</f>
        <v>0.3</v>
      </c>
    </row>
    <row r="78" spans="1:11" x14ac:dyDescent="0.2">
      <c r="I78" t="s">
        <v>211</v>
      </c>
      <c r="J78">
        <v>0.7</v>
      </c>
    </row>
    <row r="80" spans="1:11" x14ac:dyDescent="0.2">
      <c r="I80" t="s">
        <v>141</v>
      </c>
      <c r="J80" s="10">
        <f>NPV(J73,B43,C43,D43,E43,F43,G43)</f>
        <v>76363.566152836342</v>
      </c>
    </row>
    <row r="81" spans="9:10" x14ac:dyDescent="0.2">
      <c r="I81" t="s">
        <v>142</v>
      </c>
      <c r="J81" s="10">
        <f>NPV(J49,B76,C76,D76,E76,F76,G76)</f>
        <v>85789.736867165731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EAFA-C846-CD49-A5A3-541C1C77FF02}">
  <dimension ref="A1:T69"/>
  <sheetViews>
    <sheetView topLeftCell="A37" workbookViewId="0">
      <selection activeCell="S34" sqref="S34"/>
    </sheetView>
  </sheetViews>
  <sheetFormatPr baseColWidth="10" defaultRowHeight="16" x14ac:dyDescent="0.2"/>
  <cols>
    <col min="1" max="1" width="18" customWidth="1"/>
    <col min="2" max="2" width="16.83203125" customWidth="1"/>
    <col min="3" max="3" width="16.33203125" customWidth="1"/>
    <col min="4" max="4" width="14" customWidth="1"/>
    <col min="5" max="5" width="16.1640625" customWidth="1"/>
    <col min="6" max="6" width="15.1640625" customWidth="1"/>
    <col min="7" max="7" width="17.33203125" customWidth="1"/>
    <col min="9" max="9" width="12.33203125" bestFit="1" customWidth="1"/>
    <col min="10" max="10" width="13.83203125" customWidth="1"/>
    <col min="11" max="11" width="12.33203125" bestFit="1" customWidth="1"/>
    <col min="12" max="12" width="12.83203125" customWidth="1"/>
    <col min="13" max="13" width="12" customWidth="1"/>
    <col min="15" max="15" width="12.33203125" bestFit="1" customWidth="1"/>
    <col min="16" max="16" width="13.33203125" customWidth="1"/>
    <col min="17" max="17" width="13.1640625" customWidth="1"/>
    <col min="18" max="18" width="12" customWidth="1"/>
    <col min="19" max="19" width="13.33203125" customWidth="1"/>
  </cols>
  <sheetData>
    <row r="1" spans="1:7" x14ac:dyDescent="0.2">
      <c r="A1" t="s">
        <v>93</v>
      </c>
      <c r="B1" t="s">
        <v>94</v>
      </c>
    </row>
    <row r="2" spans="1:7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</row>
    <row r="3" spans="1:7" x14ac:dyDescent="0.2">
      <c r="A3" t="s">
        <v>13</v>
      </c>
      <c r="B3" s="8"/>
      <c r="C3" s="8">
        <f>1745.45*500</f>
        <v>872725</v>
      </c>
      <c r="D3" s="8">
        <f>C3*1.035</f>
        <v>903270.37499999988</v>
      </c>
      <c r="E3" s="8">
        <f t="shared" ref="E3:G3" si="0">D3*1.035</f>
        <v>934884.83812499978</v>
      </c>
      <c r="F3" s="8">
        <f t="shared" si="0"/>
        <v>967605.80745937466</v>
      </c>
      <c r="G3" s="8">
        <f t="shared" si="0"/>
        <v>1001472.0107204526</v>
      </c>
    </row>
    <row r="4" spans="1:7" x14ac:dyDescent="0.2">
      <c r="A4" t="s">
        <v>95</v>
      </c>
      <c r="B4" s="8">
        <f>C3*0.05</f>
        <v>43636.25</v>
      </c>
      <c r="C4" s="8">
        <f t="shared" ref="C4:G4" si="1">D3*0.05</f>
        <v>45163.518749999996</v>
      </c>
      <c r="D4" s="8">
        <f t="shared" si="1"/>
        <v>46744.24190624999</v>
      </c>
      <c r="E4" s="8">
        <f t="shared" si="1"/>
        <v>48380.290372968739</v>
      </c>
      <c r="F4" s="8">
        <f t="shared" si="1"/>
        <v>50073.600536022634</v>
      </c>
      <c r="G4" s="8">
        <f t="shared" si="1"/>
        <v>0</v>
      </c>
    </row>
    <row r="5" spans="1:7" x14ac:dyDescent="0.2">
      <c r="B5" s="8"/>
      <c r="C5" s="8"/>
      <c r="D5" s="8"/>
      <c r="E5" s="8"/>
      <c r="F5" s="8"/>
      <c r="G5" s="8"/>
    </row>
    <row r="6" spans="1:7" x14ac:dyDescent="0.2">
      <c r="A6" t="s">
        <v>102</v>
      </c>
      <c r="B6" t="s">
        <v>218</v>
      </c>
    </row>
    <row r="7" spans="1:7" x14ac:dyDescent="0.2">
      <c r="B7" t="s">
        <v>96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2">
      <c r="A8" t="s">
        <v>195</v>
      </c>
      <c r="B8" s="8">
        <v>400000</v>
      </c>
      <c r="C8" s="8">
        <f>B8-C9</f>
        <v>360000</v>
      </c>
      <c r="D8" s="8">
        <f>B8-C9-D9</f>
        <v>320000</v>
      </c>
      <c r="E8" s="8">
        <f>B8-C9-D9-E9</f>
        <v>280000</v>
      </c>
      <c r="F8" s="8">
        <f>E8-F9</f>
        <v>240000</v>
      </c>
      <c r="G8" s="8">
        <f>F8-G9</f>
        <v>200000</v>
      </c>
    </row>
    <row r="9" spans="1:7" x14ac:dyDescent="0.2">
      <c r="A9" t="s">
        <v>79</v>
      </c>
      <c r="B9" s="8"/>
      <c r="C9" s="8">
        <f>B8*0.1</f>
        <v>40000</v>
      </c>
      <c r="D9" s="8">
        <f>C9</f>
        <v>40000</v>
      </c>
      <c r="E9" s="8">
        <f>D9</f>
        <v>40000</v>
      </c>
      <c r="F9" s="8">
        <f>E9</f>
        <v>40000</v>
      </c>
      <c r="G9" s="8">
        <f>F9</f>
        <v>40000</v>
      </c>
    </row>
    <row r="11" spans="1:7" x14ac:dyDescent="0.2">
      <c r="A11" t="s">
        <v>115</v>
      </c>
      <c r="B11" t="s">
        <v>119</v>
      </c>
    </row>
    <row r="12" spans="1:7" x14ac:dyDescent="0.2">
      <c r="B12" t="s">
        <v>96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</row>
    <row r="13" spans="1:7" x14ac:dyDescent="0.2">
      <c r="A13" t="s">
        <v>119</v>
      </c>
      <c r="B13" s="8">
        <v>1192879.26</v>
      </c>
      <c r="C13" s="8"/>
      <c r="D13" s="8"/>
      <c r="E13" s="8"/>
      <c r="F13" s="8"/>
      <c r="G13" s="8"/>
    </row>
    <row r="14" spans="1:7" x14ac:dyDescent="0.2">
      <c r="A14" t="s">
        <v>79</v>
      </c>
      <c r="B14" s="8"/>
      <c r="C14" s="8">
        <f>B15*0.1</f>
        <v>119287.92600000001</v>
      </c>
      <c r="D14" s="8">
        <f>C15*0.1</f>
        <v>107359.13340000001</v>
      </c>
      <c r="E14" s="8">
        <f>D15*0.1</f>
        <v>96623.220060000007</v>
      </c>
      <c r="F14" s="8">
        <f>E15*0.1</f>
        <v>86960.898054000005</v>
      </c>
      <c r="G14" s="8">
        <f>F15*0.1</f>
        <v>78264.808248600006</v>
      </c>
    </row>
    <row r="15" spans="1:7" x14ac:dyDescent="0.2">
      <c r="A15" t="s">
        <v>197</v>
      </c>
      <c r="B15" s="8">
        <f>B13</f>
        <v>1192879.26</v>
      </c>
      <c r="C15" s="8">
        <f>B15-C14</f>
        <v>1073591.334</v>
      </c>
      <c r="D15" s="8">
        <f>C15-D14</f>
        <v>966232.20059999998</v>
      </c>
      <c r="E15" s="8">
        <f>D15-E14</f>
        <v>869608.98054000002</v>
      </c>
      <c r="F15" s="8">
        <f>E15-F14</f>
        <v>782648.08248600003</v>
      </c>
      <c r="G15" s="8">
        <f>F15-G14</f>
        <v>704383.27423740004</v>
      </c>
    </row>
    <row r="17" spans="1:20" x14ac:dyDescent="0.2">
      <c r="A17" t="s">
        <v>199</v>
      </c>
      <c r="B17" t="s">
        <v>228</v>
      </c>
    </row>
    <row r="18" spans="1:20" x14ac:dyDescent="0.2">
      <c r="B18" t="s">
        <v>96</v>
      </c>
      <c r="C18" t="s">
        <v>97</v>
      </c>
      <c r="D18" t="s">
        <v>98</v>
      </c>
      <c r="E18" t="s">
        <v>99</v>
      </c>
      <c r="F18" t="s">
        <v>100</v>
      </c>
      <c r="G18" t="s">
        <v>101</v>
      </c>
    </row>
    <row r="19" spans="1:20" x14ac:dyDescent="0.2">
      <c r="A19" t="s">
        <v>201</v>
      </c>
      <c r="B19" s="8">
        <f>B8+B15+B4</f>
        <v>1636515.51</v>
      </c>
      <c r="C19" s="8">
        <f>C8+C15+C4</f>
        <v>1478754.8527500001</v>
      </c>
      <c r="D19" s="8">
        <f>D4+D8+D15</f>
        <v>1332976.44250625</v>
      </c>
      <c r="E19" s="8">
        <f>E4+E8+E15</f>
        <v>1197989.2709129688</v>
      </c>
      <c r="F19" s="8">
        <f>F4+F8+F15</f>
        <v>1072721.6830220227</v>
      </c>
      <c r="G19" s="8">
        <f>G4+G8+G15</f>
        <v>904383.27423740004</v>
      </c>
    </row>
    <row r="21" spans="1:20" x14ac:dyDescent="0.2">
      <c r="A21" t="s">
        <v>203</v>
      </c>
      <c r="B21" t="s">
        <v>103</v>
      </c>
    </row>
    <row r="22" spans="1:20" x14ac:dyDescent="0.2"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I22" t="s">
        <v>97</v>
      </c>
      <c r="J22" t="s">
        <v>98</v>
      </c>
      <c r="K22" t="s">
        <v>99</v>
      </c>
      <c r="L22" t="s">
        <v>100</v>
      </c>
      <c r="M22" t="s">
        <v>101</v>
      </c>
      <c r="O22" t="s">
        <v>97</v>
      </c>
      <c r="P22" t="s">
        <v>98</v>
      </c>
      <c r="Q22" t="s">
        <v>99</v>
      </c>
      <c r="R22" t="s">
        <v>100</v>
      </c>
      <c r="S22" t="s">
        <v>101</v>
      </c>
    </row>
    <row r="23" spans="1:20" x14ac:dyDescent="0.2">
      <c r="A23" t="s">
        <v>13</v>
      </c>
      <c r="B23" s="8">
        <f>C3</f>
        <v>872725</v>
      </c>
      <c r="C23" s="8">
        <f>D3</f>
        <v>903270.37499999988</v>
      </c>
      <c r="D23" s="8">
        <f>E3</f>
        <v>934884.83812499978</v>
      </c>
      <c r="E23" s="8">
        <f>F3</f>
        <v>967605.80745937466</v>
      </c>
      <c r="F23" s="8">
        <f>G3</f>
        <v>1001472.0107204526</v>
      </c>
    </row>
    <row r="24" spans="1:20" x14ac:dyDescent="0.2">
      <c r="A24" t="s">
        <v>104</v>
      </c>
      <c r="B24" s="8">
        <f>B23*0.55</f>
        <v>479998.75000000006</v>
      </c>
      <c r="C24" s="8">
        <f t="shared" ref="C24:F24" si="2">C23*0.55</f>
        <v>496798.70624999999</v>
      </c>
      <c r="D24" s="8">
        <f t="shared" si="2"/>
        <v>514186.6609687499</v>
      </c>
      <c r="E24" s="8">
        <f t="shared" si="2"/>
        <v>532183.1941026561</v>
      </c>
      <c r="F24" s="8">
        <f t="shared" si="2"/>
        <v>550809.60589624895</v>
      </c>
    </row>
    <row r="25" spans="1:20" x14ac:dyDescent="0.2">
      <c r="A25" t="s">
        <v>79</v>
      </c>
      <c r="B25" s="8">
        <f>C14+C9</f>
        <v>159287.92600000001</v>
      </c>
      <c r="C25" s="8">
        <f>D14+D9</f>
        <v>147359.13339999999</v>
      </c>
      <c r="D25" s="8">
        <f>E14+E9</f>
        <v>136623.22006000002</v>
      </c>
      <c r="E25" s="8">
        <f>F14+F9</f>
        <v>126960.898054</v>
      </c>
      <c r="F25" s="8">
        <f>G14+G9</f>
        <v>118264.80824860001</v>
      </c>
    </row>
    <row r="26" spans="1:20" x14ac:dyDescent="0.2">
      <c r="A26" t="s">
        <v>105</v>
      </c>
      <c r="B26" s="8">
        <f>B23-B24-B25</f>
        <v>233438.32399999994</v>
      </c>
      <c r="C26" s="8">
        <f t="shared" ref="C26:F26" si="3">C23-C24-C25</f>
        <v>259112.5353499999</v>
      </c>
      <c r="D26" s="8">
        <f t="shared" si="3"/>
        <v>284074.95709624985</v>
      </c>
      <c r="E26" s="8">
        <f t="shared" si="3"/>
        <v>308461.71530271857</v>
      </c>
      <c r="F26" s="8">
        <f t="shared" si="3"/>
        <v>332397.5965756037</v>
      </c>
      <c r="G26" t="s">
        <v>219</v>
      </c>
      <c r="H26" t="s">
        <v>220</v>
      </c>
      <c r="T26" t="s">
        <v>217</v>
      </c>
    </row>
    <row r="27" spans="1:20" x14ac:dyDescent="0.2">
      <c r="A27" t="s">
        <v>132</v>
      </c>
      <c r="B27" s="8">
        <f>C48</f>
        <v>-5153.2384032000009</v>
      </c>
      <c r="C27" s="8">
        <f>D48</f>
        <v>-5097.5834284454404</v>
      </c>
      <c r="D27" s="8">
        <f>E48</f>
        <v>-3091.9430419200003</v>
      </c>
      <c r="E27" s="8">
        <f>F48</f>
        <v>-2061.2953612800002</v>
      </c>
      <c r="F27" s="8">
        <f>G48</f>
        <v>-1030.6476806400001</v>
      </c>
      <c r="I27" s="8">
        <f>C58</f>
        <v>-6441.5480040000002</v>
      </c>
      <c r="J27" s="8">
        <f>D58</f>
        <v>-5153.2384032000009</v>
      </c>
      <c r="K27" s="8">
        <f>E58</f>
        <v>-3864.9288024000007</v>
      </c>
      <c r="L27" s="8">
        <f>F58</f>
        <v>-2576.6192016000005</v>
      </c>
      <c r="M27" s="8">
        <f>G58</f>
        <v>-1288.3096008000005</v>
      </c>
      <c r="O27" s="8">
        <f>C67</f>
        <v>-9018.1672056000007</v>
      </c>
      <c r="P27" s="8">
        <f>D67</f>
        <v>-7214.5337644799993</v>
      </c>
      <c r="Q27" s="8">
        <f>E67</f>
        <v>-5410.9003233599988</v>
      </c>
      <c r="R27" s="8">
        <f>F67</f>
        <v>-3607.2668822399987</v>
      </c>
      <c r="S27" s="8">
        <f>G67</f>
        <v>-1803.6334411199982</v>
      </c>
    </row>
    <row r="28" spans="1:20" x14ac:dyDescent="0.2">
      <c r="A28" t="s">
        <v>112</v>
      </c>
      <c r="B28" s="8">
        <f>B26+B27</f>
        <v>228285.08559679994</v>
      </c>
      <c r="C28" s="8">
        <f t="shared" ref="C28:F28" si="4">C26+C27</f>
        <v>254014.95192155446</v>
      </c>
      <c r="D28" s="8">
        <f t="shared" si="4"/>
        <v>280983.01405432983</v>
      </c>
      <c r="E28" s="8">
        <f t="shared" si="4"/>
        <v>306400.41994143859</v>
      </c>
      <c r="F28" s="8">
        <f t="shared" si="4"/>
        <v>331366.94889496372</v>
      </c>
      <c r="I28" s="8">
        <f>B26+I27</f>
        <v>226996.77599599992</v>
      </c>
      <c r="J28" s="8">
        <f t="shared" ref="J28:M28" si="5">C26+J27</f>
        <v>253959.29694679991</v>
      </c>
      <c r="K28" s="8">
        <f t="shared" si="5"/>
        <v>280210.02829384984</v>
      </c>
      <c r="L28" s="8">
        <f t="shared" si="5"/>
        <v>305885.09610111854</v>
      </c>
      <c r="M28" s="8">
        <f t="shared" si="5"/>
        <v>331109.28697480372</v>
      </c>
      <c r="O28" s="8">
        <f>B26+O27</f>
        <v>224420.15679439993</v>
      </c>
      <c r="P28" s="8">
        <f t="shared" ref="P28:S28" si="6">C26+P27</f>
        <v>251898.0015855199</v>
      </c>
      <c r="Q28" s="8">
        <f t="shared" si="6"/>
        <v>278664.05677288986</v>
      </c>
      <c r="R28" s="8">
        <f t="shared" si="6"/>
        <v>304854.44842047855</v>
      </c>
      <c r="S28" s="8">
        <f t="shared" si="6"/>
        <v>330593.96313448373</v>
      </c>
    </row>
    <row r="29" spans="1:20" x14ac:dyDescent="0.2">
      <c r="A29" t="s">
        <v>162</v>
      </c>
      <c r="B29" s="8">
        <f>B28*(1-0.28)</f>
        <v>164365.26162969595</v>
      </c>
      <c r="C29" s="8">
        <f t="shared" ref="C29:E29" si="7">C28*(1-0.28)</f>
        <v>182890.7653835192</v>
      </c>
      <c r="D29" s="8">
        <f t="shared" si="7"/>
        <v>202307.77011911749</v>
      </c>
      <c r="E29" s="8">
        <f t="shared" si="7"/>
        <v>220608.30235783578</v>
      </c>
      <c r="F29" s="8">
        <f>F28*(1-0.28)</f>
        <v>238584.20320437386</v>
      </c>
      <c r="I29" s="8">
        <f>I28*(1-0.28)</f>
        <v>163437.67871711994</v>
      </c>
      <c r="J29" s="8">
        <f t="shared" ref="J29:M29" si="8">J28*(1-0.28)</f>
        <v>182850.69380169592</v>
      </c>
      <c r="K29" s="8">
        <f t="shared" si="8"/>
        <v>201751.22037157189</v>
      </c>
      <c r="L29" s="8">
        <f t="shared" si="8"/>
        <v>220237.26919280534</v>
      </c>
      <c r="M29" s="8">
        <f t="shared" si="8"/>
        <v>238398.68662185868</v>
      </c>
      <c r="O29" s="8">
        <f>O28*(1-0.28)</f>
        <v>161582.51289196793</v>
      </c>
      <c r="P29" s="8">
        <f t="shared" ref="P29:S29" si="9">P28*(1-0.28)</f>
        <v>181366.56114157432</v>
      </c>
      <c r="Q29" s="8">
        <f t="shared" si="9"/>
        <v>200638.12087648068</v>
      </c>
      <c r="R29" s="8">
        <f t="shared" si="9"/>
        <v>219495.20286274454</v>
      </c>
      <c r="S29" s="8">
        <f t="shared" si="9"/>
        <v>238027.65345682827</v>
      </c>
    </row>
    <row r="31" spans="1:20" x14ac:dyDescent="0.2">
      <c r="A31" t="s">
        <v>204</v>
      </c>
      <c r="B31" t="s">
        <v>116</v>
      </c>
    </row>
    <row r="32" spans="1:20" x14ac:dyDescent="0.2">
      <c r="B32" t="s">
        <v>96</v>
      </c>
      <c r="C32" t="s">
        <v>97</v>
      </c>
      <c r="D32" t="s">
        <v>98</v>
      </c>
      <c r="E32" t="s">
        <v>99</v>
      </c>
      <c r="F32" t="s">
        <v>100</v>
      </c>
      <c r="G32" t="s">
        <v>101</v>
      </c>
    </row>
    <row r="33" spans="1:12" x14ac:dyDescent="0.2">
      <c r="A33" t="s">
        <v>13</v>
      </c>
      <c r="B33" s="8"/>
      <c r="C33" s="8">
        <f>B23</f>
        <v>872725</v>
      </c>
      <c r="D33" s="8">
        <f>C23</f>
        <v>903270.37499999988</v>
      </c>
      <c r="E33" s="8">
        <f>D23</f>
        <v>934884.83812499978</v>
      </c>
      <c r="F33" s="8">
        <f>E23</f>
        <v>967605.80745937466</v>
      </c>
      <c r="G33" s="8">
        <f>F23</f>
        <v>1001472.0107204526</v>
      </c>
    </row>
    <row r="34" spans="1:12" x14ac:dyDescent="0.2">
      <c r="A34" t="s">
        <v>104</v>
      </c>
      <c r="B34" s="8"/>
      <c r="C34" s="8">
        <f>C33*0.55</f>
        <v>479998.75000000006</v>
      </c>
      <c r="D34" s="8">
        <f t="shared" ref="D34:G34" si="10">D33*0.55</f>
        <v>496798.70624999999</v>
      </c>
      <c r="E34" s="8">
        <f t="shared" si="10"/>
        <v>514186.6609687499</v>
      </c>
      <c r="F34" s="8">
        <f t="shared" si="10"/>
        <v>532183.1941026561</v>
      </c>
      <c r="G34" s="8">
        <f t="shared" si="10"/>
        <v>550809.60589624895</v>
      </c>
    </row>
    <row r="35" spans="1:12" x14ac:dyDescent="0.2">
      <c r="A35" t="s">
        <v>221</v>
      </c>
      <c r="B35" s="8"/>
      <c r="C35" s="8">
        <f>C14</f>
        <v>119287.92600000001</v>
      </c>
      <c r="D35" s="8">
        <f>D14</f>
        <v>107359.13340000001</v>
      </c>
      <c r="E35" s="8">
        <f>E14</f>
        <v>96623.220060000007</v>
      </c>
      <c r="F35" s="8">
        <f>F14</f>
        <v>86960.898054000005</v>
      </c>
      <c r="G35" s="8">
        <f>G14</f>
        <v>78264.808248600006</v>
      </c>
    </row>
    <row r="36" spans="1:12" x14ac:dyDescent="0.2">
      <c r="A36" t="s">
        <v>206</v>
      </c>
      <c r="B36" s="8"/>
      <c r="C36" s="8">
        <f>C33-C34-C35</f>
        <v>273438.32399999991</v>
      </c>
      <c r="D36" s="8">
        <f t="shared" ref="D36:G36" si="11">D33-D34-D35</f>
        <v>299112.5353499999</v>
      </c>
      <c r="E36" s="8">
        <f t="shared" si="11"/>
        <v>324074.95709624985</v>
      </c>
      <c r="F36" s="8">
        <f t="shared" si="11"/>
        <v>348461.71530271857</v>
      </c>
      <c r="G36" s="8">
        <f t="shared" si="11"/>
        <v>372397.5965756037</v>
      </c>
    </row>
    <row r="37" spans="1:12" x14ac:dyDescent="0.2">
      <c r="A37" t="s">
        <v>117</v>
      </c>
      <c r="B37" s="8"/>
      <c r="C37" s="8">
        <f>C36*(1-0.28)</f>
        <v>196875.59327999991</v>
      </c>
      <c r="D37" s="8">
        <f t="shared" ref="D37:G37" si="12">D36*(1-0.28)</f>
        <v>215361.02545199991</v>
      </c>
      <c r="E37" s="8">
        <f t="shared" si="12"/>
        <v>233333.96910929988</v>
      </c>
      <c r="F37" s="8">
        <f t="shared" si="12"/>
        <v>250892.43501795735</v>
      </c>
      <c r="G37" s="8">
        <f t="shared" si="12"/>
        <v>268126.26953443466</v>
      </c>
    </row>
    <row r="38" spans="1:12" x14ac:dyDescent="0.2">
      <c r="A38" t="s">
        <v>221</v>
      </c>
      <c r="B38" s="8"/>
      <c r="C38" s="8">
        <f>C35</f>
        <v>119287.92600000001</v>
      </c>
      <c r="D38" s="8">
        <f>D35</f>
        <v>107359.13340000001</v>
      </c>
      <c r="E38" s="8">
        <f>E35</f>
        <v>96623.220060000007</v>
      </c>
      <c r="F38" s="8">
        <f>F35</f>
        <v>86960.898054000005</v>
      </c>
      <c r="G38" s="8">
        <f>G35</f>
        <v>78264.808248600006</v>
      </c>
    </row>
    <row r="39" spans="1:12" x14ac:dyDescent="0.2">
      <c r="A39" t="s">
        <v>119</v>
      </c>
      <c r="B39" s="8">
        <f>-B13</f>
        <v>-1192879.26</v>
      </c>
      <c r="C39" s="8"/>
      <c r="D39" s="8"/>
      <c r="E39" s="8"/>
      <c r="F39" s="8"/>
      <c r="G39" s="8"/>
    </row>
    <row r="40" spans="1:12" x14ac:dyDescent="0.2">
      <c r="A40" t="s">
        <v>120</v>
      </c>
      <c r="B40" s="8">
        <f>-B4</f>
        <v>-43636.25</v>
      </c>
      <c r="C40" s="8">
        <f>B4-C4</f>
        <v>-1527.2687499999956</v>
      </c>
      <c r="D40" s="8">
        <f>C4-D4</f>
        <v>-1580.7231562499946</v>
      </c>
      <c r="E40" s="8">
        <f>D4-E4</f>
        <v>-1636.0484667187484</v>
      </c>
      <c r="F40" s="8">
        <f>E4-F4</f>
        <v>-1693.3101630538949</v>
      </c>
      <c r="G40" s="8" t="s">
        <v>196</v>
      </c>
    </row>
    <row r="41" spans="1:12" x14ac:dyDescent="0.2">
      <c r="A41" t="s">
        <v>205</v>
      </c>
      <c r="B41" s="8"/>
      <c r="C41" s="8"/>
      <c r="D41" s="8"/>
      <c r="E41" s="8"/>
      <c r="F41" s="8"/>
      <c r="G41" s="8">
        <f>-(B40+C40+D40+E40+F40)</f>
        <v>50073.600536022634</v>
      </c>
    </row>
    <row r="42" spans="1:12" x14ac:dyDescent="0.2">
      <c r="A42" t="s">
        <v>122</v>
      </c>
      <c r="B42" s="8">
        <f>B39+B40</f>
        <v>-1236515.51</v>
      </c>
      <c r="C42" s="8">
        <f>C37+C38+C40</f>
        <v>314636.2505299999</v>
      </c>
      <c r="D42" s="8">
        <f>D37+D38+D40</f>
        <v>321139.43569574994</v>
      </c>
      <c r="E42" s="8">
        <f>E37+E38+E40</f>
        <v>328321.14070258115</v>
      </c>
      <c r="F42" s="8">
        <f>F37+F38+F40</f>
        <v>336160.02290890343</v>
      </c>
      <c r="G42" s="8">
        <f>G37+G38+G41</f>
        <v>396464.67831905728</v>
      </c>
    </row>
    <row r="44" spans="1:12" x14ac:dyDescent="0.2">
      <c r="A44" t="s">
        <v>222</v>
      </c>
      <c r="B44" t="s">
        <v>229</v>
      </c>
      <c r="C44" t="s">
        <v>123</v>
      </c>
      <c r="J44" t="s">
        <v>137</v>
      </c>
      <c r="K44">
        <f>K46*L47+K45*L48</f>
        <v>5.1900000000000002E-2</v>
      </c>
    </row>
    <row r="45" spans="1:12" x14ac:dyDescent="0.2">
      <c r="J45" t="s">
        <v>139</v>
      </c>
      <c r="K45">
        <v>2.7900000000000001E-2</v>
      </c>
    </row>
    <row r="46" spans="1:12" x14ac:dyDescent="0.2">
      <c r="A46" t="s">
        <v>127</v>
      </c>
      <c r="B46" s="8">
        <f>-(B39*0.4)</f>
        <v>477151.70400000003</v>
      </c>
      <c r="C46" s="8"/>
      <c r="D46" s="8"/>
      <c r="E46" s="8"/>
      <c r="F46" s="8"/>
      <c r="G46" s="8"/>
      <c r="J46" t="s">
        <v>138</v>
      </c>
      <c r="K46">
        <v>6.7900000000000002E-2</v>
      </c>
      <c r="L46" t="s">
        <v>209</v>
      </c>
    </row>
    <row r="47" spans="1:12" x14ac:dyDescent="0.2">
      <c r="A47" t="s">
        <v>213</v>
      </c>
      <c r="B47" s="8"/>
      <c r="C47" s="8">
        <f>-(B46*0.2)</f>
        <v>-95430.340800000005</v>
      </c>
      <c r="D47" s="8">
        <f>C47</f>
        <v>-95430.340800000005</v>
      </c>
      <c r="E47" s="8">
        <f>D47</f>
        <v>-95430.340800000005</v>
      </c>
      <c r="F47" s="8">
        <f>E47</f>
        <v>-95430.340800000005</v>
      </c>
      <c r="G47" s="8">
        <f>F47</f>
        <v>-95430.340800000005</v>
      </c>
      <c r="J47" t="s">
        <v>226</v>
      </c>
      <c r="K47" s="8">
        <f>-(B39*0.6)</f>
        <v>715727.55599999998</v>
      </c>
      <c r="L47" s="15">
        <v>0.6</v>
      </c>
    </row>
    <row r="48" spans="1:12" x14ac:dyDescent="0.2">
      <c r="A48" t="s">
        <v>132</v>
      </c>
      <c r="B48" s="8"/>
      <c r="C48" s="8">
        <f>-(B46*0.0108)</f>
        <v>-5153.2384032000009</v>
      </c>
      <c r="D48" s="8">
        <f>-(B46+C48)*0.0108</f>
        <v>-5097.5834284454404</v>
      </c>
      <c r="E48" s="8">
        <f>-(B46+C47+D47)*0.0108</f>
        <v>-3091.9430419200003</v>
      </c>
      <c r="F48" s="8">
        <f>-(B46+C47+D47+E47)*0.0108</f>
        <v>-2061.2953612800002</v>
      </c>
      <c r="G48" s="8">
        <f>-(B46+C47+D47+E47+F47)*0.0108</f>
        <v>-1030.6476806400001</v>
      </c>
      <c r="J48" t="s">
        <v>146</v>
      </c>
      <c r="K48" s="8">
        <f>-(B39*0.4)</f>
        <v>477151.70400000003</v>
      </c>
      <c r="L48">
        <v>0.4</v>
      </c>
    </row>
    <row r="49" spans="1:12" x14ac:dyDescent="0.2">
      <c r="A49" t="s">
        <v>214</v>
      </c>
      <c r="B49" s="8"/>
      <c r="C49" s="8">
        <f>-(C48*0.28)</f>
        <v>1442.9067528960004</v>
      </c>
      <c r="D49" s="8">
        <f t="shared" ref="D49:F49" si="13">-(D48*0.28)</f>
        <v>1427.3233599647235</v>
      </c>
      <c r="E49" s="8">
        <f t="shared" si="13"/>
        <v>865.7440517376001</v>
      </c>
      <c r="F49" s="8">
        <f t="shared" si="13"/>
        <v>577.16270115840007</v>
      </c>
      <c r="G49" s="8">
        <f>-(G48*0.28)</f>
        <v>288.58135057920003</v>
      </c>
    </row>
    <row r="50" spans="1:12" x14ac:dyDescent="0.2">
      <c r="A50" t="s">
        <v>131</v>
      </c>
      <c r="B50" s="8">
        <f>B42+B46</f>
        <v>-759363.80599999998</v>
      </c>
      <c r="C50" s="8">
        <f>C42+C47+C48+C49</f>
        <v>215495.5780796959</v>
      </c>
      <c r="D50" s="8">
        <f>D42+D47+D48+D49</f>
        <v>222038.83482726922</v>
      </c>
      <c r="E50" s="8">
        <f>E42+E47+E48+E49</f>
        <v>230664.60091239875</v>
      </c>
      <c r="F50" s="8">
        <f>F42+F47+F48+F49</f>
        <v>239245.54944878182</v>
      </c>
      <c r="G50" s="8">
        <f>G42+G47+G48+G49</f>
        <v>300292.2711889965</v>
      </c>
      <c r="J50" t="s">
        <v>223</v>
      </c>
      <c r="K50" s="10">
        <f>NPV(K44,B42,C42,D42,E42,F42,G42)</f>
        <v>206599.99107525538</v>
      </c>
    </row>
    <row r="51" spans="1:12" x14ac:dyDescent="0.2">
      <c r="J51" t="s">
        <v>224</v>
      </c>
      <c r="K51" s="10">
        <f>NPV(K46,B50,C50,D50,E50,F50,G50)</f>
        <v>212296.75139993316</v>
      </c>
    </row>
    <row r="54" spans="1:12" x14ac:dyDescent="0.2">
      <c r="A54" t="s">
        <v>225</v>
      </c>
      <c r="J54" t="s">
        <v>137</v>
      </c>
      <c r="K54">
        <f>K46*L56+K45*L57</f>
        <v>4.7899999999999998E-2</v>
      </c>
    </row>
    <row r="55" spans="1:12" x14ac:dyDescent="0.2">
      <c r="J55" t="s">
        <v>138</v>
      </c>
      <c r="L55" t="s">
        <v>209</v>
      </c>
    </row>
    <row r="56" spans="1:12" x14ac:dyDescent="0.2">
      <c r="A56" t="s">
        <v>127</v>
      </c>
      <c r="B56" s="8">
        <f>-(B39*0.5)</f>
        <v>596439.63</v>
      </c>
      <c r="C56" s="8"/>
      <c r="D56" s="8"/>
      <c r="E56" s="8"/>
      <c r="F56" s="8"/>
      <c r="G56" s="8"/>
      <c r="J56" t="s">
        <v>226</v>
      </c>
      <c r="K56" s="8">
        <f>-(B39*0.5)</f>
        <v>596439.63</v>
      </c>
      <c r="L56">
        <v>0.5</v>
      </c>
    </row>
    <row r="57" spans="1:12" x14ac:dyDescent="0.2">
      <c r="A57" t="s">
        <v>213</v>
      </c>
      <c r="B57" s="8"/>
      <c r="C57" s="8">
        <f>-(B56*0.2)</f>
        <v>-119287.92600000001</v>
      </c>
      <c r="D57" s="8">
        <f>C57</f>
        <v>-119287.92600000001</v>
      </c>
      <c r="E57" s="8">
        <f>D57</f>
        <v>-119287.92600000001</v>
      </c>
      <c r="F57" s="8">
        <f>E57</f>
        <v>-119287.92600000001</v>
      </c>
      <c r="G57" s="8">
        <f>F57</f>
        <v>-119287.92600000001</v>
      </c>
      <c r="J57" t="s">
        <v>146</v>
      </c>
      <c r="K57" s="8">
        <f>K56</f>
        <v>596439.63</v>
      </c>
      <c r="L57">
        <v>0.5</v>
      </c>
    </row>
    <row r="58" spans="1:12" x14ac:dyDescent="0.2">
      <c r="A58" t="s">
        <v>132</v>
      </c>
      <c r="B58" s="8"/>
      <c r="C58" s="8">
        <f>-(B56*0.0108)</f>
        <v>-6441.5480040000002</v>
      </c>
      <c r="D58" s="8">
        <f>-(B56+C57)*0.0108</f>
        <v>-5153.2384032000009</v>
      </c>
      <c r="E58" s="8">
        <f>-(B56+C57+D57)*0.0108</f>
        <v>-3864.9288024000007</v>
      </c>
      <c r="F58" s="8">
        <f>-(B56+C57+D57+E57)*0.0108</f>
        <v>-2576.6192016000005</v>
      </c>
      <c r="G58" s="8">
        <f>-(B56+C57+D57+E57+F57)*0.0108</f>
        <v>-1288.3096008000005</v>
      </c>
    </row>
    <row r="59" spans="1:12" x14ac:dyDescent="0.2">
      <c r="A59" t="s">
        <v>214</v>
      </c>
      <c r="B59" s="8"/>
      <c r="C59" s="8">
        <f>-(C58*0.28)</f>
        <v>1803.6334411200003</v>
      </c>
      <c r="D59" s="8">
        <f t="shared" ref="D59:G59" si="14">-(D58*0.28)</f>
        <v>1442.9067528960004</v>
      </c>
      <c r="E59" s="8">
        <f t="shared" si="14"/>
        <v>1082.1800646720003</v>
      </c>
      <c r="F59" s="8">
        <f t="shared" si="14"/>
        <v>721.4533764480002</v>
      </c>
      <c r="G59" s="8">
        <f t="shared" si="14"/>
        <v>360.72668822400016</v>
      </c>
      <c r="J59" t="s">
        <v>223</v>
      </c>
      <c r="K59" s="10">
        <f>NPV(K54,B42,C42,D42,E42,F42,G42)</f>
        <v>223364.50082755243</v>
      </c>
    </row>
    <row r="60" spans="1:12" x14ac:dyDescent="0.2">
      <c r="A60" t="s">
        <v>131</v>
      </c>
      <c r="B60" s="8">
        <f>B42+B56</f>
        <v>-640075.88</v>
      </c>
      <c r="C60" s="8">
        <f>C42+C57+C58+C59</f>
        <v>190710.40996711989</v>
      </c>
      <c r="D60" s="8">
        <f>D42+D57+D58+D59</f>
        <v>198141.17804544594</v>
      </c>
      <c r="E60" s="8">
        <f>E42+E57+E58+E59</f>
        <v>206250.46596485312</v>
      </c>
      <c r="F60" s="8">
        <f>F42+F57+F58+F59</f>
        <v>215016.93108375143</v>
      </c>
      <c r="G60" s="8">
        <f>G42+G57+G58+G59</f>
        <v>276249.16940648126</v>
      </c>
      <c r="J60" t="s">
        <v>224</v>
      </c>
      <c r="K60" s="10">
        <f>NPV(K46,B60,C60,D60,E60,F60,G60)</f>
        <v>230215.10706273434</v>
      </c>
    </row>
    <row r="63" spans="1:12" x14ac:dyDescent="0.2">
      <c r="A63" t="s">
        <v>227</v>
      </c>
      <c r="J63" t="s">
        <v>137</v>
      </c>
      <c r="K63">
        <f>K46*L64+K45*L65</f>
        <v>3.9899999999999998E-2</v>
      </c>
      <c r="L63" t="s">
        <v>209</v>
      </c>
    </row>
    <row r="64" spans="1:12" x14ac:dyDescent="0.2">
      <c r="J64" t="s">
        <v>226</v>
      </c>
      <c r="K64" s="8">
        <f>-(B39*0.3)</f>
        <v>357863.77799999999</v>
      </c>
      <c r="L64">
        <v>0.3</v>
      </c>
    </row>
    <row r="65" spans="1:12" x14ac:dyDescent="0.2">
      <c r="A65" t="s">
        <v>127</v>
      </c>
      <c r="B65" s="8">
        <f>-(B39*0.7)</f>
        <v>835015.48199999996</v>
      </c>
      <c r="C65" s="8"/>
      <c r="D65" s="8"/>
      <c r="E65" s="8"/>
      <c r="F65" s="8"/>
      <c r="G65" s="8"/>
      <c r="J65" t="s">
        <v>146</v>
      </c>
      <c r="K65" s="8">
        <f>-(B39*0.7)</f>
        <v>835015.48199999996</v>
      </c>
      <c r="L65">
        <v>0.7</v>
      </c>
    </row>
    <row r="66" spans="1:12" x14ac:dyDescent="0.2">
      <c r="A66" t="s">
        <v>213</v>
      </c>
      <c r="B66" s="8"/>
      <c r="C66" s="8">
        <f>-(B65*0.2)</f>
        <v>-167003.09640000001</v>
      </c>
      <c r="D66" s="8">
        <f>C66</f>
        <v>-167003.09640000001</v>
      </c>
      <c r="E66" s="8">
        <f>D66</f>
        <v>-167003.09640000001</v>
      </c>
      <c r="F66" s="8">
        <f>E66</f>
        <v>-167003.09640000001</v>
      </c>
      <c r="G66" s="8">
        <f>F66</f>
        <v>-167003.09640000001</v>
      </c>
    </row>
    <row r="67" spans="1:12" x14ac:dyDescent="0.2">
      <c r="A67" t="s">
        <v>132</v>
      </c>
      <c r="B67" s="8"/>
      <c r="C67" s="8">
        <f>-(B65*0.0108)</f>
        <v>-9018.1672056000007</v>
      </c>
      <c r="D67" s="8">
        <f>-(B65+C66)*0.0108</f>
        <v>-7214.5337644799993</v>
      </c>
      <c r="E67" s="8">
        <f>-(B65+C66+D66)*0.0108</f>
        <v>-5410.9003233599988</v>
      </c>
      <c r="F67" s="8">
        <f>-(B65+C66+D66+E66)*0.0108</f>
        <v>-3607.2668822399987</v>
      </c>
      <c r="G67" s="8">
        <f>-(B65+C66+D66+E66+F66)*0.0108</f>
        <v>-1803.6334411199982</v>
      </c>
      <c r="J67" t="s">
        <v>223</v>
      </c>
      <c r="K67" s="10">
        <f>NPV(K63,B42,C42,D42,E42,F42,G42)</f>
        <v>258160.24197059733</v>
      </c>
    </row>
    <row r="68" spans="1:12" x14ac:dyDescent="0.2">
      <c r="A68" t="s">
        <v>214</v>
      </c>
      <c r="B68" s="8"/>
      <c r="C68" s="8">
        <f>-(C67*0.28)</f>
        <v>2525.0868175680002</v>
      </c>
      <c r="D68" s="8">
        <f t="shared" ref="D68:G68" si="15">-(D67*0.28)</f>
        <v>2020.0694540544</v>
      </c>
      <c r="E68" s="8">
        <f t="shared" si="15"/>
        <v>1515.0520905407998</v>
      </c>
      <c r="F68" s="8">
        <f t="shared" si="15"/>
        <v>1010.0347270271998</v>
      </c>
      <c r="G68" s="8">
        <f t="shared" si="15"/>
        <v>505.01736351359955</v>
      </c>
      <c r="J68" t="s">
        <v>224</v>
      </c>
      <c r="K68" s="10">
        <f>NPV(K46,B69,C69,D69,E69,F69,G69)</f>
        <v>264898.97025891999</v>
      </c>
    </row>
    <row r="69" spans="1:12" x14ac:dyDescent="0.2">
      <c r="A69" t="s">
        <v>131</v>
      </c>
      <c r="B69" s="8">
        <f>B42+B65</f>
        <v>-401500.02800000005</v>
      </c>
      <c r="C69" s="8">
        <f>C42+C66+C67+C68</f>
        <v>141140.07374196788</v>
      </c>
      <c r="D69" s="8">
        <f>D42+D66+D67+D68</f>
        <v>148941.87498532434</v>
      </c>
      <c r="E69" s="8">
        <f>E42+E66+E67+E68</f>
        <v>157422.19606976194</v>
      </c>
      <c r="F69" s="8">
        <f>F42+F66+F67+F68</f>
        <v>166559.69435369063</v>
      </c>
      <c r="G69" s="8">
        <f>G42+G66+G67+G68</f>
        <v>228162.96584145084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094C-9D4D-1D4C-8999-554C68DAD41C}">
  <dimension ref="A1:S69"/>
  <sheetViews>
    <sheetView workbookViewId="0">
      <selection activeCell="Q34" sqref="Q34"/>
    </sheetView>
  </sheetViews>
  <sheetFormatPr baseColWidth="10" defaultRowHeight="16" x14ac:dyDescent="0.2"/>
  <cols>
    <col min="1" max="1" width="16.6640625" customWidth="1"/>
    <col min="2" max="2" width="18.5" customWidth="1"/>
    <col min="3" max="3" width="16.6640625" customWidth="1"/>
    <col min="4" max="4" width="15" customWidth="1"/>
    <col min="5" max="5" width="15.1640625" customWidth="1"/>
    <col min="6" max="6" width="14.5" customWidth="1"/>
    <col min="7" max="7" width="15.33203125" customWidth="1"/>
    <col min="8" max="8" width="12.33203125" bestFit="1" customWidth="1"/>
    <col min="9" max="9" width="13.83203125" customWidth="1"/>
    <col min="10" max="10" width="13.6640625" customWidth="1"/>
    <col min="11" max="11" width="13.1640625" customWidth="1"/>
    <col min="12" max="12" width="12.6640625" customWidth="1"/>
    <col min="14" max="14" width="12.33203125" bestFit="1" customWidth="1"/>
    <col min="15" max="16" width="12" bestFit="1" customWidth="1"/>
    <col min="17" max="17" width="12.6640625" customWidth="1"/>
    <col min="18" max="18" width="12.33203125" customWidth="1"/>
  </cols>
  <sheetData>
    <row r="1" spans="1:7" x14ac:dyDescent="0.2">
      <c r="A1" t="s">
        <v>93</v>
      </c>
      <c r="B1" t="s">
        <v>94</v>
      </c>
    </row>
    <row r="2" spans="1:7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</row>
    <row r="3" spans="1:7" x14ac:dyDescent="0.2">
      <c r="A3" t="s">
        <v>13</v>
      </c>
      <c r="B3" s="8"/>
      <c r="C3" s="8">
        <f>4450.9*500</f>
        <v>2225450</v>
      </c>
      <c r="D3" s="8">
        <f>C3*1.035</f>
        <v>2303340.75</v>
      </c>
      <c r="E3" s="8">
        <f t="shared" ref="E3:G3" si="0">D3*1.035</f>
        <v>2383957.67625</v>
      </c>
      <c r="F3" s="8">
        <f t="shared" si="0"/>
        <v>2467396.1949187499</v>
      </c>
      <c r="G3" s="8">
        <f t="shared" si="0"/>
        <v>2553755.061740906</v>
      </c>
    </row>
    <row r="4" spans="1:7" x14ac:dyDescent="0.2">
      <c r="A4" t="s">
        <v>95</v>
      </c>
      <c r="B4" s="8">
        <f>C3*0.05</f>
        <v>111272.5</v>
      </c>
      <c r="C4" s="8">
        <f t="shared" ref="C4:G4" si="1">D3*0.05</f>
        <v>115167.03750000001</v>
      </c>
      <c r="D4" s="8">
        <f t="shared" si="1"/>
        <v>119197.8838125</v>
      </c>
      <c r="E4" s="8">
        <f t="shared" si="1"/>
        <v>123369.8097459375</v>
      </c>
      <c r="F4" s="8">
        <f t="shared" si="1"/>
        <v>127687.7530870453</v>
      </c>
      <c r="G4" s="8">
        <f t="shared" si="1"/>
        <v>0</v>
      </c>
    </row>
    <row r="6" spans="1:7" x14ac:dyDescent="0.2">
      <c r="A6" t="s">
        <v>102</v>
      </c>
      <c r="B6" t="s">
        <v>218</v>
      </c>
    </row>
    <row r="7" spans="1:7" x14ac:dyDescent="0.2">
      <c r="B7" t="s">
        <v>96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2">
      <c r="A8" t="s">
        <v>195</v>
      </c>
      <c r="B8" s="8">
        <v>800000</v>
      </c>
      <c r="C8" s="8">
        <f>B8-C9</f>
        <v>720000</v>
      </c>
      <c r="D8" s="8">
        <f>C8-D9</f>
        <v>640000</v>
      </c>
      <c r="E8" s="8">
        <f>D8-E9</f>
        <v>560000</v>
      </c>
      <c r="F8" s="8">
        <f>E8-F9</f>
        <v>480000</v>
      </c>
      <c r="G8" s="8">
        <f>F8-G9</f>
        <v>400000</v>
      </c>
    </row>
    <row r="9" spans="1:7" x14ac:dyDescent="0.2">
      <c r="A9" t="s">
        <v>79</v>
      </c>
      <c r="B9" s="8"/>
      <c r="C9" s="8">
        <f>B8*0.1</f>
        <v>80000</v>
      </c>
      <c r="D9" s="8">
        <f>B8*0.1</f>
        <v>80000</v>
      </c>
      <c r="E9" s="8">
        <f>B8*0.1</f>
        <v>80000</v>
      </c>
      <c r="F9" s="8">
        <f>B8*0.1</f>
        <v>80000</v>
      </c>
      <c r="G9" s="8">
        <f>B8*0.1</f>
        <v>80000</v>
      </c>
    </row>
    <row r="11" spans="1:7" x14ac:dyDescent="0.2">
      <c r="A11" t="s">
        <v>115</v>
      </c>
      <c r="B11" t="s">
        <v>119</v>
      </c>
    </row>
    <row r="12" spans="1:7" x14ac:dyDescent="0.2">
      <c r="B12" t="s">
        <v>96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</row>
    <row r="13" spans="1:7" x14ac:dyDescent="0.2">
      <c r="A13" t="s">
        <v>119</v>
      </c>
      <c r="B13" s="8">
        <v>2385758.52</v>
      </c>
      <c r="C13" s="8"/>
      <c r="D13" s="8"/>
      <c r="E13" s="8"/>
      <c r="F13" s="8"/>
      <c r="G13" s="8"/>
    </row>
    <row r="14" spans="1:7" x14ac:dyDescent="0.2">
      <c r="A14" t="s">
        <v>79</v>
      </c>
      <c r="B14" s="8"/>
      <c r="C14" s="8">
        <f>B15*0.1</f>
        <v>238575.85200000001</v>
      </c>
      <c r="D14" s="8">
        <f>C15*0.1</f>
        <v>214718.26680000001</v>
      </c>
      <c r="E14" s="8">
        <f>D15*0.1</f>
        <v>193246.44012000001</v>
      </c>
      <c r="F14" s="8">
        <f>E15*0.1</f>
        <v>173921.79610800001</v>
      </c>
      <c r="G14" s="8">
        <f>F15*0.1</f>
        <v>156529.61649720001</v>
      </c>
    </row>
    <row r="15" spans="1:7" x14ac:dyDescent="0.2">
      <c r="A15" t="s">
        <v>197</v>
      </c>
      <c r="B15" s="8">
        <f>B13</f>
        <v>2385758.52</v>
      </c>
      <c r="C15" s="8">
        <f>B15-C14</f>
        <v>2147182.6680000001</v>
      </c>
      <c r="D15" s="8">
        <f>C15-D14</f>
        <v>1932464.4012</v>
      </c>
      <c r="E15" s="8">
        <f>D15-E14</f>
        <v>1739217.96108</v>
      </c>
      <c r="F15" s="8">
        <f>E15-F14</f>
        <v>1565296.1649720001</v>
      </c>
      <c r="G15" s="8">
        <f>F15-G14</f>
        <v>1408766.5484748001</v>
      </c>
    </row>
    <row r="17" spans="1:19" x14ac:dyDescent="0.2">
      <c r="A17" t="s">
        <v>199</v>
      </c>
      <c r="B17" t="s">
        <v>228</v>
      </c>
    </row>
    <row r="18" spans="1:19" x14ac:dyDescent="0.2">
      <c r="B18" t="s">
        <v>96</v>
      </c>
      <c r="C18" t="s">
        <v>97</v>
      </c>
      <c r="D18" t="s">
        <v>98</v>
      </c>
      <c r="E18" t="s">
        <v>99</v>
      </c>
      <c r="F18" t="s">
        <v>100</v>
      </c>
      <c r="G18" t="s">
        <v>101</v>
      </c>
    </row>
    <row r="19" spans="1:19" x14ac:dyDescent="0.2">
      <c r="A19" t="s">
        <v>201</v>
      </c>
      <c r="B19" s="8">
        <f t="shared" ref="B19:G19" si="2">B4+B8+B15</f>
        <v>3297031.02</v>
      </c>
      <c r="C19" s="8">
        <f t="shared" si="2"/>
        <v>2982349.7055000002</v>
      </c>
      <c r="D19" s="8">
        <f t="shared" si="2"/>
        <v>2691662.2850124999</v>
      </c>
      <c r="E19" s="8">
        <f t="shared" si="2"/>
        <v>2422587.7708259374</v>
      </c>
      <c r="F19" s="8">
        <f t="shared" si="2"/>
        <v>2172983.9180590454</v>
      </c>
      <c r="G19" s="8">
        <f t="shared" si="2"/>
        <v>1808766.5484748001</v>
      </c>
    </row>
    <row r="21" spans="1:19" x14ac:dyDescent="0.2">
      <c r="A21" t="s">
        <v>203</v>
      </c>
      <c r="B21" t="s">
        <v>103</v>
      </c>
    </row>
    <row r="22" spans="1:19" x14ac:dyDescent="0.2"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H22" t="s">
        <v>97</v>
      </c>
      <c r="I22" t="s">
        <v>98</v>
      </c>
      <c r="J22" t="s">
        <v>99</v>
      </c>
      <c r="K22" t="s">
        <v>100</v>
      </c>
      <c r="L22" t="s">
        <v>101</v>
      </c>
      <c r="N22" t="s">
        <v>97</v>
      </c>
      <c r="O22" t="s">
        <v>98</v>
      </c>
      <c r="P22" t="s">
        <v>99</v>
      </c>
      <c r="Q22" t="s">
        <v>100</v>
      </c>
      <c r="R22" t="s">
        <v>101</v>
      </c>
    </row>
    <row r="23" spans="1:19" x14ac:dyDescent="0.2">
      <c r="A23" t="s">
        <v>13</v>
      </c>
      <c r="B23" s="8">
        <f>C3</f>
        <v>2225450</v>
      </c>
      <c r="C23" s="8">
        <f>D3</f>
        <v>2303340.75</v>
      </c>
      <c r="D23" s="8">
        <f>E3</f>
        <v>2383957.67625</v>
      </c>
      <c r="E23" s="8">
        <f>F3</f>
        <v>2467396.1949187499</v>
      </c>
      <c r="F23" s="8">
        <f>G3</f>
        <v>2553755.061740906</v>
      </c>
    </row>
    <row r="24" spans="1:19" x14ac:dyDescent="0.2">
      <c r="A24" t="s">
        <v>104</v>
      </c>
      <c r="B24" s="8">
        <f>B23*0.65</f>
        <v>1446542.5</v>
      </c>
      <c r="C24" s="8">
        <f t="shared" ref="C24:F24" si="3">C23*0.65</f>
        <v>1497171.4875</v>
      </c>
      <c r="D24" s="8">
        <f t="shared" si="3"/>
        <v>1549572.4895625</v>
      </c>
      <c r="E24" s="8">
        <f t="shared" si="3"/>
        <v>1603807.5266971875</v>
      </c>
      <c r="F24" s="8">
        <f t="shared" si="3"/>
        <v>1659940.7901315889</v>
      </c>
    </row>
    <row r="25" spans="1:19" x14ac:dyDescent="0.2">
      <c r="A25" t="s">
        <v>79</v>
      </c>
      <c r="B25" s="8">
        <f>C9+C14</f>
        <v>318575.85200000001</v>
      </c>
      <c r="C25" s="8">
        <f>D9+D14</f>
        <v>294718.26679999998</v>
      </c>
      <c r="D25" s="8">
        <f>E9+E14</f>
        <v>273246.44012000004</v>
      </c>
      <c r="E25" s="8">
        <f>F9+F14</f>
        <v>253921.79610800001</v>
      </c>
      <c r="F25" s="8">
        <f>G9+G14</f>
        <v>236529.61649720001</v>
      </c>
    </row>
    <row r="26" spans="1:19" x14ac:dyDescent="0.2">
      <c r="A26" t="s">
        <v>105</v>
      </c>
      <c r="B26" s="8">
        <f>B23-B24-B25</f>
        <v>460331.64799999999</v>
      </c>
      <c r="C26" s="8">
        <f>C23-C24-C25</f>
        <v>511450.99569999997</v>
      </c>
      <c r="D26" s="8">
        <f t="shared" ref="D26:F26" si="4">D23-D24-D25</f>
        <v>561138.74656749994</v>
      </c>
      <c r="E26" s="8">
        <f t="shared" si="4"/>
        <v>609666.87211356242</v>
      </c>
      <c r="F26" s="8">
        <f t="shared" si="4"/>
        <v>657284.65511211706</v>
      </c>
      <c r="G26" t="s">
        <v>215</v>
      </c>
      <c r="M26" t="s">
        <v>216</v>
      </c>
      <c r="S26" t="s">
        <v>217</v>
      </c>
    </row>
    <row r="27" spans="1:19" x14ac:dyDescent="0.2">
      <c r="A27" t="s">
        <v>132</v>
      </c>
      <c r="B27" s="8">
        <f>C48</f>
        <v>-10306.476806400002</v>
      </c>
      <c r="C27" s="8">
        <f>D48</f>
        <v>-8245.1814451200007</v>
      </c>
      <c r="D27" s="8">
        <f>E48</f>
        <v>-6183.8860838400005</v>
      </c>
      <c r="E27" s="8">
        <f>F48</f>
        <v>-4122.5907225600004</v>
      </c>
      <c r="F27" s="8">
        <f>G48</f>
        <v>-2061.2953612800002</v>
      </c>
      <c r="H27" s="8">
        <f>C57</f>
        <v>-12883.096008</v>
      </c>
      <c r="I27" s="8">
        <f>D57</f>
        <v>-10306.476806400002</v>
      </c>
      <c r="J27" s="8">
        <f>E57</f>
        <v>-7729.8576048000014</v>
      </c>
      <c r="K27" s="8">
        <f>F57</f>
        <v>-5153.2384032000009</v>
      </c>
      <c r="L27" s="8">
        <f>G57</f>
        <v>-2576.6192016000009</v>
      </c>
      <c r="N27" s="8">
        <f>C66</f>
        <v>-18036.334411200001</v>
      </c>
      <c r="O27" s="8">
        <f>D66</f>
        <v>-14429.067528959999</v>
      </c>
      <c r="P27" s="8">
        <f>E66</f>
        <v>-10821.800646719998</v>
      </c>
      <c r="Q27" s="8">
        <f>F66</f>
        <v>-7214.5337644799974</v>
      </c>
      <c r="R27" s="8">
        <f>G66</f>
        <v>-3607.2668822399964</v>
      </c>
    </row>
    <row r="28" spans="1:19" x14ac:dyDescent="0.2">
      <c r="A28" t="s">
        <v>112</v>
      </c>
      <c r="B28" s="8">
        <f>B26+B27</f>
        <v>450025.17119359999</v>
      </c>
      <c r="C28" s="8">
        <f t="shared" ref="C28:F28" si="5">C26+C27</f>
        <v>503205.81425487995</v>
      </c>
      <c r="D28" s="8">
        <f t="shared" si="5"/>
        <v>554954.8604836599</v>
      </c>
      <c r="E28" s="8">
        <f t="shared" si="5"/>
        <v>605544.28139100247</v>
      </c>
      <c r="F28" s="8">
        <f t="shared" si="5"/>
        <v>655223.35975083709</v>
      </c>
      <c r="H28" s="8">
        <f>B26+H27</f>
        <v>447448.55199199996</v>
      </c>
      <c r="I28" s="8">
        <f t="shared" ref="I28:L28" si="6">C26+I27</f>
        <v>501144.51889359998</v>
      </c>
      <c r="J28" s="8">
        <f t="shared" si="6"/>
        <v>553408.88896269992</v>
      </c>
      <c r="K28" s="8">
        <f t="shared" si="6"/>
        <v>604513.63371036237</v>
      </c>
      <c r="L28" s="8">
        <f t="shared" si="6"/>
        <v>654708.03591051709</v>
      </c>
      <c r="N28" s="8">
        <f>B26+N27</f>
        <v>442295.31358879997</v>
      </c>
      <c r="O28" s="8">
        <f t="shared" ref="O28:R28" si="7">C26+O27</f>
        <v>497021.92817103997</v>
      </c>
      <c r="P28" s="8">
        <f t="shared" si="7"/>
        <v>550316.94592077995</v>
      </c>
      <c r="Q28" s="8">
        <f t="shared" si="7"/>
        <v>602452.33834908239</v>
      </c>
      <c r="R28" s="8">
        <f t="shared" si="7"/>
        <v>653677.38822987711</v>
      </c>
    </row>
    <row r="29" spans="1:19" x14ac:dyDescent="0.2">
      <c r="A29" t="s">
        <v>162</v>
      </c>
      <c r="B29" s="8">
        <f>B28*(1-0.28)</f>
        <v>324018.12325939198</v>
      </c>
      <c r="C29" s="8">
        <f t="shared" ref="C29:F29" si="8">C28*(1-0.28)</f>
        <v>362308.18626351358</v>
      </c>
      <c r="D29" s="8">
        <f t="shared" si="8"/>
        <v>399567.49954823509</v>
      </c>
      <c r="E29" s="8">
        <f t="shared" si="8"/>
        <v>435991.88260152173</v>
      </c>
      <c r="F29" s="8">
        <f t="shared" si="8"/>
        <v>471760.81902060268</v>
      </c>
      <c r="H29" s="8">
        <f>H28*(1-0.28)</f>
        <v>322162.95743423997</v>
      </c>
      <c r="I29" s="8">
        <f t="shared" ref="I29:L29" si="9">I28*(1-0.28)</f>
        <v>360824.05360339198</v>
      </c>
      <c r="J29" s="8">
        <f t="shared" si="9"/>
        <v>398454.40005314391</v>
      </c>
      <c r="K29" s="8">
        <f t="shared" si="9"/>
        <v>435249.81627146091</v>
      </c>
      <c r="L29" s="8">
        <f t="shared" si="9"/>
        <v>471389.78585557226</v>
      </c>
      <c r="N29" s="8">
        <f>N28*(1-0.28)</f>
        <v>318452.62578393595</v>
      </c>
      <c r="O29" s="8">
        <f t="shared" ref="O29:R29" si="10">O28*(1-0.28)</f>
        <v>357855.78828314878</v>
      </c>
      <c r="P29" s="8">
        <f t="shared" si="10"/>
        <v>396228.20106296154</v>
      </c>
      <c r="Q29" s="8">
        <f t="shared" si="10"/>
        <v>433765.68361133931</v>
      </c>
      <c r="R29" s="8">
        <f t="shared" si="10"/>
        <v>470647.71952551149</v>
      </c>
    </row>
    <row r="31" spans="1:19" x14ac:dyDescent="0.2">
      <c r="A31" t="s">
        <v>204</v>
      </c>
      <c r="B31" t="s">
        <v>116</v>
      </c>
    </row>
    <row r="32" spans="1:19" x14ac:dyDescent="0.2">
      <c r="B32" t="s">
        <v>96</v>
      </c>
      <c r="C32" t="s">
        <v>97</v>
      </c>
      <c r="D32" t="s">
        <v>98</v>
      </c>
      <c r="E32" t="s">
        <v>99</v>
      </c>
      <c r="F32" t="s">
        <v>100</v>
      </c>
      <c r="G32" t="s">
        <v>101</v>
      </c>
    </row>
    <row r="33" spans="1:11" x14ac:dyDescent="0.2">
      <c r="A33" t="s">
        <v>13</v>
      </c>
      <c r="B33" s="8"/>
      <c r="C33" s="8">
        <f>B23</f>
        <v>2225450</v>
      </c>
      <c r="D33" s="8">
        <f>C23</f>
        <v>2303340.75</v>
      </c>
      <c r="E33" s="8">
        <f>D23</f>
        <v>2383957.67625</v>
      </c>
      <c r="F33" s="8">
        <f>E23</f>
        <v>2467396.1949187499</v>
      </c>
      <c r="G33" s="8">
        <f>F23</f>
        <v>2553755.061740906</v>
      </c>
    </row>
    <row r="34" spans="1:11" x14ac:dyDescent="0.2">
      <c r="A34" t="s">
        <v>104</v>
      </c>
      <c r="B34" s="8"/>
      <c r="C34" s="8">
        <f>C33*0.65</f>
        <v>1446542.5</v>
      </c>
      <c r="D34" s="8">
        <f t="shared" ref="D34:G34" si="11">D33*0.65</f>
        <v>1497171.4875</v>
      </c>
      <c r="E34" s="8">
        <f t="shared" si="11"/>
        <v>1549572.4895625</v>
      </c>
      <c r="F34" s="8">
        <f t="shared" si="11"/>
        <v>1603807.5266971875</v>
      </c>
      <c r="G34" s="8">
        <f t="shared" si="11"/>
        <v>1659940.7901315889</v>
      </c>
    </row>
    <row r="35" spans="1:11" x14ac:dyDescent="0.2">
      <c r="A35" t="s">
        <v>79</v>
      </c>
      <c r="B35" s="8"/>
      <c r="C35" s="8">
        <f>C14</f>
        <v>238575.85200000001</v>
      </c>
      <c r="D35" s="8">
        <f>D14</f>
        <v>214718.26680000001</v>
      </c>
      <c r="E35" s="8">
        <f>E14</f>
        <v>193246.44012000001</v>
      </c>
      <c r="F35" s="8">
        <f>F14</f>
        <v>173921.79610800001</v>
      </c>
      <c r="G35" s="8">
        <f>G14</f>
        <v>156529.61649720001</v>
      </c>
    </row>
    <row r="36" spans="1:11" x14ac:dyDescent="0.2">
      <c r="A36" t="s">
        <v>206</v>
      </c>
      <c r="B36" s="8"/>
      <c r="C36" s="8">
        <f>C33-C34-C35</f>
        <v>540331.64800000004</v>
      </c>
      <c r="D36" s="8">
        <f t="shared" ref="D36:G36" si="12">D33-D34-D35</f>
        <v>591450.99569999997</v>
      </c>
      <c r="E36" s="8">
        <f t="shared" si="12"/>
        <v>641138.74656749994</v>
      </c>
      <c r="F36" s="8">
        <f t="shared" si="12"/>
        <v>689666.87211356242</v>
      </c>
      <c r="G36" s="8">
        <f t="shared" si="12"/>
        <v>737284.65511211706</v>
      </c>
    </row>
    <row r="37" spans="1:11" x14ac:dyDescent="0.2">
      <c r="A37" t="s">
        <v>117</v>
      </c>
      <c r="B37" s="8"/>
      <c r="C37" s="8">
        <f>C36*(1-0.28)</f>
        <v>389038.78656000004</v>
      </c>
      <c r="D37" s="8">
        <f t="shared" ref="D37:G37" si="13">D36*(1-0.28)</f>
        <v>425844.71690399997</v>
      </c>
      <c r="E37" s="8">
        <f t="shared" si="13"/>
        <v>461619.89752859995</v>
      </c>
      <c r="F37" s="8">
        <f t="shared" si="13"/>
        <v>496560.14792176493</v>
      </c>
      <c r="G37" s="8">
        <f t="shared" si="13"/>
        <v>530844.95168072428</v>
      </c>
    </row>
    <row r="38" spans="1:11" x14ac:dyDescent="0.2">
      <c r="A38" t="s">
        <v>79</v>
      </c>
      <c r="B38" s="8"/>
      <c r="C38" s="8">
        <f>C35</f>
        <v>238575.85200000001</v>
      </c>
      <c r="D38" s="8">
        <f>D35</f>
        <v>214718.26680000001</v>
      </c>
      <c r="E38" s="8">
        <f>E35</f>
        <v>193246.44012000001</v>
      </c>
      <c r="F38" s="8">
        <f>F35</f>
        <v>173921.79610800001</v>
      </c>
      <c r="G38" s="8">
        <f>G35</f>
        <v>156529.61649720001</v>
      </c>
    </row>
    <row r="39" spans="1:11" x14ac:dyDescent="0.2">
      <c r="A39" t="s">
        <v>119</v>
      </c>
      <c r="B39" s="8">
        <f>-B13</f>
        <v>-2385758.52</v>
      </c>
      <c r="C39" s="8"/>
      <c r="D39" s="8"/>
      <c r="E39" s="8"/>
      <c r="F39" s="8"/>
      <c r="G39" s="8"/>
    </row>
    <row r="40" spans="1:11" x14ac:dyDescent="0.2">
      <c r="A40" t="s">
        <v>120</v>
      </c>
      <c r="B40" s="8">
        <f>-B4</f>
        <v>-111272.5</v>
      </c>
      <c r="C40" s="8">
        <f>B4-C4</f>
        <v>-3894.5375000000058</v>
      </c>
      <c r="D40" s="8">
        <f>C4-D4</f>
        <v>-4030.846312499998</v>
      </c>
      <c r="E40" s="8">
        <f>D4-E4</f>
        <v>-4171.9259334374947</v>
      </c>
      <c r="F40" s="8">
        <f>E4-F4</f>
        <v>-4317.9433411078062</v>
      </c>
      <c r="G40" s="8" t="s">
        <v>196</v>
      </c>
    </row>
    <row r="41" spans="1:11" x14ac:dyDescent="0.2">
      <c r="A41" t="s">
        <v>205</v>
      </c>
      <c r="B41" s="8"/>
      <c r="C41" s="8"/>
      <c r="D41" s="8"/>
      <c r="E41" s="8"/>
      <c r="F41" s="8"/>
      <c r="G41" s="8">
        <f>-(B40+C40+D40+E40+F40)</f>
        <v>127687.7530870453</v>
      </c>
    </row>
    <row r="42" spans="1:11" x14ac:dyDescent="0.2">
      <c r="A42" t="s">
        <v>122</v>
      </c>
      <c r="B42" s="8">
        <f>B39+B40</f>
        <v>-2497031.02</v>
      </c>
      <c r="C42" s="8">
        <f>C37+C38+C40</f>
        <v>623720.10106000013</v>
      </c>
      <c r="D42" s="8">
        <f>D37+D38+D40</f>
        <v>636532.13739150006</v>
      </c>
      <c r="E42" s="8">
        <f>E37+E38+E40</f>
        <v>650694.41171516245</v>
      </c>
      <c r="F42" s="8">
        <f>F37+F38+F40</f>
        <v>666164.00068865716</v>
      </c>
      <c r="G42" s="8">
        <f>G37+G38+G41</f>
        <v>815062.32126496953</v>
      </c>
    </row>
    <row r="44" spans="1:11" x14ac:dyDescent="0.2">
      <c r="A44" t="s">
        <v>222</v>
      </c>
      <c r="B44" t="s">
        <v>231</v>
      </c>
      <c r="D44" t="s">
        <v>123</v>
      </c>
      <c r="I44" t="s">
        <v>137</v>
      </c>
      <c r="J44">
        <v>5.1900000000000002E-2</v>
      </c>
    </row>
    <row r="45" spans="1:11" x14ac:dyDescent="0.2">
      <c r="I45" t="s">
        <v>138</v>
      </c>
      <c r="J45">
        <v>6.7900000000000002E-2</v>
      </c>
    </row>
    <row r="46" spans="1:11" x14ac:dyDescent="0.2">
      <c r="A46" t="s">
        <v>127</v>
      </c>
      <c r="B46" s="8">
        <f>-(B39*0.4)</f>
        <v>954303.40800000005</v>
      </c>
      <c r="C46" s="8"/>
      <c r="D46" s="8"/>
      <c r="E46" s="8"/>
      <c r="F46" s="8"/>
      <c r="G46" s="8"/>
      <c r="K46" t="s">
        <v>230</v>
      </c>
    </row>
    <row r="47" spans="1:11" x14ac:dyDescent="0.2">
      <c r="A47" t="s">
        <v>213</v>
      </c>
      <c r="B47" s="8"/>
      <c r="C47" s="8">
        <f>-B46*0.2</f>
        <v>-190860.68160000001</v>
      </c>
      <c r="D47" s="8">
        <f>C47</f>
        <v>-190860.68160000001</v>
      </c>
      <c r="E47" s="8">
        <f>D47</f>
        <v>-190860.68160000001</v>
      </c>
      <c r="F47" s="8">
        <f>E47</f>
        <v>-190860.68160000001</v>
      </c>
      <c r="G47" s="8">
        <f>F47</f>
        <v>-190860.68160000001</v>
      </c>
      <c r="I47" t="s">
        <v>145</v>
      </c>
      <c r="J47" s="8">
        <f>-(B39*0.6)</f>
        <v>1431455.112</v>
      </c>
      <c r="K47">
        <v>0.6</v>
      </c>
    </row>
    <row r="48" spans="1:11" x14ac:dyDescent="0.2">
      <c r="A48" t="s">
        <v>132</v>
      </c>
      <c r="B48" s="8"/>
      <c r="C48" s="8">
        <f>-(B46*0.0108)</f>
        <v>-10306.476806400002</v>
      </c>
      <c r="D48" s="8">
        <f>-(B46+C47)*0.0108</f>
        <v>-8245.1814451200007</v>
      </c>
      <c r="E48" s="8">
        <f>-(B46+C47+D47)*0.0108</f>
        <v>-6183.8860838400005</v>
      </c>
      <c r="F48" s="8">
        <f>-(B46+C47+D47+E47)*0.0108</f>
        <v>-4122.5907225600004</v>
      </c>
      <c r="G48" s="8">
        <f>-(B46+C47+D47+E47+F47)*0.0108</f>
        <v>-2061.2953612800002</v>
      </c>
      <c r="I48" t="s">
        <v>146</v>
      </c>
      <c r="J48" s="8">
        <f>-(B39*0.4)</f>
        <v>954303.40800000005</v>
      </c>
      <c r="K48">
        <v>0.4</v>
      </c>
    </row>
    <row r="49" spans="1:11" x14ac:dyDescent="0.2">
      <c r="A49" t="s">
        <v>214</v>
      </c>
      <c r="B49" s="8"/>
      <c r="C49" s="8">
        <f>-(C48*0.28)</f>
        <v>2885.8135057920008</v>
      </c>
      <c r="D49" s="8">
        <f t="shared" ref="D49:G49" si="14">-(D48*0.28)</f>
        <v>2308.6508046336003</v>
      </c>
      <c r="E49" s="8">
        <f t="shared" si="14"/>
        <v>1731.4881034752002</v>
      </c>
      <c r="F49" s="8">
        <f t="shared" si="14"/>
        <v>1154.3254023168001</v>
      </c>
      <c r="G49" s="8">
        <f t="shared" si="14"/>
        <v>577.16270115840007</v>
      </c>
    </row>
    <row r="50" spans="1:11" x14ac:dyDescent="0.2">
      <c r="A50" t="s">
        <v>131</v>
      </c>
      <c r="B50" s="8">
        <f>B42+B46</f>
        <v>-1542727.612</v>
      </c>
      <c r="C50" s="8">
        <f>C42+C47+C48+C49</f>
        <v>425438.75615939213</v>
      </c>
      <c r="D50" s="8">
        <f>D42+D47+D48+D49</f>
        <v>439734.92515101365</v>
      </c>
      <c r="E50" s="8">
        <f t="shared" ref="E50:G50" si="15">E42+E47+E48+E49</f>
        <v>455381.33213479765</v>
      </c>
      <c r="F50" s="8">
        <f>F42+F47+F48+F49</f>
        <v>472335.05376841396</v>
      </c>
      <c r="G50" s="8">
        <f t="shared" si="15"/>
        <v>622717.50700484798</v>
      </c>
      <c r="I50" t="s">
        <v>223</v>
      </c>
      <c r="J50" s="10">
        <f>NPV(J44,B42,C42,D42,E42,F42,G42)</f>
        <v>387128.40494735754</v>
      </c>
    </row>
    <row r="51" spans="1:11" x14ac:dyDescent="0.2">
      <c r="I51" t="s">
        <v>224</v>
      </c>
      <c r="J51" s="10">
        <f>NPV(J45,B50,C50,D50,E50,F50,G50)</f>
        <v>399601.88466133422</v>
      </c>
    </row>
    <row r="52" spans="1:11" x14ac:dyDescent="0.2">
      <c r="F52" s="16"/>
    </row>
    <row r="53" spans="1:11" x14ac:dyDescent="0.2">
      <c r="A53" t="s">
        <v>225</v>
      </c>
      <c r="I53" t="s">
        <v>137</v>
      </c>
      <c r="J53">
        <v>4.7899999999999998E-2</v>
      </c>
    </row>
    <row r="54" spans="1:11" x14ac:dyDescent="0.2">
      <c r="I54" t="s">
        <v>138</v>
      </c>
      <c r="J54">
        <v>6.7900000000000002E-2</v>
      </c>
    </row>
    <row r="55" spans="1:11" x14ac:dyDescent="0.2">
      <c r="A55" t="s">
        <v>127</v>
      </c>
      <c r="B55" s="8">
        <f>-(B39*0.5)</f>
        <v>1192879.26</v>
      </c>
      <c r="C55" s="8"/>
      <c r="D55" s="8"/>
      <c r="E55" s="8"/>
      <c r="F55" s="8"/>
      <c r="G55" s="8"/>
      <c r="K55" t="s">
        <v>230</v>
      </c>
    </row>
    <row r="56" spans="1:11" x14ac:dyDescent="0.2">
      <c r="A56" t="s">
        <v>213</v>
      </c>
      <c r="B56" s="8"/>
      <c r="C56" s="8">
        <f>-B55*0.2</f>
        <v>-238575.85200000001</v>
      </c>
      <c r="D56" s="8">
        <f>C56</f>
        <v>-238575.85200000001</v>
      </c>
      <c r="E56" s="8">
        <f>D56</f>
        <v>-238575.85200000001</v>
      </c>
      <c r="F56" s="8">
        <f>E56</f>
        <v>-238575.85200000001</v>
      </c>
      <c r="G56" s="8">
        <f>F56</f>
        <v>-238575.85200000001</v>
      </c>
      <c r="I56" t="s">
        <v>145</v>
      </c>
      <c r="J56" s="8">
        <f>-(B39*0.5)</f>
        <v>1192879.26</v>
      </c>
      <c r="K56">
        <v>0.5</v>
      </c>
    </row>
    <row r="57" spans="1:11" x14ac:dyDescent="0.2">
      <c r="A57" t="s">
        <v>132</v>
      </c>
      <c r="B57" s="8"/>
      <c r="C57" s="8">
        <f>-(B55*0.0108)</f>
        <v>-12883.096008</v>
      </c>
      <c r="D57" s="8">
        <f>-(B55+C56)*0.0108</f>
        <v>-10306.476806400002</v>
      </c>
      <c r="E57" s="8">
        <f>-(B55+C56+D56)*0.0108</f>
        <v>-7729.8576048000014</v>
      </c>
      <c r="F57" s="8">
        <f>-(B55+C56+D56+E56)*0.0108</f>
        <v>-5153.2384032000009</v>
      </c>
      <c r="G57" s="8">
        <f>-(B55+C56+D56+E56+F56)*0.0108</f>
        <v>-2576.6192016000009</v>
      </c>
      <c r="I57" t="s">
        <v>146</v>
      </c>
      <c r="J57" s="8">
        <f>J56</f>
        <v>1192879.26</v>
      </c>
      <c r="K57">
        <v>0.5</v>
      </c>
    </row>
    <row r="58" spans="1:11" x14ac:dyDescent="0.2">
      <c r="A58" t="s">
        <v>214</v>
      </c>
      <c r="B58" s="8"/>
      <c r="C58" s="8">
        <f>-(C57*0.28)</f>
        <v>3607.2668822400005</v>
      </c>
      <c r="D58" s="8">
        <f t="shared" ref="D58:G58" si="16">-(D57*0.28)</f>
        <v>2885.8135057920008</v>
      </c>
      <c r="E58" s="8">
        <f t="shared" si="16"/>
        <v>2164.3601293440006</v>
      </c>
      <c r="F58" s="8">
        <f t="shared" si="16"/>
        <v>1442.9067528960004</v>
      </c>
      <c r="G58" s="8">
        <f t="shared" si="16"/>
        <v>721.45337644800031</v>
      </c>
      <c r="J58" s="8"/>
    </row>
    <row r="59" spans="1:11" x14ac:dyDescent="0.2">
      <c r="A59" t="s">
        <v>131</v>
      </c>
      <c r="B59" s="8">
        <f>B42+B55</f>
        <v>-1304151.76</v>
      </c>
      <c r="C59" s="8">
        <f>C42+C56+C57+C58</f>
        <v>375868.41993424011</v>
      </c>
      <c r="D59" s="8">
        <f>D42+D56+D57+D58</f>
        <v>390535.62209089205</v>
      </c>
      <c r="E59" s="8">
        <f>E42+E56+E57+E58</f>
        <v>406553.0622397064</v>
      </c>
      <c r="F59" s="8">
        <f>F42+F56+F57+F58</f>
        <v>423877.81703835318</v>
      </c>
      <c r="G59" s="8">
        <f>G42+G56+G57+G58</f>
        <v>574631.30343981751</v>
      </c>
      <c r="I59" t="s">
        <v>223</v>
      </c>
      <c r="J59" s="10">
        <f>NPV(J53,B42,C42,D42,E42,F42,G42)</f>
        <v>420686.43474183092</v>
      </c>
    </row>
    <row r="60" spans="1:11" x14ac:dyDescent="0.2">
      <c r="I60" t="s">
        <v>224</v>
      </c>
      <c r="J60" s="10">
        <f>NPV(J54,B59,C59,D59,E59,F59,G59)</f>
        <v>434285.7478575196</v>
      </c>
    </row>
    <row r="62" spans="1:11" x14ac:dyDescent="0.2">
      <c r="A62" t="s">
        <v>227</v>
      </c>
      <c r="I62" t="s">
        <v>137</v>
      </c>
      <c r="J62">
        <v>3.9899999999999998E-2</v>
      </c>
    </row>
    <row r="63" spans="1:11" x14ac:dyDescent="0.2">
      <c r="I63" t="s">
        <v>138</v>
      </c>
      <c r="J63">
        <v>6.7900000000000002E-2</v>
      </c>
    </row>
    <row r="64" spans="1:11" x14ac:dyDescent="0.2">
      <c r="A64" t="s">
        <v>127</v>
      </c>
      <c r="B64" s="8">
        <f>-(B39*0.7)</f>
        <v>1670030.9639999999</v>
      </c>
      <c r="C64" s="8"/>
      <c r="D64" s="8"/>
      <c r="E64" s="8"/>
      <c r="F64" s="8"/>
      <c r="G64" s="8"/>
      <c r="K64" t="s">
        <v>209</v>
      </c>
    </row>
    <row r="65" spans="1:11" x14ac:dyDescent="0.2">
      <c r="A65" t="s">
        <v>213</v>
      </c>
      <c r="B65" s="8"/>
      <c r="C65" s="8">
        <f>-(B64*0.2)</f>
        <v>-334006.19280000002</v>
      </c>
      <c r="D65" s="8">
        <f>C65</f>
        <v>-334006.19280000002</v>
      </c>
      <c r="E65" s="8">
        <f>D65</f>
        <v>-334006.19280000002</v>
      </c>
      <c r="F65" s="8">
        <f>E65</f>
        <v>-334006.19280000002</v>
      </c>
      <c r="G65" s="8">
        <f>F65</f>
        <v>-334006.19280000002</v>
      </c>
      <c r="I65" t="s">
        <v>145</v>
      </c>
      <c r="J65" s="8">
        <f>-(B39*0.3)</f>
        <v>715727.55599999998</v>
      </c>
      <c r="K65">
        <v>0.3</v>
      </c>
    </row>
    <row r="66" spans="1:11" x14ac:dyDescent="0.2">
      <c r="A66" t="s">
        <v>132</v>
      </c>
      <c r="B66" s="8"/>
      <c r="C66" s="8">
        <f>-(B64*0.0108)</f>
        <v>-18036.334411200001</v>
      </c>
      <c r="D66" s="8">
        <f>-(B64+C65)*0.0108</f>
        <v>-14429.067528959999</v>
      </c>
      <c r="E66" s="8">
        <f>-(B64+C65+D65)*0.0108</f>
        <v>-10821.800646719998</v>
      </c>
      <c r="F66" s="8">
        <f>-(B64+C65+D65+E65)*0.0108</f>
        <v>-7214.5337644799974</v>
      </c>
      <c r="G66" s="8">
        <f>-(B64+C65+D65+E65+F65)*0.0108</f>
        <v>-3607.2668822399964</v>
      </c>
      <c r="I66" t="s">
        <v>146</v>
      </c>
      <c r="J66" s="8">
        <f>B64</f>
        <v>1670030.9639999999</v>
      </c>
      <c r="K66">
        <v>0.7</v>
      </c>
    </row>
    <row r="67" spans="1:11" x14ac:dyDescent="0.2">
      <c r="A67" t="s">
        <v>214</v>
      </c>
      <c r="B67" s="8"/>
      <c r="C67" s="8">
        <f>-(C66*0.28)</f>
        <v>5050.1736351360005</v>
      </c>
      <c r="D67" s="8">
        <f t="shared" ref="D67:G67" si="17">-(D66*0.28)</f>
        <v>4040.1389081088</v>
      </c>
      <c r="E67" s="8">
        <f t="shared" si="17"/>
        <v>3030.1041810815996</v>
      </c>
      <c r="F67" s="8">
        <f t="shared" si="17"/>
        <v>2020.0694540543996</v>
      </c>
      <c r="G67" s="8">
        <f t="shared" si="17"/>
        <v>1010.0347270271991</v>
      </c>
    </row>
    <row r="68" spans="1:11" x14ac:dyDescent="0.2">
      <c r="A68" t="s">
        <v>131</v>
      </c>
      <c r="B68" s="8">
        <f>B42+B64</f>
        <v>-827000.0560000001</v>
      </c>
      <c r="C68" s="8">
        <f>C42+C65+C66+C67</f>
        <v>276727.74748393608</v>
      </c>
      <c r="D68" s="8">
        <f>D42+D65+D66+D67</f>
        <v>292137.01597064885</v>
      </c>
      <c r="E68" s="8">
        <f>E42+E65+E66+E67</f>
        <v>308896.52244952403</v>
      </c>
      <c r="F68" s="8">
        <f>F42+F65+F66+F67</f>
        <v>326963.34357823158</v>
      </c>
      <c r="G68" s="8">
        <f>G42+G65+G66+G67</f>
        <v>478458.89630975667</v>
      </c>
      <c r="I68" t="s">
        <v>223</v>
      </c>
      <c r="J68" s="10">
        <f>NPV(J62,B42,C42,D42,E42,F42,G42)</f>
        <v>490350.17367503745</v>
      </c>
    </row>
    <row r="69" spans="1:11" x14ac:dyDescent="0.2">
      <c r="I69" t="s">
        <v>224</v>
      </c>
      <c r="J69" s="10">
        <f>NPV(J63,B68,C68,D68,E68,F68,G68)</f>
        <v>503653.47424989071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Situazione attuale</vt:lpstr>
      <vt:lpstr>Modello1</vt:lpstr>
      <vt:lpstr>Worst scenario</vt:lpstr>
      <vt:lpstr>Normal scenario</vt:lpstr>
      <vt:lpstr>Best scenario</vt:lpstr>
      <vt:lpstr>Modello2</vt:lpstr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Coppo</dc:creator>
  <cp:lastModifiedBy>Federico Coppo</cp:lastModifiedBy>
  <dcterms:created xsi:type="dcterms:W3CDTF">2022-04-11T14:29:10Z</dcterms:created>
  <dcterms:modified xsi:type="dcterms:W3CDTF">2022-04-28T12:41:58Z</dcterms:modified>
</cp:coreProperties>
</file>