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\Desktop\HSAC\Pats Third Down Backs\"/>
    </mc:Choice>
  </mc:AlternateContent>
  <bookViews>
    <workbookView xWindow="0" yWindow="0" windowWidth="11520" windowHeight="7755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1" l="1"/>
  <c r="R28" i="1"/>
  <c r="O28" i="1"/>
  <c r="J28" i="1"/>
  <c r="I28" i="1"/>
  <c r="E28" i="1"/>
  <c r="F28" i="1"/>
  <c r="G28" i="1"/>
  <c r="L28" i="1"/>
  <c r="M28" i="1"/>
  <c r="N28" i="1"/>
  <c r="P28" i="1"/>
  <c r="T28" i="1"/>
  <c r="U28" i="1"/>
  <c r="V28" i="1"/>
  <c r="W28" i="1"/>
  <c r="X28" i="1"/>
  <c r="D28" i="1"/>
  <c r="B27" i="1"/>
  <c r="S26" i="1"/>
  <c r="R26" i="1"/>
  <c r="O26" i="1"/>
  <c r="J26" i="1"/>
  <c r="I26" i="1"/>
  <c r="D26" i="1"/>
  <c r="E26" i="1"/>
  <c r="F26" i="1"/>
  <c r="G26" i="1"/>
  <c r="H26" i="1"/>
  <c r="K26" i="1"/>
  <c r="L26" i="1"/>
  <c r="M26" i="1"/>
  <c r="N26" i="1"/>
  <c r="P26" i="1"/>
  <c r="Q26" i="1"/>
  <c r="T26" i="1"/>
  <c r="U26" i="1"/>
  <c r="V26" i="1"/>
  <c r="W26" i="1"/>
  <c r="X26" i="1"/>
  <c r="C26" i="1"/>
  <c r="B25" i="1"/>
  <c r="Z19" i="1"/>
  <c r="Z17" i="1"/>
  <c r="Z16" i="1"/>
  <c r="Z15" i="1"/>
  <c r="Z14" i="1"/>
  <c r="Z12" i="1"/>
  <c r="Z11" i="1"/>
  <c r="Z10" i="1"/>
  <c r="Z9" i="1"/>
  <c r="Z8" i="1"/>
  <c r="Z7" i="1"/>
  <c r="Z6" i="1"/>
  <c r="J9" i="1"/>
  <c r="H19" i="1"/>
  <c r="G19" i="1"/>
  <c r="F19" i="1"/>
  <c r="E19" i="1"/>
  <c r="D19" i="1"/>
  <c r="C19" i="1"/>
  <c r="U19" i="1" s="1"/>
  <c r="H18" i="1"/>
  <c r="G18" i="1"/>
  <c r="F18" i="1"/>
  <c r="J20" i="1" s="1"/>
  <c r="E18" i="1"/>
  <c r="D18" i="1"/>
  <c r="C18" i="1"/>
  <c r="H17" i="1"/>
  <c r="G17" i="1"/>
  <c r="F17" i="1"/>
  <c r="E17" i="1"/>
  <c r="D17" i="1"/>
  <c r="C17" i="1"/>
  <c r="U17" i="1" s="1"/>
  <c r="H16" i="1"/>
  <c r="G16" i="1"/>
  <c r="F16" i="1"/>
  <c r="E16" i="1"/>
  <c r="D16" i="1"/>
  <c r="C16" i="1"/>
  <c r="H15" i="1"/>
  <c r="G15" i="1"/>
  <c r="F15" i="1"/>
  <c r="E15" i="1"/>
  <c r="D15" i="1"/>
  <c r="C15" i="1"/>
  <c r="U15" i="1" s="1"/>
  <c r="H14" i="1"/>
  <c r="G14" i="1"/>
  <c r="F14" i="1"/>
  <c r="E14" i="1"/>
  <c r="K14" i="1" s="1"/>
  <c r="D14" i="1"/>
  <c r="C14" i="1"/>
  <c r="H13" i="1"/>
  <c r="G13" i="1"/>
  <c r="F13" i="1"/>
  <c r="I13" i="1" s="1"/>
  <c r="E13" i="1"/>
  <c r="D13" i="1"/>
  <c r="C13" i="1"/>
  <c r="U13" i="1" s="1"/>
  <c r="H12" i="1"/>
  <c r="G12" i="1"/>
  <c r="F12" i="1"/>
  <c r="E12" i="1"/>
  <c r="D12" i="1"/>
  <c r="C12" i="1"/>
  <c r="H11" i="1"/>
  <c r="G11" i="1"/>
  <c r="F11" i="1"/>
  <c r="E11" i="1"/>
  <c r="D11" i="1"/>
  <c r="C11" i="1"/>
  <c r="U11" i="1" s="1"/>
  <c r="H10" i="1"/>
  <c r="G10" i="1"/>
  <c r="F10" i="1"/>
  <c r="E10" i="1"/>
  <c r="D10" i="1"/>
  <c r="C10" i="1"/>
  <c r="U10" i="1" s="1"/>
  <c r="H9" i="1"/>
  <c r="G9" i="1"/>
  <c r="F9" i="1"/>
  <c r="E9" i="1"/>
  <c r="D9" i="1"/>
  <c r="C9" i="1"/>
  <c r="U9" i="1" s="1"/>
  <c r="H8" i="1"/>
  <c r="G8" i="1"/>
  <c r="F8" i="1"/>
  <c r="E8" i="1"/>
  <c r="D8" i="1"/>
  <c r="C8" i="1"/>
  <c r="S8" i="1" s="1"/>
  <c r="H7" i="1"/>
  <c r="G7" i="1"/>
  <c r="F7" i="1"/>
  <c r="J7" i="1" s="1"/>
  <c r="E7" i="1"/>
  <c r="C7" i="1"/>
  <c r="U7" i="1" s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I4" i="1" s="1"/>
  <c r="E4" i="1"/>
  <c r="D4" i="1"/>
  <c r="C4" i="1"/>
  <c r="R4" i="1" s="1"/>
  <c r="U5" i="1"/>
  <c r="U16" i="1"/>
  <c r="S5" i="1"/>
  <c r="S7" i="1"/>
  <c r="S14" i="1"/>
  <c r="R5" i="1"/>
  <c r="O5" i="1"/>
  <c r="O6" i="1"/>
  <c r="O7" i="1"/>
  <c r="O8" i="1"/>
  <c r="O11" i="1"/>
  <c r="O12" i="1"/>
  <c r="O13" i="1"/>
  <c r="O14" i="1"/>
  <c r="O4" i="1"/>
  <c r="I8" i="1"/>
  <c r="I11" i="1"/>
  <c r="I20" i="1" l="1"/>
  <c r="J14" i="1"/>
  <c r="I14" i="1"/>
  <c r="U14" i="1"/>
  <c r="R14" i="1"/>
  <c r="J13" i="1"/>
  <c r="S13" i="1"/>
  <c r="R13" i="1"/>
  <c r="K13" i="1"/>
  <c r="J12" i="1"/>
  <c r="I12" i="1"/>
  <c r="U12" i="1"/>
  <c r="K12" i="1"/>
  <c r="R12" i="1"/>
  <c r="S12" i="1"/>
  <c r="J11" i="1"/>
  <c r="K11" i="1"/>
  <c r="R11" i="1"/>
  <c r="S11" i="1"/>
  <c r="E20" i="1"/>
  <c r="J8" i="1"/>
  <c r="U8" i="1"/>
  <c r="R8" i="1"/>
  <c r="K8" i="1"/>
  <c r="I7" i="1"/>
  <c r="R7" i="1"/>
  <c r="K7" i="1"/>
  <c r="J6" i="1"/>
  <c r="I6" i="1"/>
  <c r="K6" i="1"/>
  <c r="R6" i="1"/>
  <c r="S6" i="1"/>
  <c r="U6" i="1"/>
  <c r="H20" i="1"/>
  <c r="G20" i="1"/>
  <c r="I5" i="1"/>
  <c r="K5" i="1"/>
  <c r="D20" i="1"/>
  <c r="J5" i="1"/>
  <c r="F20" i="1"/>
  <c r="K4" i="1"/>
  <c r="U4" i="1"/>
  <c r="J4" i="1"/>
  <c r="S4" i="1"/>
  <c r="D23" i="1"/>
  <c r="E23" i="1"/>
  <c r="F23" i="1"/>
  <c r="G23" i="1"/>
  <c r="H23" i="1"/>
  <c r="L23" i="1"/>
  <c r="M23" i="1"/>
  <c r="N23" i="1"/>
  <c r="P23" i="1"/>
  <c r="Q23" i="1"/>
  <c r="T23" i="1"/>
  <c r="V23" i="1"/>
  <c r="W23" i="1"/>
  <c r="X23" i="1"/>
  <c r="C23" i="1"/>
  <c r="K10" i="1"/>
  <c r="L10" i="1"/>
  <c r="M10" i="1"/>
  <c r="R10" i="1" s="1"/>
  <c r="N10" i="1"/>
  <c r="P10" i="1"/>
  <c r="Q10" i="1"/>
  <c r="T10" i="1"/>
  <c r="V10" i="1"/>
  <c r="W10" i="1"/>
  <c r="X10" i="1"/>
  <c r="K9" i="1"/>
  <c r="L9" i="1"/>
  <c r="M9" i="1"/>
  <c r="R9" i="1" s="1"/>
  <c r="N9" i="1"/>
  <c r="P9" i="1"/>
  <c r="Q9" i="1"/>
  <c r="T9" i="1"/>
  <c r="V9" i="1"/>
  <c r="W9" i="1"/>
  <c r="X9" i="1"/>
  <c r="L19" i="1"/>
  <c r="M19" i="1"/>
  <c r="N19" i="1"/>
  <c r="P19" i="1"/>
  <c r="Q19" i="1"/>
  <c r="T19" i="1"/>
  <c r="V19" i="1"/>
  <c r="W19" i="1"/>
  <c r="X19" i="1"/>
  <c r="K18" i="1"/>
  <c r="L18" i="1"/>
  <c r="L20" i="1" s="1"/>
  <c r="M18" i="1"/>
  <c r="N18" i="1"/>
  <c r="P18" i="1"/>
  <c r="P20" i="1" s="1"/>
  <c r="Q18" i="1"/>
  <c r="Q20" i="1" s="1"/>
  <c r="T18" i="1"/>
  <c r="V18" i="1"/>
  <c r="W18" i="1"/>
  <c r="X18" i="1"/>
  <c r="L17" i="1"/>
  <c r="M17" i="1"/>
  <c r="N17" i="1"/>
  <c r="P17" i="1"/>
  <c r="Q17" i="1"/>
  <c r="T17" i="1"/>
  <c r="V17" i="1"/>
  <c r="W17" i="1"/>
  <c r="X17" i="1"/>
  <c r="K16" i="1"/>
  <c r="L16" i="1"/>
  <c r="M16" i="1"/>
  <c r="R16" i="1" s="1"/>
  <c r="N16" i="1"/>
  <c r="P16" i="1"/>
  <c r="Q16" i="1"/>
  <c r="T16" i="1"/>
  <c r="V16" i="1"/>
  <c r="W16" i="1"/>
  <c r="X16" i="1"/>
  <c r="L15" i="1"/>
  <c r="M15" i="1"/>
  <c r="N15" i="1"/>
  <c r="P15" i="1"/>
  <c r="Q15" i="1"/>
  <c r="T15" i="1"/>
  <c r="V15" i="1"/>
  <c r="W15" i="1"/>
  <c r="X15" i="1"/>
  <c r="V20" i="1" l="1"/>
  <c r="Z18" i="1"/>
  <c r="N20" i="1"/>
  <c r="U18" i="1"/>
  <c r="U20" i="1" s="1"/>
  <c r="T20" i="1"/>
  <c r="R18" i="1"/>
  <c r="M20" i="1"/>
  <c r="X20" i="1"/>
  <c r="U23" i="1"/>
  <c r="W20" i="1"/>
  <c r="O15" i="1"/>
  <c r="S15" i="1"/>
  <c r="R15" i="1"/>
  <c r="S17" i="1"/>
  <c r="O17" i="1"/>
  <c r="O23" i="1"/>
  <c r="S23" i="1"/>
  <c r="R17" i="1"/>
  <c r="O19" i="1"/>
  <c r="S19" i="1"/>
  <c r="R23" i="1"/>
  <c r="O16" i="1"/>
  <c r="S16" i="1"/>
  <c r="R19" i="1"/>
  <c r="R20" i="1" s="1"/>
  <c r="S10" i="1"/>
  <c r="O10" i="1"/>
  <c r="S18" i="1"/>
  <c r="O18" i="1"/>
  <c r="S9" i="1"/>
  <c r="O9" i="1"/>
  <c r="K15" i="1"/>
  <c r="J16" i="1"/>
  <c r="I16" i="1"/>
  <c r="I19" i="1"/>
  <c r="J19" i="1"/>
  <c r="J23" i="1"/>
  <c r="I23" i="1"/>
  <c r="J18" i="1"/>
  <c r="I18" i="1"/>
  <c r="I10" i="1"/>
  <c r="J10" i="1"/>
  <c r="J17" i="1"/>
  <c r="I17" i="1"/>
  <c r="K19" i="1"/>
  <c r="K20" i="1" s="1"/>
  <c r="I9" i="1"/>
  <c r="K23" i="1"/>
  <c r="I15" i="1"/>
  <c r="J15" i="1"/>
  <c r="K17" i="1"/>
  <c r="O20" i="1" l="1"/>
  <c r="S20" i="1"/>
</calcChain>
</file>

<file path=xl/sharedStrings.xml><?xml version="1.0" encoding="utf-8"?>
<sst xmlns="http://schemas.openxmlformats.org/spreadsheetml/2006/main" count="98" uniqueCount="55">
  <si>
    <t>Games</t>
  </si>
  <si>
    <t>Rushing</t>
  </si>
  <si>
    <t>Receiving</t>
  </si>
  <si>
    <t>Year</t>
  </si>
  <si>
    <t>G</t>
  </si>
  <si>
    <t>GS</t>
  </si>
  <si>
    <t>Att</t>
  </si>
  <si>
    <t>Yds</t>
  </si>
  <si>
    <t>TD</t>
  </si>
  <si>
    <t>Lng</t>
  </si>
  <si>
    <t>Y/A</t>
  </si>
  <si>
    <t>Y/G</t>
  </si>
  <si>
    <t>A/G</t>
  </si>
  <si>
    <t>Tgt</t>
  </si>
  <si>
    <t>Rec</t>
  </si>
  <si>
    <t>Y/R</t>
  </si>
  <si>
    <t>R/G</t>
  </si>
  <si>
    <t>YScm</t>
  </si>
  <si>
    <t>RRTD</t>
  </si>
  <si>
    <t>Fmb</t>
  </si>
  <si>
    <t>AV</t>
  </si>
  <si>
    <t>Back</t>
  </si>
  <si>
    <t>Faulk</t>
  </si>
  <si>
    <t>Faulk, Woodhead</t>
  </si>
  <si>
    <t>Woodhead</t>
  </si>
  <si>
    <t xml:space="preserve">Bolden, Vereen </t>
  </si>
  <si>
    <t xml:space="preserve">Vereen </t>
  </si>
  <si>
    <t>Lewis</t>
  </si>
  <si>
    <t>Faulk, Pass</t>
  </si>
  <si>
    <t>Yscrm/G</t>
  </si>
  <si>
    <t>% Rushing</t>
  </si>
  <si>
    <t xml:space="preserve">% Receiving </t>
  </si>
  <si>
    <t>Team Rushing</t>
  </si>
  <si>
    <t>Team Receiving</t>
  </si>
  <si>
    <t>2001*</t>
  </si>
  <si>
    <t>NWE</t>
  </si>
  <si>
    <t>QB</t>
  </si>
  <si>
    <t>14-2-0</t>
  </si>
  <si>
    <t>2004*</t>
  </si>
  <si>
    <t>2005*</t>
  </si>
  <si>
    <t>2007*+</t>
  </si>
  <si>
    <t>16-0-0</t>
  </si>
  <si>
    <t>1-0-0</t>
  </si>
  <si>
    <t>2009*</t>
  </si>
  <si>
    <t>2010*+</t>
  </si>
  <si>
    <t>2011*</t>
  </si>
  <si>
    <t>13-3-0</t>
  </si>
  <si>
    <t>2012*</t>
  </si>
  <si>
    <t>2013*</t>
  </si>
  <si>
    <t>2014*</t>
  </si>
  <si>
    <t>qb</t>
  </si>
  <si>
    <t>9-0-0</t>
  </si>
  <si>
    <t xml:space="preserve">Multiplier </t>
  </si>
  <si>
    <t xml:space="preserve">Full season </t>
  </si>
  <si>
    <t>Average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</si>
</sst>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_);\(#,##0.0\);\ \-\ \-\ "/>
    <numFmt numFmtId="169" formatCode="#,##0_);\(#,##0\);\ \-\ \-\ 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A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3" borderId="0" xfId="0" applyFont="1" applyFill="1"/>
    <xf numFmtId="0" fontId="2" fillId="2" borderId="0" xfId="0" applyFont="1" applyFill="1"/>
    <xf numFmtId="165" fontId="1" fillId="3" borderId="0" xfId="0" applyNumberFormat="1" applyFont="1" applyFill="1"/>
    <xf numFmtId="0" fontId="2" fillId="4" borderId="0" xfId="0" applyFont="1" applyFill="1"/>
    <xf numFmtId="0" fontId="2" fillId="3" borderId="0" xfId="0" applyFont="1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65" fontId="1" fillId="2" borderId="0" xfId="0" applyNumberFormat="1" applyFont="1" applyFill="1"/>
    <xf numFmtId="165" fontId="1" fillId="4" borderId="0" xfId="0" applyNumberFormat="1" applyFont="1" applyFill="1"/>
    <xf numFmtId="169" fontId="1" fillId="3" borderId="0" xfId="0" applyNumberFormat="1" applyFont="1" applyFill="1"/>
    <xf numFmtId="169" fontId="1" fillId="2" borderId="0" xfId="0" applyNumberFormat="1" applyFont="1" applyFill="1"/>
    <xf numFmtId="0" fontId="0" fillId="0" borderId="0" xfId="0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2" borderId="0" xfId="0" applyFill="1"/>
    <xf numFmtId="9" fontId="0" fillId="2" borderId="0" xfId="1" applyFont="1" applyFill="1"/>
    <xf numFmtId="165" fontId="0" fillId="0" borderId="0" xfId="0" applyNumberFormat="1"/>
    <xf numFmtId="169" fontId="0" fillId="0" borderId="0" xfId="0" applyNumberFormat="1"/>
    <xf numFmtId="165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ul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s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oodhea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olde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eree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ew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_F_FaulKe00_rushing_and_"/>
    </sheetNames>
    <sheetDataSet>
      <sheetData sheetId="0">
        <row r="8">
          <cell r="G8">
            <v>8</v>
          </cell>
        </row>
        <row r="9">
          <cell r="G9">
            <v>1</v>
          </cell>
          <cell r="H9">
            <v>54</v>
          </cell>
          <cell r="I9">
            <v>255</v>
          </cell>
          <cell r="J9">
            <v>2</v>
          </cell>
          <cell r="K9">
            <v>20</v>
          </cell>
          <cell r="O9">
            <v>30</v>
          </cell>
          <cell r="P9">
            <v>26</v>
          </cell>
          <cell r="Q9">
            <v>248</v>
          </cell>
          <cell r="S9">
            <v>1</v>
          </cell>
          <cell r="T9">
            <v>31</v>
          </cell>
          <cell r="W9">
            <v>503</v>
          </cell>
          <cell r="X9">
            <v>3</v>
          </cell>
          <cell r="Y9">
            <v>2</v>
          </cell>
          <cell r="Z9">
            <v>5</v>
          </cell>
        </row>
        <row r="10">
          <cell r="G10">
            <v>2</v>
          </cell>
          <cell r="H10">
            <v>51</v>
          </cell>
          <cell r="I10">
            <v>145</v>
          </cell>
          <cell r="J10">
            <v>0</v>
          </cell>
          <cell r="K10">
            <v>13</v>
          </cell>
          <cell r="O10">
            <v>37</v>
          </cell>
          <cell r="P10">
            <v>29</v>
          </cell>
          <cell r="Q10">
            <v>260</v>
          </cell>
          <cell r="S10">
            <v>0</v>
          </cell>
          <cell r="T10">
            <v>23</v>
          </cell>
          <cell r="W10">
            <v>405</v>
          </cell>
          <cell r="X10">
            <v>0</v>
          </cell>
          <cell r="Y10">
            <v>3</v>
          </cell>
          <cell r="Z10">
            <v>4</v>
          </cell>
        </row>
        <row r="15">
          <cell r="F15">
            <v>2</v>
          </cell>
          <cell r="G15">
            <v>2</v>
          </cell>
          <cell r="H15">
            <v>8</v>
          </cell>
          <cell r="I15">
            <v>45</v>
          </cell>
          <cell r="J15">
            <v>0</v>
          </cell>
          <cell r="K15">
            <v>11</v>
          </cell>
          <cell r="O15">
            <v>10</v>
          </cell>
          <cell r="P15">
            <v>6</v>
          </cell>
          <cell r="Q15">
            <v>62</v>
          </cell>
          <cell r="S15">
            <v>0</v>
          </cell>
          <cell r="T15">
            <v>21</v>
          </cell>
          <cell r="W15">
            <v>107</v>
          </cell>
          <cell r="X15">
            <v>0</v>
          </cell>
          <cell r="Y15">
            <v>0</v>
          </cell>
          <cell r="Z15">
            <v>1</v>
          </cell>
        </row>
        <row r="16">
          <cell r="G16">
            <v>3</v>
          </cell>
          <cell r="H16">
            <v>17</v>
          </cell>
          <cell r="I16">
            <v>57</v>
          </cell>
          <cell r="J16">
            <v>0</v>
          </cell>
          <cell r="K16">
            <v>9</v>
          </cell>
          <cell r="O16">
            <v>9</v>
          </cell>
          <cell r="P16">
            <v>7</v>
          </cell>
          <cell r="Q16">
            <v>34</v>
          </cell>
          <cell r="S16">
            <v>0</v>
          </cell>
          <cell r="T16">
            <v>18</v>
          </cell>
          <cell r="W16">
            <v>91</v>
          </cell>
          <cell r="X16">
            <v>0</v>
          </cell>
          <cell r="Y16">
            <v>0</v>
          </cell>
          <cell r="Z1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_P_PassPa00_rushing_and_"/>
    </sheetNames>
    <sheetDataSet>
      <sheetData sheetId="0">
        <row r="7">
          <cell r="G7">
            <v>1</v>
          </cell>
        </row>
        <row r="8">
          <cell r="G8">
            <v>4</v>
          </cell>
          <cell r="H8">
            <v>39</v>
          </cell>
          <cell r="I8">
            <v>141</v>
          </cell>
          <cell r="J8">
            <v>0</v>
          </cell>
          <cell r="K8">
            <v>19</v>
          </cell>
          <cell r="O8">
            <v>32</v>
          </cell>
          <cell r="P8">
            <v>28</v>
          </cell>
          <cell r="Q8">
            <v>215</v>
          </cell>
          <cell r="S8">
            <v>0</v>
          </cell>
          <cell r="T8">
            <v>22</v>
          </cell>
          <cell r="W8">
            <v>356</v>
          </cell>
          <cell r="X8">
            <v>0</v>
          </cell>
          <cell r="Y8">
            <v>1</v>
          </cell>
          <cell r="Z8">
            <v>4</v>
          </cell>
        </row>
        <row r="9">
          <cell r="G9">
            <v>4</v>
          </cell>
          <cell r="H9">
            <v>54</v>
          </cell>
          <cell r="I9">
            <v>245</v>
          </cell>
          <cell r="J9">
            <v>3</v>
          </cell>
          <cell r="K9">
            <v>31</v>
          </cell>
          <cell r="O9">
            <v>30</v>
          </cell>
          <cell r="P9">
            <v>22</v>
          </cell>
          <cell r="Q9">
            <v>227</v>
          </cell>
          <cell r="S9">
            <v>0</v>
          </cell>
          <cell r="T9">
            <v>39</v>
          </cell>
          <cell r="W9">
            <v>472</v>
          </cell>
          <cell r="X9">
            <v>3</v>
          </cell>
          <cell r="Y9">
            <v>2</v>
          </cell>
          <cell r="Z9">
            <v>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_W_WoodDa02_rushing_and_"/>
    </sheetNames>
    <sheetDataSet>
      <sheetData sheetId="0">
        <row r="6">
          <cell r="F6">
            <v>14</v>
          </cell>
          <cell r="G6">
            <v>3</v>
          </cell>
          <cell r="H6">
            <v>97</v>
          </cell>
          <cell r="I6">
            <v>547</v>
          </cell>
          <cell r="J6">
            <v>5</v>
          </cell>
          <cell r="K6">
            <v>36</v>
          </cell>
          <cell r="O6">
            <v>44</v>
          </cell>
          <cell r="P6">
            <v>34</v>
          </cell>
          <cell r="Q6">
            <v>379</v>
          </cell>
          <cell r="S6">
            <v>1</v>
          </cell>
          <cell r="T6">
            <v>50</v>
          </cell>
          <cell r="W6">
            <v>926</v>
          </cell>
          <cell r="X6">
            <v>6</v>
          </cell>
          <cell r="Y6">
            <v>1</v>
          </cell>
          <cell r="Z6">
            <v>10</v>
          </cell>
        </row>
        <row r="8">
          <cell r="G8">
            <v>4</v>
          </cell>
          <cell r="H8">
            <v>77</v>
          </cell>
          <cell r="I8">
            <v>351</v>
          </cell>
          <cell r="J8">
            <v>1</v>
          </cell>
          <cell r="K8">
            <v>12</v>
          </cell>
          <cell r="O8">
            <v>31</v>
          </cell>
          <cell r="P8">
            <v>18</v>
          </cell>
          <cell r="Q8">
            <v>157</v>
          </cell>
          <cell r="S8">
            <v>0</v>
          </cell>
          <cell r="T8">
            <v>16</v>
          </cell>
          <cell r="W8">
            <v>508</v>
          </cell>
          <cell r="X8">
            <v>1</v>
          </cell>
          <cell r="Y8">
            <v>1</v>
          </cell>
          <cell r="Z8">
            <v>5</v>
          </cell>
        </row>
        <row r="9">
          <cell r="F9">
            <v>16</v>
          </cell>
          <cell r="G9">
            <v>2</v>
          </cell>
          <cell r="H9">
            <v>76</v>
          </cell>
          <cell r="I9">
            <v>301</v>
          </cell>
          <cell r="J9">
            <v>4</v>
          </cell>
          <cell r="K9">
            <v>19</v>
          </cell>
          <cell r="O9">
            <v>55</v>
          </cell>
          <cell r="P9">
            <v>40</v>
          </cell>
          <cell r="Q9">
            <v>446</v>
          </cell>
          <cell r="S9">
            <v>3</v>
          </cell>
          <cell r="T9">
            <v>25</v>
          </cell>
          <cell r="W9">
            <v>747</v>
          </cell>
          <cell r="X9">
            <v>7</v>
          </cell>
          <cell r="Y9">
            <v>1</v>
          </cell>
          <cell r="Z9">
            <v>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_B_BoldBr00_rushing_and_"/>
    </sheetNames>
    <sheetDataSet>
      <sheetData sheetId="0">
        <row r="5">
          <cell r="G5">
            <v>2</v>
          </cell>
          <cell r="H5">
            <v>55</v>
          </cell>
          <cell r="I5">
            <v>271</v>
          </cell>
          <cell r="J5">
            <v>3</v>
          </cell>
          <cell r="K5">
            <v>46</v>
          </cell>
          <cell r="O5">
            <v>29</v>
          </cell>
          <cell r="P5">
            <v>21</v>
          </cell>
          <cell r="Q5">
            <v>152</v>
          </cell>
          <cell r="S5">
            <v>0</v>
          </cell>
          <cell r="T5">
            <v>18</v>
          </cell>
          <cell r="W5">
            <v>423</v>
          </cell>
          <cell r="X5">
            <v>3</v>
          </cell>
          <cell r="Y5">
            <v>0</v>
          </cell>
          <cell r="Z5">
            <v>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_V_VereSh00_rushing_and_"/>
    </sheetNames>
    <sheetDataSet>
      <sheetData sheetId="0">
        <row r="6">
          <cell r="G6">
            <v>1</v>
          </cell>
          <cell r="H6">
            <v>44</v>
          </cell>
          <cell r="I6">
            <v>208</v>
          </cell>
          <cell r="J6">
            <v>1</v>
          </cell>
          <cell r="K6">
            <v>21</v>
          </cell>
          <cell r="O6">
            <v>69</v>
          </cell>
          <cell r="P6">
            <v>47</v>
          </cell>
          <cell r="Q6">
            <v>427</v>
          </cell>
          <cell r="S6">
            <v>3</v>
          </cell>
          <cell r="T6">
            <v>50</v>
          </cell>
          <cell r="W6">
            <v>635</v>
          </cell>
          <cell r="X6">
            <v>4</v>
          </cell>
          <cell r="Y6">
            <v>1</v>
          </cell>
          <cell r="Z6">
            <v>5</v>
          </cell>
        </row>
        <row r="7">
          <cell r="F7">
            <v>16</v>
          </cell>
          <cell r="G7">
            <v>6</v>
          </cell>
          <cell r="H7">
            <v>96</v>
          </cell>
          <cell r="I7">
            <v>391</v>
          </cell>
          <cell r="J7">
            <v>2</v>
          </cell>
          <cell r="K7">
            <v>19</v>
          </cell>
          <cell r="O7">
            <v>77</v>
          </cell>
          <cell r="P7">
            <v>52</v>
          </cell>
          <cell r="Q7">
            <v>447</v>
          </cell>
          <cell r="S7">
            <v>3</v>
          </cell>
          <cell r="T7">
            <v>49</v>
          </cell>
          <cell r="W7">
            <v>838</v>
          </cell>
          <cell r="X7">
            <v>5</v>
          </cell>
          <cell r="Y7">
            <v>0</v>
          </cell>
          <cell r="Z7">
            <v>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_L_LewiDi00_rushing_and_"/>
    </sheetNames>
    <sheetDataSet>
      <sheetData sheetId="0">
        <row r="7">
          <cell r="F7">
            <v>7</v>
          </cell>
          <cell r="G7">
            <v>6</v>
          </cell>
          <cell r="H7">
            <v>49</v>
          </cell>
          <cell r="I7">
            <v>234</v>
          </cell>
          <cell r="J7">
            <v>2</v>
          </cell>
          <cell r="K7">
            <v>13</v>
          </cell>
          <cell r="O7">
            <v>50</v>
          </cell>
          <cell r="P7">
            <v>36</v>
          </cell>
          <cell r="Q7">
            <v>388</v>
          </cell>
          <cell r="S7">
            <v>2</v>
          </cell>
          <cell r="T7">
            <v>40</v>
          </cell>
          <cell r="W7">
            <v>622</v>
          </cell>
          <cell r="X7">
            <v>4</v>
          </cell>
          <cell r="Y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o-football-reference.com/teams/nwe/2004.htm" TargetMode="External"/><Relationship Id="rId13" Type="http://schemas.openxmlformats.org/officeDocument/2006/relationships/hyperlink" Target="http://www.pro-football-reference.com/years/2007/" TargetMode="External"/><Relationship Id="rId18" Type="http://schemas.openxmlformats.org/officeDocument/2006/relationships/hyperlink" Target="http://www.pro-football-reference.com/teams/nwe/2009.htm" TargetMode="External"/><Relationship Id="rId26" Type="http://schemas.openxmlformats.org/officeDocument/2006/relationships/hyperlink" Target="http://www.pro-football-reference.com/teams/nwe/2013.htm" TargetMode="External"/><Relationship Id="rId3" Type="http://schemas.openxmlformats.org/officeDocument/2006/relationships/hyperlink" Target="http://www.pro-football-reference.com/years/2002/" TargetMode="External"/><Relationship Id="rId21" Type="http://schemas.openxmlformats.org/officeDocument/2006/relationships/hyperlink" Target="http://www.pro-football-reference.com/years/2011/" TargetMode="External"/><Relationship Id="rId7" Type="http://schemas.openxmlformats.org/officeDocument/2006/relationships/hyperlink" Target="http://www.pro-football-reference.com/years/2004/" TargetMode="External"/><Relationship Id="rId12" Type="http://schemas.openxmlformats.org/officeDocument/2006/relationships/hyperlink" Target="http://www.pro-football-reference.com/teams/nwe/2006.htm" TargetMode="External"/><Relationship Id="rId17" Type="http://schemas.openxmlformats.org/officeDocument/2006/relationships/hyperlink" Target="http://www.pro-football-reference.com/years/2009/" TargetMode="External"/><Relationship Id="rId25" Type="http://schemas.openxmlformats.org/officeDocument/2006/relationships/hyperlink" Target="http://www.pro-football-reference.com/years/2013/" TargetMode="External"/><Relationship Id="rId2" Type="http://schemas.openxmlformats.org/officeDocument/2006/relationships/hyperlink" Target="http://www.pro-football-reference.com/teams/nwe/2001.htm" TargetMode="External"/><Relationship Id="rId16" Type="http://schemas.openxmlformats.org/officeDocument/2006/relationships/hyperlink" Target="http://www.pro-football-reference.com/teams/nwe/2008.htm" TargetMode="External"/><Relationship Id="rId20" Type="http://schemas.openxmlformats.org/officeDocument/2006/relationships/hyperlink" Target="http://www.pro-football-reference.com/teams/nwe/2010.htm" TargetMode="External"/><Relationship Id="rId29" Type="http://schemas.openxmlformats.org/officeDocument/2006/relationships/hyperlink" Target="http://www.pro-football-reference.com/years/2015/" TargetMode="External"/><Relationship Id="rId1" Type="http://schemas.openxmlformats.org/officeDocument/2006/relationships/hyperlink" Target="http://www.pro-football-reference.com/years/2001/" TargetMode="External"/><Relationship Id="rId6" Type="http://schemas.openxmlformats.org/officeDocument/2006/relationships/hyperlink" Target="http://www.pro-football-reference.com/teams/nwe/2003.htm" TargetMode="External"/><Relationship Id="rId11" Type="http://schemas.openxmlformats.org/officeDocument/2006/relationships/hyperlink" Target="http://www.pro-football-reference.com/years/2006/" TargetMode="External"/><Relationship Id="rId24" Type="http://schemas.openxmlformats.org/officeDocument/2006/relationships/hyperlink" Target="http://www.pro-football-reference.com/teams/nwe/2012.htm" TargetMode="External"/><Relationship Id="rId5" Type="http://schemas.openxmlformats.org/officeDocument/2006/relationships/hyperlink" Target="http://www.pro-football-reference.com/years/2003/" TargetMode="External"/><Relationship Id="rId15" Type="http://schemas.openxmlformats.org/officeDocument/2006/relationships/hyperlink" Target="http://www.pro-football-reference.com/years/2008/" TargetMode="External"/><Relationship Id="rId23" Type="http://schemas.openxmlformats.org/officeDocument/2006/relationships/hyperlink" Target="http://www.pro-football-reference.com/years/2012/" TargetMode="External"/><Relationship Id="rId28" Type="http://schemas.openxmlformats.org/officeDocument/2006/relationships/hyperlink" Target="http://www.pro-football-reference.com/teams/nwe/2014.htm" TargetMode="External"/><Relationship Id="rId10" Type="http://schemas.openxmlformats.org/officeDocument/2006/relationships/hyperlink" Target="http://www.pro-football-reference.com/teams/nwe/2005.htm" TargetMode="External"/><Relationship Id="rId19" Type="http://schemas.openxmlformats.org/officeDocument/2006/relationships/hyperlink" Target="http://www.pro-football-reference.com/years/2010/" TargetMode="External"/><Relationship Id="rId4" Type="http://schemas.openxmlformats.org/officeDocument/2006/relationships/hyperlink" Target="http://www.pro-football-reference.com/teams/nwe/2002.htm" TargetMode="External"/><Relationship Id="rId9" Type="http://schemas.openxmlformats.org/officeDocument/2006/relationships/hyperlink" Target="http://www.pro-football-reference.com/years/2005/" TargetMode="External"/><Relationship Id="rId14" Type="http://schemas.openxmlformats.org/officeDocument/2006/relationships/hyperlink" Target="http://www.pro-football-reference.com/teams/nwe/2007.htm" TargetMode="External"/><Relationship Id="rId22" Type="http://schemas.openxmlformats.org/officeDocument/2006/relationships/hyperlink" Target="http://www.pro-football-reference.com/teams/nwe/2011.htm" TargetMode="External"/><Relationship Id="rId27" Type="http://schemas.openxmlformats.org/officeDocument/2006/relationships/hyperlink" Target="http://www.pro-football-reference.com/years/2014/" TargetMode="External"/><Relationship Id="rId30" Type="http://schemas.openxmlformats.org/officeDocument/2006/relationships/hyperlink" Target="http://www.pro-football-reference.com/teams/nwe/201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workbookViewId="0">
      <selection activeCell="P12" sqref="P12"/>
    </sheetView>
  </sheetViews>
  <sheetFormatPr defaultRowHeight="15" x14ac:dyDescent="0.25"/>
  <cols>
    <col min="1" max="1" width="17.28515625" bestFit="1" customWidth="1"/>
    <col min="2" max="2" width="5.7109375" bestFit="1" customWidth="1"/>
    <col min="3" max="4" width="9.42578125" bestFit="1" customWidth="1"/>
    <col min="5" max="6" width="10.42578125" bestFit="1" customWidth="1"/>
    <col min="7" max="7" width="9.7109375" style="6" bestFit="1" customWidth="1"/>
    <col min="8" max="11" width="9.7109375" bestFit="1" customWidth="1"/>
    <col min="12" max="19" width="11.140625" bestFit="1" customWidth="1"/>
    <col min="20" max="20" width="11.42578125" bestFit="1" customWidth="1"/>
    <col min="21" max="21" width="11" bestFit="1" customWidth="1"/>
    <col min="22" max="22" width="8" bestFit="1" customWidth="1"/>
    <col min="23" max="23" width="7.85546875" bestFit="1" customWidth="1"/>
    <col min="24" max="24" width="5.85546875" customWidth="1"/>
    <col min="25" max="25" width="13.28515625" customWidth="1"/>
    <col min="26" max="26" width="14.28515625" customWidth="1"/>
    <col min="27" max="27" width="16.140625" customWidth="1"/>
    <col min="28" max="28" width="17.42578125" bestFit="1" customWidth="1"/>
  </cols>
  <sheetData>
    <row r="1" spans="1:28" ht="15" customHeight="1" x14ac:dyDescent="0.25"/>
    <row r="2" spans="1:28" ht="15" customHeight="1" x14ac:dyDescent="0.25">
      <c r="A2" s="5"/>
      <c r="B2" s="5"/>
      <c r="C2" s="2" t="s">
        <v>0</v>
      </c>
      <c r="D2" s="2"/>
      <c r="E2" s="2" t="s">
        <v>1</v>
      </c>
      <c r="F2" s="5"/>
      <c r="G2" s="5"/>
      <c r="H2" s="5"/>
      <c r="I2" s="5"/>
      <c r="J2" s="5"/>
      <c r="K2" s="5"/>
      <c r="L2" s="2" t="s">
        <v>2</v>
      </c>
      <c r="M2" s="5"/>
      <c r="N2" s="5"/>
      <c r="O2" s="5"/>
      <c r="P2" s="5"/>
      <c r="Q2" s="5"/>
      <c r="R2" s="5"/>
      <c r="S2" s="5"/>
    </row>
    <row r="3" spans="1:28" ht="15" customHeight="1" x14ac:dyDescent="0.25">
      <c r="A3" s="4" t="s">
        <v>21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7</v>
      </c>
      <c r="O3" s="4" t="s">
        <v>15</v>
      </c>
      <c r="P3" s="4" t="s">
        <v>8</v>
      </c>
      <c r="Q3" s="4" t="s">
        <v>9</v>
      </c>
      <c r="R3" s="4" t="s">
        <v>16</v>
      </c>
      <c r="S3" s="4" t="s">
        <v>11</v>
      </c>
      <c r="T3" s="4" t="s">
        <v>17</v>
      </c>
      <c r="U3" s="4" t="s">
        <v>29</v>
      </c>
      <c r="V3" s="4" t="s">
        <v>18</v>
      </c>
      <c r="W3" s="4" t="s">
        <v>19</v>
      </c>
      <c r="X3" s="4" t="s">
        <v>20</v>
      </c>
      <c r="Y3" s="4" t="s">
        <v>30</v>
      </c>
      <c r="Z3" s="4" t="s">
        <v>31</v>
      </c>
      <c r="AA3" s="4" t="s">
        <v>32</v>
      </c>
      <c r="AB3" s="4" t="s">
        <v>33</v>
      </c>
    </row>
    <row r="4" spans="1:28" ht="15" customHeight="1" x14ac:dyDescent="0.25">
      <c r="A4" s="1" t="s">
        <v>22</v>
      </c>
      <c r="B4" s="1">
        <v>1999</v>
      </c>
      <c r="C4" s="11">
        <f>ROUND(11,3)</f>
        <v>11</v>
      </c>
      <c r="D4" s="11">
        <f>ROUND(2,3)</f>
        <v>2</v>
      </c>
      <c r="E4" s="11">
        <f>ROUND(67,3)</f>
        <v>67</v>
      </c>
      <c r="F4" s="11">
        <f>ROUND(227,3)</f>
        <v>227</v>
      </c>
      <c r="G4" s="11">
        <f>ROUND(1,3)</f>
        <v>1</v>
      </c>
      <c r="H4" s="11">
        <f>ROUND(43,3)</f>
        <v>43</v>
      </c>
      <c r="I4" s="3">
        <f>F4/E4</f>
        <v>3.3880597014925371</v>
      </c>
      <c r="J4" s="3">
        <f>F4/C4</f>
        <v>20.636363636363637</v>
      </c>
      <c r="K4" s="3">
        <f>E4/C4</f>
        <v>6.0909090909090908</v>
      </c>
      <c r="L4" s="1">
        <v>19</v>
      </c>
      <c r="M4" s="1">
        <v>12</v>
      </c>
      <c r="N4" s="1">
        <v>98</v>
      </c>
      <c r="O4" s="3">
        <f>N4/M4</f>
        <v>8.1666666666666661</v>
      </c>
      <c r="P4" s="1">
        <v>1</v>
      </c>
      <c r="Q4" s="1">
        <v>19</v>
      </c>
      <c r="R4" s="3">
        <f>M4/C4</f>
        <v>1.0909090909090908</v>
      </c>
      <c r="S4" s="3">
        <f>N4/C4</f>
        <v>8.9090909090909083</v>
      </c>
      <c r="T4" s="1">
        <v>325</v>
      </c>
      <c r="U4" s="3">
        <f>T4/C4</f>
        <v>29.545454545454547</v>
      </c>
      <c r="V4" s="1">
        <v>2</v>
      </c>
      <c r="W4" s="1">
        <v>3</v>
      </c>
      <c r="X4" s="1">
        <v>2</v>
      </c>
      <c r="Y4" s="6"/>
      <c r="Z4" s="18"/>
      <c r="AA4" s="6"/>
      <c r="AB4" s="6"/>
    </row>
    <row r="5" spans="1:28" ht="15" customHeight="1" x14ac:dyDescent="0.25">
      <c r="A5" s="1" t="s">
        <v>22</v>
      </c>
      <c r="B5" s="1">
        <v>2000</v>
      </c>
      <c r="C5" s="11">
        <f>ROUND(16,3)</f>
        <v>16</v>
      </c>
      <c r="D5" s="11">
        <f>ROUND(9,3)</f>
        <v>9</v>
      </c>
      <c r="E5" s="11">
        <f>ROUND(164,3)</f>
        <v>164</v>
      </c>
      <c r="F5" s="11">
        <f>ROUND(570,3)</f>
        <v>570</v>
      </c>
      <c r="G5" s="11">
        <f>ROUND(4,3)</f>
        <v>4</v>
      </c>
      <c r="H5" s="11">
        <f>ROUND(18,3)</f>
        <v>18</v>
      </c>
      <c r="I5" s="3">
        <f t="shared" ref="I5:I20" si="0">F5/E5</f>
        <v>3.475609756097561</v>
      </c>
      <c r="J5" s="3">
        <f t="shared" ref="J5:J20" si="1">F5/C5</f>
        <v>35.625</v>
      </c>
      <c r="K5" s="3">
        <f t="shared" ref="K5:K20" si="2">E5/C5</f>
        <v>10.25</v>
      </c>
      <c r="L5" s="1">
        <v>68</v>
      </c>
      <c r="M5" s="1">
        <v>51</v>
      </c>
      <c r="N5" s="1">
        <v>465</v>
      </c>
      <c r="O5" s="3">
        <f t="shared" ref="O5:O20" si="3">N5/M5</f>
        <v>9.117647058823529</v>
      </c>
      <c r="P5" s="1">
        <v>1</v>
      </c>
      <c r="Q5" s="1">
        <v>52</v>
      </c>
      <c r="R5" s="3">
        <f t="shared" ref="R5:R20" si="4">M5/C5</f>
        <v>3.1875</v>
      </c>
      <c r="S5" s="3">
        <f t="shared" ref="S5:S20" si="5">N5/C5</f>
        <v>29.0625</v>
      </c>
      <c r="T5" s="1">
        <v>1035</v>
      </c>
      <c r="U5" s="3">
        <f t="shared" ref="U5:U20" si="6">T5/C5</f>
        <v>64.6875</v>
      </c>
      <c r="V5" s="1">
        <v>5</v>
      </c>
      <c r="W5" s="1">
        <v>6</v>
      </c>
      <c r="X5" s="1">
        <v>8</v>
      </c>
      <c r="Y5" s="6"/>
      <c r="Z5" s="18"/>
      <c r="AA5" s="6"/>
      <c r="AB5" s="1"/>
    </row>
    <row r="6" spans="1:28" ht="15" customHeight="1" x14ac:dyDescent="0.25">
      <c r="A6" s="7" t="s">
        <v>22</v>
      </c>
      <c r="B6" s="7">
        <v>2001</v>
      </c>
      <c r="C6" s="12">
        <f>ROUND(15,3)</f>
        <v>15</v>
      </c>
      <c r="D6" s="12">
        <f>ROUND(1,3)</f>
        <v>1</v>
      </c>
      <c r="E6" s="12">
        <f>ROUND(41,3)</f>
        <v>41</v>
      </c>
      <c r="F6" s="12">
        <f>ROUND(169,3)</f>
        <v>169</v>
      </c>
      <c r="G6" s="12">
        <f>ROUND(1,3)</f>
        <v>1</v>
      </c>
      <c r="H6" s="12">
        <f>ROUND(24,3)</f>
        <v>24</v>
      </c>
      <c r="I6" s="9">
        <f t="shared" si="0"/>
        <v>4.1219512195121952</v>
      </c>
      <c r="J6" s="9">
        <f t="shared" si="1"/>
        <v>11.266666666666667</v>
      </c>
      <c r="K6" s="9">
        <f t="shared" si="2"/>
        <v>2.7333333333333334</v>
      </c>
      <c r="L6" s="7">
        <v>36</v>
      </c>
      <c r="M6" s="7">
        <v>30</v>
      </c>
      <c r="N6" s="7">
        <v>189</v>
      </c>
      <c r="O6" s="9">
        <f t="shared" si="3"/>
        <v>6.3</v>
      </c>
      <c r="P6" s="7">
        <v>2</v>
      </c>
      <c r="Q6" s="7">
        <v>28</v>
      </c>
      <c r="R6" s="9">
        <f t="shared" si="4"/>
        <v>2</v>
      </c>
      <c r="S6" s="9">
        <f t="shared" si="5"/>
        <v>12.6</v>
      </c>
      <c r="T6" s="7">
        <v>358</v>
      </c>
      <c r="U6" s="9">
        <f t="shared" si="6"/>
        <v>23.866666666666667</v>
      </c>
      <c r="V6" s="7">
        <v>3</v>
      </c>
      <c r="W6" s="7">
        <v>2</v>
      </c>
      <c r="X6" s="7">
        <v>4</v>
      </c>
      <c r="Y6" s="6"/>
      <c r="Z6" s="19">
        <f xml:space="preserve"> N6 / AB6</f>
        <v>6.6479071403447068E-2</v>
      </c>
      <c r="AA6" s="6"/>
      <c r="AB6" s="1">
        <v>2843</v>
      </c>
    </row>
    <row r="7" spans="1:28" ht="15" customHeight="1" x14ac:dyDescent="0.25">
      <c r="A7" s="1" t="s">
        <v>22</v>
      </c>
      <c r="B7" s="1">
        <v>2002</v>
      </c>
      <c r="C7" s="11">
        <f>ROUND(15,3)</f>
        <v>15</v>
      </c>
      <c r="D7" s="11">
        <v>0</v>
      </c>
      <c r="E7" s="11">
        <f>ROUND(52,3)</f>
        <v>52</v>
      </c>
      <c r="F7" s="11">
        <f>ROUND(271,3)</f>
        <v>271</v>
      </c>
      <c r="G7" s="11">
        <f>ROUND(2,3)</f>
        <v>2</v>
      </c>
      <c r="H7" s="11">
        <f>ROUND(45,3)</f>
        <v>45</v>
      </c>
      <c r="I7" s="3">
        <f t="shared" si="0"/>
        <v>5.2115384615384617</v>
      </c>
      <c r="J7" s="3">
        <f t="shared" si="1"/>
        <v>18.066666666666666</v>
      </c>
      <c r="K7" s="3">
        <f t="shared" si="2"/>
        <v>3.4666666666666668</v>
      </c>
      <c r="L7" s="1">
        <v>53</v>
      </c>
      <c r="M7" s="1">
        <v>37</v>
      </c>
      <c r="N7" s="1">
        <v>379</v>
      </c>
      <c r="O7" s="3">
        <f t="shared" si="3"/>
        <v>10.243243243243244</v>
      </c>
      <c r="P7" s="1">
        <v>3</v>
      </c>
      <c r="Q7" s="1">
        <v>36</v>
      </c>
      <c r="R7" s="3">
        <f t="shared" si="4"/>
        <v>2.4666666666666668</v>
      </c>
      <c r="S7" s="3">
        <f t="shared" si="5"/>
        <v>25.266666666666666</v>
      </c>
      <c r="T7" s="1">
        <v>650</v>
      </c>
      <c r="U7" s="3">
        <f t="shared" si="6"/>
        <v>43.333333333333336</v>
      </c>
      <c r="V7" s="1">
        <v>5</v>
      </c>
      <c r="W7" s="1">
        <v>1</v>
      </c>
      <c r="X7" s="1">
        <v>8</v>
      </c>
      <c r="Y7" s="6"/>
      <c r="Z7" s="19">
        <f t="shared" ref="Z7:Z19" si="7" xml:space="preserve"> N7 / AB7</f>
        <v>0.10069075451647184</v>
      </c>
      <c r="AA7" s="1">
        <v>1607</v>
      </c>
      <c r="AB7" s="1">
        <v>3764</v>
      </c>
    </row>
    <row r="8" spans="1:28" ht="15" customHeight="1" x14ac:dyDescent="0.25">
      <c r="A8" s="1" t="s">
        <v>22</v>
      </c>
      <c r="B8" s="1">
        <v>2003</v>
      </c>
      <c r="C8" s="11">
        <f>ROUND(15,3)</f>
        <v>15</v>
      </c>
      <c r="D8" s="11">
        <f>ROUND(8,3)</f>
        <v>8</v>
      </c>
      <c r="E8" s="11">
        <f>ROUND(178,3)</f>
        <v>178</v>
      </c>
      <c r="F8" s="11">
        <f>ROUND(638,3)</f>
        <v>638</v>
      </c>
      <c r="G8" s="11">
        <f>ROUND(0,3)</f>
        <v>0</v>
      </c>
      <c r="H8" s="11">
        <f>ROUND(23,3)</f>
        <v>23</v>
      </c>
      <c r="I8" s="3">
        <f t="shared" si="0"/>
        <v>3.5842696629213484</v>
      </c>
      <c r="J8" s="3">
        <f t="shared" si="1"/>
        <v>42.533333333333331</v>
      </c>
      <c r="K8" s="3">
        <f t="shared" si="2"/>
        <v>11.866666666666667</v>
      </c>
      <c r="L8" s="1">
        <v>67</v>
      </c>
      <c r="M8" s="1">
        <v>48</v>
      </c>
      <c r="N8" s="1">
        <v>440</v>
      </c>
      <c r="O8" s="3">
        <f t="shared" si="3"/>
        <v>9.1666666666666661</v>
      </c>
      <c r="P8" s="1">
        <v>0</v>
      </c>
      <c r="Q8" s="1">
        <v>27</v>
      </c>
      <c r="R8" s="3">
        <f t="shared" si="4"/>
        <v>3.2</v>
      </c>
      <c r="S8" s="3">
        <f t="shared" si="5"/>
        <v>29.333333333333332</v>
      </c>
      <c r="T8" s="1">
        <v>1078</v>
      </c>
      <c r="U8" s="3">
        <f t="shared" si="6"/>
        <v>71.86666666666666</v>
      </c>
      <c r="V8" s="1">
        <v>0</v>
      </c>
      <c r="W8" s="1">
        <v>4</v>
      </c>
      <c r="X8" s="1">
        <v>8</v>
      </c>
      <c r="Y8" s="6"/>
      <c r="Z8" s="19">
        <f t="shared" si="7"/>
        <v>0.12154696132596685</v>
      </c>
      <c r="AA8" s="1">
        <v>1434</v>
      </c>
      <c r="AB8" s="1">
        <v>3620</v>
      </c>
    </row>
    <row r="9" spans="1:28" ht="15" customHeight="1" x14ac:dyDescent="0.25">
      <c r="A9" s="1" t="s">
        <v>28</v>
      </c>
      <c r="B9" s="1">
        <v>2004</v>
      </c>
      <c r="C9" s="11">
        <f>ROUND(16,3)</f>
        <v>16</v>
      </c>
      <c r="D9" s="11">
        <f>ROUND([1]players_F_FaulKe00_rushing_and_!G9+[2]players_P_PassPa00_rushing_and_!G8,3)</f>
        <v>5</v>
      </c>
      <c r="E9" s="11">
        <f>ROUND([1]players_F_FaulKe00_rushing_and_!H$9+[2]players_P_PassPa00_rushing_and_!H$8,3)</f>
        <v>93</v>
      </c>
      <c r="F9" s="11">
        <f>ROUND([1]players_F_FaulKe00_rushing_and_!I$9+[2]players_P_PassPa00_rushing_and_!I$8,3)</f>
        <v>396</v>
      </c>
      <c r="G9" s="11">
        <f>ROUND([1]players_F_FaulKe00_rushing_and_!J$9+[2]players_P_PassPa00_rushing_and_!J$8,3)</f>
        <v>2</v>
      </c>
      <c r="H9" s="11">
        <f>ROUND([1]players_F_FaulKe00_rushing_and_!K$9+[2]players_P_PassPa00_rushing_and_!K$8,3)</f>
        <v>39</v>
      </c>
      <c r="I9" s="3">
        <f t="shared" si="0"/>
        <v>4.258064516129032</v>
      </c>
      <c r="J9" s="3">
        <f>F9/C9</f>
        <v>24.75</v>
      </c>
      <c r="K9" s="3">
        <f t="shared" si="2"/>
        <v>5.8125</v>
      </c>
      <c r="L9" s="1">
        <f>[1]players_F_FaulKe00_rushing_and_!O$9+[2]players_P_PassPa00_rushing_and_!O$8</f>
        <v>62</v>
      </c>
      <c r="M9" s="1">
        <f>[1]players_F_FaulKe00_rushing_and_!P$9+[2]players_P_PassPa00_rushing_and_!P$8</f>
        <v>54</v>
      </c>
      <c r="N9" s="1">
        <f>[1]players_F_FaulKe00_rushing_and_!Q$9+[2]players_P_PassPa00_rushing_and_!Q$8</f>
        <v>463</v>
      </c>
      <c r="O9" s="3">
        <f t="shared" si="3"/>
        <v>8.5740740740740744</v>
      </c>
      <c r="P9" s="1">
        <f>[1]players_F_FaulKe00_rushing_and_!S$9+[2]players_P_PassPa00_rushing_and_!S$8</f>
        <v>1</v>
      </c>
      <c r="Q9" s="1">
        <f>[1]players_F_FaulKe00_rushing_and_!T$9+[2]players_P_PassPa00_rushing_and_!T$8</f>
        <v>53</v>
      </c>
      <c r="R9" s="3">
        <f t="shared" si="4"/>
        <v>3.375</v>
      </c>
      <c r="S9" s="3">
        <f t="shared" si="5"/>
        <v>28.9375</v>
      </c>
      <c r="T9" s="1">
        <f>[1]players_F_FaulKe00_rushing_and_!W$9+[2]players_P_PassPa00_rushing_and_!W$8</f>
        <v>859</v>
      </c>
      <c r="U9" s="3">
        <f t="shared" si="6"/>
        <v>53.6875</v>
      </c>
      <c r="V9" s="1">
        <f>[1]players_F_FaulKe00_rushing_and_!X$9+[2]players_P_PassPa00_rushing_and_!X$8</f>
        <v>3</v>
      </c>
      <c r="W9" s="1">
        <f>[1]players_F_FaulKe00_rushing_and_!Y$9+[2]players_P_PassPa00_rushing_and_!Y$8</f>
        <v>3</v>
      </c>
      <c r="X9" s="1">
        <f>[1]players_F_FaulKe00_rushing_and_!Z$9+[2]players_P_PassPa00_rushing_and_!Z$8</f>
        <v>9</v>
      </c>
      <c r="Y9" s="6"/>
      <c r="Z9" s="19">
        <f t="shared" si="7"/>
        <v>0.12540628385698807</v>
      </c>
      <c r="AA9" s="6">
        <v>2134</v>
      </c>
      <c r="AB9" s="1">
        <v>3692</v>
      </c>
    </row>
    <row r="10" spans="1:28" ht="15" customHeight="1" x14ac:dyDescent="0.25">
      <c r="A10" s="1" t="s">
        <v>28</v>
      </c>
      <c r="B10" s="1">
        <v>2005</v>
      </c>
      <c r="C10" s="11">
        <f>ROUND(16,3)</f>
        <v>16</v>
      </c>
      <c r="D10" s="11">
        <f>ROUND([1]players_F_FaulKe00_rushing_and_!G10+[2]players_P_PassPa00_rushing_and_!G9,3)</f>
        <v>6</v>
      </c>
      <c r="E10" s="11">
        <f>ROUND([1]players_F_FaulKe00_rushing_and_!H10+[2]players_P_PassPa00_rushing_and_!H9,3)</f>
        <v>105</v>
      </c>
      <c r="F10" s="11">
        <f>ROUND([1]players_F_FaulKe00_rushing_and_!I10+[2]players_P_PassPa00_rushing_and_!I9,3)</f>
        <v>390</v>
      </c>
      <c r="G10" s="11">
        <f>ROUND([1]players_F_FaulKe00_rushing_and_!J10+[2]players_P_PassPa00_rushing_and_!J9,3)</f>
        <v>3</v>
      </c>
      <c r="H10" s="11">
        <f>ROUND([1]players_F_FaulKe00_rushing_and_!K10+[2]players_P_PassPa00_rushing_and_!K9,3)</f>
        <v>44</v>
      </c>
      <c r="I10" s="3">
        <f t="shared" si="0"/>
        <v>3.7142857142857144</v>
      </c>
      <c r="J10" s="3">
        <f t="shared" si="1"/>
        <v>24.375</v>
      </c>
      <c r="K10" s="3">
        <f t="shared" si="2"/>
        <v>6.5625</v>
      </c>
      <c r="L10" s="1">
        <f>[1]players_F_FaulKe00_rushing_and_!O10+[2]players_P_PassPa00_rushing_and_!O9</f>
        <v>67</v>
      </c>
      <c r="M10" s="1">
        <f>[1]players_F_FaulKe00_rushing_and_!P10+[2]players_P_PassPa00_rushing_and_!P9</f>
        <v>51</v>
      </c>
      <c r="N10" s="1">
        <f>[1]players_F_FaulKe00_rushing_and_!Q10+[2]players_P_PassPa00_rushing_and_!Q9</f>
        <v>487</v>
      </c>
      <c r="O10" s="3">
        <f t="shared" si="3"/>
        <v>9.5490196078431371</v>
      </c>
      <c r="P10" s="1">
        <f>[1]players_F_FaulKe00_rushing_and_!S10+[2]players_P_PassPa00_rushing_and_!S9</f>
        <v>0</v>
      </c>
      <c r="Q10" s="1">
        <f>[1]players_F_FaulKe00_rushing_and_!T10+[2]players_P_PassPa00_rushing_and_!T9</f>
        <v>62</v>
      </c>
      <c r="R10" s="3">
        <f t="shared" si="4"/>
        <v>3.1875</v>
      </c>
      <c r="S10" s="3">
        <f t="shared" si="5"/>
        <v>30.4375</v>
      </c>
      <c r="T10" s="1">
        <f>[1]players_F_FaulKe00_rushing_and_!W10+[2]players_P_PassPa00_rushing_and_!W9</f>
        <v>877</v>
      </c>
      <c r="U10" s="3">
        <f t="shared" si="6"/>
        <v>54.8125</v>
      </c>
      <c r="V10" s="1">
        <f>[1]players_F_FaulKe00_rushing_and_!X10+[2]players_P_PassPa00_rushing_and_!X9</f>
        <v>3</v>
      </c>
      <c r="W10" s="1">
        <f>[1]players_F_FaulKe00_rushing_and_!Y10+[2]players_P_PassPa00_rushing_and_!Y9</f>
        <v>5</v>
      </c>
      <c r="X10" s="1">
        <f>[1]players_F_FaulKe00_rushing_and_!Z10+[2]players_P_PassPa00_rushing_and_!Z9</f>
        <v>8</v>
      </c>
      <c r="Y10" s="6"/>
      <c r="Z10" s="19">
        <f t="shared" si="7"/>
        <v>0.11849148418491484</v>
      </c>
      <c r="AA10" s="6">
        <v>1512</v>
      </c>
      <c r="AB10" s="1">
        <v>4110</v>
      </c>
    </row>
    <row r="11" spans="1:28" ht="15" customHeight="1" x14ac:dyDescent="0.25">
      <c r="A11" s="7" t="s">
        <v>22</v>
      </c>
      <c r="B11" s="7">
        <v>2006</v>
      </c>
      <c r="C11" s="12">
        <f>ROUND(15,3)</f>
        <v>15</v>
      </c>
      <c r="D11" s="12">
        <f>ROUND(1,3)</f>
        <v>1</v>
      </c>
      <c r="E11" s="12">
        <f>ROUND(25,3)</f>
        <v>25</v>
      </c>
      <c r="F11" s="12">
        <f>ROUND(123,3)</f>
        <v>123</v>
      </c>
      <c r="G11" s="12">
        <f>ROUND(1,3)</f>
        <v>1</v>
      </c>
      <c r="H11" s="12">
        <f>ROUND(11,3)</f>
        <v>11</v>
      </c>
      <c r="I11" s="9">
        <f t="shared" si="0"/>
        <v>4.92</v>
      </c>
      <c r="J11" s="9">
        <f t="shared" si="1"/>
        <v>8.1999999999999993</v>
      </c>
      <c r="K11" s="9">
        <f t="shared" si="2"/>
        <v>1.6666666666666667</v>
      </c>
      <c r="L11" s="7">
        <v>56</v>
      </c>
      <c r="M11" s="7">
        <v>43</v>
      </c>
      <c r="N11" s="7">
        <v>356</v>
      </c>
      <c r="O11" s="9">
        <f t="shared" si="3"/>
        <v>8.279069767441861</v>
      </c>
      <c r="P11" s="7">
        <v>2</v>
      </c>
      <c r="Q11" s="7">
        <v>43</v>
      </c>
      <c r="R11" s="9">
        <f t="shared" si="4"/>
        <v>2.8666666666666667</v>
      </c>
      <c r="S11" s="9">
        <f t="shared" si="5"/>
        <v>23.733333333333334</v>
      </c>
      <c r="T11" s="7">
        <v>479</v>
      </c>
      <c r="U11" s="9">
        <f t="shared" si="6"/>
        <v>31.933333333333334</v>
      </c>
      <c r="V11" s="7">
        <v>3</v>
      </c>
      <c r="W11" s="7">
        <v>2</v>
      </c>
      <c r="X11" s="7">
        <v>5</v>
      </c>
      <c r="Y11" s="6"/>
      <c r="Z11" s="19">
        <f t="shared" si="7"/>
        <v>0.10087843581751205</v>
      </c>
      <c r="AA11" s="1">
        <v>1507</v>
      </c>
      <c r="AB11" s="1">
        <v>3529</v>
      </c>
    </row>
    <row r="12" spans="1:28" ht="15" customHeight="1" x14ac:dyDescent="0.25">
      <c r="A12" s="1" t="s">
        <v>22</v>
      </c>
      <c r="B12" s="1">
        <v>2007</v>
      </c>
      <c r="C12" s="11">
        <f>ROUND(16,3)</f>
        <v>16</v>
      </c>
      <c r="D12" s="11">
        <f>ROUND(8,3)</f>
        <v>8</v>
      </c>
      <c r="E12" s="11">
        <f>ROUND(62,3)</f>
        <v>62</v>
      </c>
      <c r="F12" s="11">
        <f>ROUND(265,3)</f>
        <v>265</v>
      </c>
      <c r="G12" s="11">
        <f>ROUND(0,3)</f>
        <v>0</v>
      </c>
      <c r="H12" s="11">
        <f>ROUND(14,3)</f>
        <v>14</v>
      </c>
      <c r="I12" s="3">
        <f t="shared" si="0"/>
        <v>4.274193548387097</v>
      </c>
      <c r="J12" s="3">
        <f t="shared" si="1"/>
        <v>16.5625</v>
      </c>
      <c r="K12" s="3">
        <f t="shared" si="2"/>
        <v>3.875</v>
      </c>
      <c r="L12" s="1">
        <v>61</v>
      </c>
      <c r="M12" s="1">
        <v>47</v>
      </c>
      <c r="N12" s="1">
        <v>383</v>
      </c>
      <c r="O12" s="3">
        <f t="shared" si="3"/>
        <v>8.1489361702127656</v>
      </c>
      <c r="P12" s="1">
        <v>1</v>
      </c>
      <c r="Q12" s="1">
        <v>23</v>
      </c>
      <c r="R12" s="3">
        <f t="shared" si="4"/>
        <v>2.9375</v>
      </c>
      <c r="S12" s="3">
        <f t="shared" si="5"/>
        <v>23.9375</v>
      </c>
      <c r="T12" s="1">
        <v>648</v>
      </c>
      <c r="U12" s="3">
        <f t="shared" si="6"/>
        <v>40.5</v>
      </c>
      <c r="V12" s="1">
        <v>1</v>
      </c>
      <c r="W12" s="1">
        <v>1</v>
      </c>
      <c r="X12" s="1">
        <v>8</v>
      </c>
      <c r="Y12" s="6"/>
      <c r="Z12" s="19">
        <f t="shared" si="7"/>
        <v>7.9692051602163957E-2</v>
      </c>
      <c r="AA12" s="1">
        <v>1849</v>
      </c>
      <c r="AB12" s="1">
        <v>4806</v>
      </c>
    </row>
    <row r="13" spans="1:28" ht="15" customHeight="1" x14ac:dyDescent="0.25">
      <c r="A13" s="7" t="s">
        <v>22</v>
      </c>
      <c r="B13" s="7">
        <v>2008</v>
      </c>
      <c r="C13" s="12">
        <f>ROUND(15,3)</f>
        <v>15</v>
      </c>
      <c r="D13" s="12">
        <f>ROUND(3,3)</f>
        <v>3</v>
      </c>
      <c r="E13" s="12">
        <f>ROUND(83,3)</f>
        <v>83</v>
      </c>
      <c r="F13" s="12">
        <f>ROUND(507,3)</f>
        <v>507</v>
      </c>
      <c r="G13" s="12">
        <f>ROUND(3,3)</f>
        <v>3</v>
      </c>
      <c r="H13" s="12">
        <f>ROUND(41,3)</f>
        <v>41</v>
      </c>
      <c r="I13" s="9">
        <f t="shared" si="0"/>
        <v>6.1084337349397586</v>
      </c>
      <c r="J13" s="9">
        <f t="shared" si="1"/>
        <v>33.799999999999997</v>
      </c>
      <c r="K13" s="9">
        <f t="shared" si="2"/>
        <v>5.5333333333333332</v>
      </c>
      <c r="L13" s="7">
        <v>74</v>
      </c>
      <c r="M13" s="7">
        <v>58</v>
      </c>
      <c r="N13" s="7">
        <v>486</v>
      </c>
      <c r="O13" s="9">
        <f t="shared" si="3"/>
        <v>8.3793103448275854</v>
      </c>
      <c r="P13" s="7">
        <v>3</v>
      </c>
      <c r="Q13" s="7">
        <v>22</v>
      </c>
      <c r="R13" s="9">
        <f t="shared" si="4"/>
        <v>3.8666666666666667</v>
      </c>
      <c r="S13" s="9">
        <f t="shared" si="5"/>
        <v>32.4</v>
      </c>
      <c r="T13" s="7">
        <v>993</v>
      </c>
      <c r="U13" s="9">
        <f t="shared" si="6"/>
        <v>66.2</v>
      </c>
      <c r="V13" s="7">
        <v>6</v>
      </c>
      <c r="W13" s="7">
        <v>0</v>
      </c>
      <c r="X13" s="7">
        <v>10</v>
      </c>
      <c r="Y13" s="6"/>
      <c r="Z13" s="19"/>
      <c r="AA13" s="1">
        <v>2278</v>
      </c>
      <c r="AB13" s="1"/>
    </row>
    <row r="14" spans="1:28" ht="15" customHeight="1" x14ac:dyDescent="0.25">
      <c r="A14" s="1" t="s">
        <v>22</v>
      </c>
      <c r="B14" s="1">
        <v>2009</v>
      </c>
      <c r="C14" s="11">
        <f>ROUND(15,3)</f>
        <v>15</v>
      </c>
      <c r="D14" s="11">
        <f>ROUND(7,3)</f>
        <v>7</v>
      </c>
      <c r="E14" s="11">
        <f>ROUND(62,3)</f>
        <v>62</v>
      </c>
      <c r="F14" s="11">
        <f>ROUND(335,3)</f>
        <v>335</v>
      </c>
      <c r="G14" s="11">
        <f>ROUND(2,3)</f>
        <v>2</v>
      </c>
      <c r="H14" s="11">
        <f>ROUND(29,3)</f>
        <v>29</v>
      </c>
      <c r="I14" s="3">
        <f t="shared" si="0"/>
        <v>5.403225806451613</v>
      </c>
      <c r="J14" s="3">
        <f t="shared" si="1"/>
        <v>22.333333333333332</v>
      </c>
      <c r="K14" s="3">
        <f t="shared" si="2"/>
        <v>4.1333333333333337</v>
      </c>
      <c r="L14" s="1">
        <v>53</v>
      </c>
      <c r="M14" s="1">
        <v>37</v>
      </c>
      <c r="N14" s="1">
        <v>301</v>
      </c>
      <c r="O14" s="3">
        <f t="shared" si="3"/>
        <v>8.1351351351351351</v>
      </c>
      <c r="P14" s="1">
        <v>1</v>
      </c>
      <c r="Q14" s="1">
        <v>38</v>
      </c>
      <c r="R14" s="3">
        <f t="shared" si="4"/>
        <v>2.4666666666666668</v>
      </c>
      <c r="S14" s="3">
        <f t="shared" si="5"/>
        <v>20.066666666666666</v>
      </c>
      <c r="T14" s="1">
        <v>636</v>
      </c>
      <c r="U14" s="3">
        <f t="shared" si="6"/>
        <v>42.4</v>
      </c>
      <c r="V14" s="1">
        <v>3</v>
      </c>
      <c r="W14" s="1">
        <v>1</v>
      </c>
      <c r="X14" s="1">
        <v>6</v>
      </c>
      <c r="Y14" s="6"/>
      <c r="Z14" s="19">
        <f t="shared" si="7"/>
        <v>6.8440200090950434E-2</v>
      </c>
      <c r="AA14" s="1">
        <v>1768</v>
      </c>
      <c r="AB14" s="1">
        <v>4398</v>
      </c>
    </row>
    <row r="15" spans="1:28" ht="15" customHeight="1" x14ac:dyDescent="0.25">
      <c r="A15" s="1" t="s">
        <v>23</v>
      </c>
      <c r="B15" s="1">
        <v>2010</v>
      </c>
      <c r="C15" s="11">
        <f>ROUND([1]players_F_FaulKe00_rushing_and_!F$15+[3]players_W_WoodDa02_rushing_and_!F$6,3)</f>
        <v>16</v>
      </c>
      <c r="D15" s="11">
        <f>ROUND([1]players_F_FaulKe00_rushing_and_!G$15+[3]players_W_WoodDa02_rushing_and_!G$6,3)</f>
        <v>5</v>
      </c>
      <c r="E15" s="11">
        <f>ROUND([1]players_F_FaulKe00_rushing_and_!H$15+[3]players_W_WoodDa02_rushing_and_!H$6,3)</f>
        <v>105</v>
      </c>
      <c r="F15" s="11">
        <f>ROUND([1]players_F_FaulKe00_rushing_and_!I$15+[3]players_W_WoodDa02_rushing_and_!I$6,3)</f>
        <v>592</v>
      </c>
      <c r="G15" s="11">
        <f>ROUND([1]players_F_FaulKe00_rushing_and_!J$15+[3]players_W_WoodDa02_rushing_and_!J$6,3)</f>
        <v>5</v>
      </c>
      <c r="H15" s="11">
        <f>ROUND([1]players_F_FaulKe00_rushing_and_!K$15+[3]players_W_WoodDa02_rushing_and_!K$6,3)</f>
        <v>47</v>
      </c>
      <c r="I15" s="3">
        <f t="shared" si="0"/>
        <v>5.6380952380952385</v>
      </c>
      <c r="J15" s="3">
        <f t="shared" si="1"/>
        <v>37</v>
      </c>
      <c r="K15" s="3">
        <f t="shared" si="2"/>
        <v>6.5625</v>
      </c>
      <c r="L15" s="1">
        <f>[1]players_F_FaulKe00_rushing_and_!O$15+[3]players_W_WoodDa02_rushing_and_!O$6</f>
        <v>54</v>
      </c>
      <c r="M15" s="1">
        <f>[1]players_F_FaulKe00_rushing_and_!P$15+[3]players_W_WoodDa02_rushing_and_!P$6</f>
        <v>40</v>
      </c>
      <c r="N15" s="1">
        <f>[1]players_F_FaulKe00_rushing_and_!Q$15+[3]players_W_WoodDa02_rushing_and_!Q$6</f>
        <v>441</v>
      </c>
      <c r="O15" s="3">
        <f t="shared" si="3"/>
        <v>11.025</v>
      </c>
      <c r="P15" s="1">
        <f>[1]players_F_FaulKe00_rushing_and_!S$15+[3]players_W_WoodDa02_rushing_and_!S$6</f>
        <v>1</v>
      </c>
      <c r="Q15" s="1">
        <f>[1]players_F_FaulKe00_rushing_and_!T$15+[3]players_W_WoodDa02_rushing_and_!T$6</f>
        <v>71</v>
      </c>
      <c r="R15" s="3">
        <f t="shared" si="4"/>
        <v>2.5</v>
      </c>
      <c r="S15" s="3">
        <f t="shared" si="5"/>
        <v>27.5625</v>
      </c>
      <c r="T15" s="1">
        <f>[1]players_F_FaulKe00_rushing_and_!W$15+[3]players_W_WoodDa02_rushing_and_!W$6</f>
        <v>1033</v>
      </c>
      <c r="U15" s="3">
        <f t="shared" si="6"/>
        <v>64.5625</v>
      </c>
      <c r="V15" s="1">
        <f>[1]players_F_FaulKe00_rushing_and_!X$15+[3]players_W_WoodDa02_rushing_and_!X$6</f>
        <v>6</v>
      </c>
      <c r="W15" s="1">
        <f>[1]players_F_FaulKe00_rushing_and_!Y$15+[3]players_W_WoodDa02_rushing_and_!Y$6</f>
        <v>1</v>
      </c>
      <c r="X15" s="1">
        <f>[1]players_F_FaulKe00_rushing_and_!Z$15+[3]players_W_WoodDa02_rushing_and_!Z$6</f>
        <v>11</v>
      </c>
      <c r="Y15" s="6"/>
      <c r="Z15" s="19">
        <f t="shared" si="7"/>
        <v>0.11307692307692307</v>
      </c>
      <c r="AA15" s="6">
        <v>1973</v>
      </c>
      <c r="AB15" s="1">
        <v>3900</v>
      </c>
    </row>
    <row r="16" spans="1:28" ht="15" customHeight="1" x14ac:dyDescent="0.25">
      <c r="A16" s="1" t="s">
        <v>23</v>
      </c>
      <c r="B16" s="1">
        <v>2011</v>
      </c>
      <c r="C16" s="11">
        <f>ROUND(16,3)</f>
        <v>16</v>
      </c>
      <c r="D16" s="11">
        <f>ROUND([3]players_W_WoodDa02_rushing_and_!G$8+[1]players_F_FaulKe00_rushing_and_!G$16,3)</f>
        <v>7</v>
      </c>
      <c r="E16" s="11">
        <f>ROUND([3]players_W_WoodDa02_rushing_and_!H$8+[1]players_F_FaulKe00_rushing_and_!H$16,3)</f>
        <v>94</v>
      </c>
      <c r="F16" s="11">
        <f>ROUND([3]players_W_WoodDa02_rushing_and_!I$8+[1]players_F_FaulKe00_rushing_and_!I$16,3)</f>
        <v>408</v>
      </c>
      <c r="G16" s="11">
        <f>ROUND([3]players_W_WoodDa02_rushing_and_!J$8+[1]players_F_FaulKe00_rushing_and_!J$16,3)</f>
        <v>1</v>
      </c>
      <c r="H16" s="11">
        <f>ROUND([3]players_W_WoodDa02_rushing_and_!K$8+[1]players_F_FaulKe00_rushing_and_!K$16,3)</f>
        <v>21</v>
      </c>
      <c r="I16" s="3">
        <f t="shared" si="0"/>
        <v>4.3404255319148932</v>
      </c>
      <c r="J16" s="3">
        <f t="shared" si="1"/>
        <v>25.5</v>
      </c>
      <c r="K16" s="3">
        <f t="shared" si="2"/>
        <v>5.875</v>
      </c>
      <c r="L16" s="1">
        <f>[3]players_W_WoodDa02_rushing_and_!O$8+[1]players_F_FaulKe00_rushing_and_!O$16</f>
        <v>40</v>
      </c>
      <c r="M16" s="1">
        <f>[3]players_W_WoodDa02_rushing_and_!P$8+[1]players_F_FaulKe00_rushing_and_!P$16</f>
        <v>25</v>
      </c>
      <c r="N16" s="1">
        <f>[3]players_W_WoodDa02_rushing_and_!Q$8+[1]players_F_FaulKe00_rushing_and_!Q$16</f>
        <v>191</v>
      </c>
      <c r="O16" s="3">
        <f t="shared" si="3"/>
        <v>7.64</v>
      </c>
      <c r="P16" s="1">
        <f>[3]players_W_WoodDa02_rushing_and_!S$8+[1]players_F_FaulKe00_rushing_and_!S$16</f>
        <v>0</v>
      </c>
      <c r="Q16" s="1">
        <f>[3]players_W_WoodDa02_rushing_and_!T$8+[1]players_F_FaulKe00_rushing_and_!T$16</f>
        <v>34</v>
      </c>
      <c r="R16" s="3">
        <f t="shared" si="4"/>
        <v>1.5625</v>
      </c>
      <c r="S16" s="3">
        <f t="shared" si="5"/>
        <v>11.9375</v>
      </c>
      <c r="T16" s="1">
        <f>[3]players_W_WoodDa02_rushing_and_!W$8+[1]players_F_FaulKe00_rushing_and_!W$16</f>
        <v>599</v>
      </c>
      <c r="U16" s="3">
        <f t="shared" si="6"/>
        <v>37.4375</v>
      </c>
      <c r="V16" s="1">
        <f>[3]players_W_WoodDa02_rushing_and_!X$8+[1]players_F_FaulKe00_rushing_and_!X$16</f>
        <v>1</v>
      </c>
      <c r="W16" s="1">
        <f>[3]players_W_WoodDa02_rushing_and_!Y$8+[1]players_F_FaulKe00_rushing_and_!Y$16</f>
        <v>1</v>
      </c>
      <c r="X16" s="1">
        <f>[3]players_W_WoodDa02_rushing_and_!Z$8+[1]players_F_FaulKe00_rushing_and_!Z$16</f>
        <v>6</v>
      </c>
      <c r="Y16" s="6"/>
      <c r="Z16" s="19">
        <f t="shared" si="7"/>
        <v>3.6485195797516717E-2</v>
      </c>
      <c r="AA16" s="6">
        <v>1764</v>
      </c>
      <c r="AB16" s="1">
        <v>5235</v>
      </c>
    </row>
    <row r="17" spans="1:28" ht="15" customHeight="1" x14ac:dyDescent="0.25">
      <c r="A17" s="1" t="s">
        <v>24</v>
      </c>
      <c r="B17" s="1">
        <v>2012</v>
      </c>
      <c r="C17" s="11">
        <f>ROUND([3]players_W_WoodDa02_rushing_and_!F$9,3)</f>
        <v>16</v>
      </c>
      <c r="D17" s="11">
        <f>ROUND([3]players_W_WoodDa02_rushing_and_!G$9,3)</f>
        <v>2</v>
      </c>
      <c r="E17" s="11">
        <f>ROUND([3]players_W_WoodDa02_rushing_and_!H$9,3)</f>
        <v>76</v>
      </c>
      <c r="F17" s="11">
        <f>ROUND([3]players_W_WoodDa02_rushing_and_!I$9,3)</f>
        <v>301</v>
      </c>
      <c r="G17" s="11">
        <f>ROUND([3]players_W_WoodDa02_rushing_and_!J$9,3)</f>
        <v>4</v>
      </c>
      <c r="H17" s="11">
        <f>ROUND([3]players_W_WoodDa02_rushing_and_!K$9,3)</f>
        <v>19</v>
      </c>
      <c r="I17" s="3">
        <f t="shared" si="0"/>
        <v>3.9605263157894739</v>
      </c>
      <c r="J17" s="3">
        <f t="shared" si="1"/>
        <v>18.8125</v>
      </c>
      <c r="K17" s="3">
        <f t="shared" si="2"/>
        <v>4.75</v>
      </c>
      <c r="L17" s="1">
        <f>[3]players_W_WoodDa02_rushing_and_!O$9</f>
        <v>55</v>
      </c>
      <c r="M17" s="1">
        <f>[3]players_W_WoodDa02_rushing_and_!P$9</f>
        <v>40</v>
      </c>
      <c r="N17" s="1">
        <f>[3]players_W_WoodDa02_rushing_and_!Q$9</f>
        <v>446</v>
      </c>
      <c r="O17" s="3">
        <f t="shared" si="3"/>
        <v>11.15</v>
      </c>
      <c r="P17" s="1">
        <f>[3]players_W_WoodDa02_rushing_and_!S$9</f>
        <v>3</v>
      </c>
      <c r="Q17" s="1">
        <f>[3]players_W_WoodDa02_rushing_and_!T$9</f>
        <v>25</v>
      </c>
      <c r="R17" s="3">
        <f t="shared" si="4"/>
        <v>2.5</v>
      </c>
      <c r="S17" s="3">
        <f t="shared" si="5"/>
        <v>27.875</v>
      </c>
      <c r="T17" s="1">
        <f>[3]players_W_WoodDa02_rushing_and_!W$9</f>
        <v>747</v>
      </c>
      <c r="U17" s="3">
        <f t="shared" si="6"/>
        <v>46.6875</v>
      </c>
      <c r="V17" s="1">
        <f>[3]players_W_WoodDa02_rushing_and_!X$9</f>
        <v>7</v>
      </c>
      <c r="W17" s="1">
        <f>[3]players_W_WoodDa02_rushing_and_!Y$9</f>
        <v>1</v>
      </c>
      <c r="X17" s="1">
        <f>[3]players_W_WoodDa02_rushing_and_!Z$9</f>
        <v>7</v>
      </c>
      <c r="Y17" s="6"/>
      <c r="Z17" s="19">
        <f t="shared" si="7"/>
        <v>9.239693391340377E-2</v>
      </c>
      <c r="AA17" s="6">
        <v>2184</v>
      </c>
      <c r="AB17" s="1">
        <v>4827</v>
      </c>
    </row>
    <row r="18" spans="1:28" ht="15" customHeight="1" x14ac:dyDescent="0.25">
      <c r="A18" s="1" t="s">
        <v>25</v>
      </c>
      <c r="B18" s="1">
        <v>2013</v>
      </c>
      <c r="C18" s="11">
        <f>ROUND(16,3)</f>
        <v>16</v>
      </c>
      <c r="D18" s="11">
        <f>ROUND([4]players_B_BoldBr00_rushing_and_!G$5+[5]players_V_VereSh00_rushing_and_!G$6,3)</f>
        <v>3</v>
      </c>
      <c r="E18" s="11">
        <f>ROUND([4]players_B_BoldBr00_rushing_and_!H$5+[5]players_V_VereSh00_rushing_and_!H$6,3)</f>
        <v>99</v>
      </c>
      <c r="F18" s="11">
        <f>ROUND([4]players_B_BoldBr00_rushing_and_!I$5+[5]players_V_VereSh00_rushing_and_!I$6,3)</f>
        <v>479</v>
      </c>
      <c r="G18" s="11">
        <f>ROUND([4]players_B_BoldBr00_rushing_and_!J$5+[5]players_V_VereSh00_rushing_and_!J$6,3)</f>
        <v>4</v>
      </c>
      <c r="H18" s="11">
        <f>ROUND([4]players_B_BoldBr00_rushing_and_!K$5+[5]players_V_VereSh00_rushing_and_!K$6,3)</f>
        <v>67</v>
      </c>
      <c r="I18" s="3">
        <f t="shared" si="0"/>
        <v>4.8383838383838382</v>
      </c>
      <c r="J18" s="3">
        <f t="shared" si="1"/>
        <v>29.9375</v>
      </c>
      <c r="K18" s="3">
        <f t="shared" si="2"/>
        <v>6.1875</v>
      </c>
      <c r="L18" s="1">
        <f>[4]players_B_BoldBr00_rushing_and_!O$5+[5]players_V_VereSh00_rushing_and_!O$6</f>
        <v>98</v>
      </c>
      <c r="M18" s="1">
        <f>[4]players_B_BoldBr00_rushing_and_!P$5+[5]players_V_VereSh00_rushing_and_!P$6</f>
        <v>68</v>
      </c>
      <c r="N18" s="1">
        <f>[4]players_B_BoldBr00_rushing_and_!Q$5+[5]players_V_VereSh00_rushing_and_!Q$6</f>
        <v>579</v>
      </c>
      <c r="O18" s="3">
        <f t="shared" si="3"/>
        <v>8.514705882352942</v>
      </c>
      <c r="P18" s="1">
        <f>[4]players_B_BoldBr00_rushing_and_!S$5+[5]players_V_VereSh00_rushing_and_!S$6</f>
        <v>3</v>
      </c>
      <c r="Q18" s="1">
        <f>[4]players_B_BoldBr00_rushing_and_!T$5+[5]players_V_VereSh00_rushing_and_!T$6</f>
        <v>68</v>
      </c>
      <c r="R18" s="3">
        <f t="shared" si="4"/>
        <v>4.25</v>
      </c>
      <c r="S18" s="3">
        <f t="shared" si="5"/>
        <v>36.1875</v>
      </c>
      <c r="T18" s="1">
        <f>[4]players_B_BoldBr00_rushing_and_!W$5+[5]players_V_VereSh00_rushing_and_!W$6</f>
        <v>1058</v>
      </c>
      <c r="U18" s="3">
        <f t="shared" si="6"/>
        <v>66.125</v>
      </c>
      <c r="V18" s="1">
        <f>[4]players_B_BoldBr00_rushing_and_!X$5+[5]players_V_VereSh00_rushing_and_!X$6</f>
        <v>7</v>
      </c>
      <c r="W18" s="1">
        <f>[4]players_B_BoldBr00_rushing_and_!Y$5+[5]players_V_VereSh00_rushing_and_!Y$6</f>
        <v>1</v>
      </c>
      <c r="X18" s="1">
        <f>[4]players_B_BoldBr00_rushing_and_!Z$5+[5]players_V_VereSh00_rushing_and_!Z$6</f>
        <v>8</v>
      </c>
      <c r="Y18" s="6"/>
      <c r="Z18" s="19">
        <f t="shared" si="7"/>
        <v>0.1333179829610868</v>
      </c>
      <c r="AA18" s="6">
        <v>2065</v>
      </c>
      <c r="AB18" s="1">
        <v>4343</v>
      </c>
    </row>
    <row r="19" spans="1:28" ht="15" customHeight="1" x14ac:dyDescent="0.25">
      <c r="A19" s="1" t="s">
        <v>26</v>
      </c>
      <c r="B19" s="1">
        <v>2014</v>
      </c>
      <c r="C19" s="11">
        <f>ROUND([5]players_V_VereSh00_rushing_and_!F$7,3)</f>
        <v>16</v>
      </c>
      <c r="D19" s="11">
        <f>ROUND([5]players_V_VereSh00_rushing_and_!G$7,3)</f>
        <v>6</v>
      </c>
      <c r="E19" s="11">
        <f>ROUND([5]players_V_VereSh00_rushing_and_!H$7,3)</f>
        <v>96</v>
      </c>
      <c r="F19" s="11">
        <f>ROUND([5]players_V_VereSh00_rushing_and_!I$7,3)</f>
        <v>391</v>
      </c>
      <c r="G19" s="11">
        <f>ROUND([5]players_V_VereSh00_rushing_and_!J$7,3)</f>
        <v>2</v>
      </c>
      <c r="H19" s="11">
        <f>ROUND([5]players_V_VereSh00_rushing_and_!K$7,3)</f>
        <v>19</v>
      </c>
      <c r="I19" s="3">
        <f t="shared" si="0"/>
        <v>4.072916666666667</v>
      </c>
      <c r="J19" s="3">
        <f t="shared" si="1"/>
        <v>24.4375</v>
      </c>
      <c r="K19" s="3">
        <f t="shared" si="2"/>
        <v>6</v>
      </c>
      <c r="L19" s="1">
        <f>[5]players_V_VereSh00_rushing_and_!O$7</f>
        <v>77</v>
      </c>
      <c r="M19" s="1">
        <f>[5]players_V_VereSh00_rushing_and_!P$7</f>
        <v>52</v>
      </c>
      <c r="N19" s="3">
        <f>[5]players_V_VereSh00_rushing_and_!Q$7</f>
        <v>447</v>
      </c>
      <c r="O19" s="1">
        <f t="shared" si="3"/>
        <v>8.5961538461538467</v>
      </c>
      <c r="P19" s="1">
        <f>[5]players_V_VereSh00_rushing_and_!S$7</f>
        <v>3</v>
      </c>
      <c r="Q19" s="3">
        <f>[5]players_V_VereSh00_rushing_and_!T$7</f>
        <v>49</v>
      </c>
      <c r="R19" s="3">
        <f t="shared" si="4"/>
        <v>3.25</v>
      </c>
      <c r="S19" s="1">
        <f t="shared" si="5"/>
        <v>27.9375</v>
      </c>
      <c r="T19" s="3">
        <f>[5]players_V_VereSh00_rushing_and_!W$7</f>
        <v>838</v>
      </c>
      <c r="U19" s="1">
        <f t="shared" si="6"/>
        <v>52.375</v>
      </c>
      <c r="V19" s="1">
        <f>[5]players_V_VereSh00_rushing_and_!X$7</f>
        <v>5</v>
      </c>
      <c r="W19" s="1">
        <f>[5]players_V_VereSh00_rushing_and_!Y$7</f>
        <v>0</v>
      </c>
      <c r="X19" s="1">
        <f>[5]players_V_VereSh00_rushing_and_!Z$7</f>
        <v>8</v>
      </c>
      <c r="Y19" s="6"/>
      <c r="Z19" s="19">
        <f t="shared" si="7"/>
        <v>0.10878559260160622</v>
      </c>
      <c r="AA19" s="6">
        <v>1727</v>
      </c>
      <c r="AB19" s="1">
        <v>4109</v>
      </c>
    </row>
    <row r="20" spans="1:28" ht="15" customHeight="1" x14ac:dyDescent="0.25">
      <c r="D20" s="3">
        <f>AVERAGE(D4:D19)</f>
        <v>4.5625</v>
      </c>
      <c r="E20" s="3">
        <f t="shared" ref="E20:X20" si="8">AVERAGE(E4:E19)</f>
        <v>87.625</v>
      </c>
      <c r="F20" s="3">
        <f t="shared" si="8"/>
        <v>378.875</v>
      </c>
      <c r="G20" s="3">
        <f t="shared" si="8"/>
        <v>2.1875</v>
      </c>
      <c r="H20" s="3">
        <f t="shared" si="8"/>
        <v>31.5</v>
      </c>
      <c r="I20" s="3">
        <f>(SUM($F$4:$F$19)/SUM(E4:E19))</f>
        <v>4.3238231098430813</v>
      </c>
      <c r="J20" s="3">
        <f>(SUM($F$4:$F$19)/SUM(C4:C19))</f>
        <v>24.742857142857144</v>
      </c>
      <c r="K20" s="3">
        <f t="shared" si="8"/>
        <v>5.7103693181818178</v>
      </c>
      <c r="L20" s="3">
        <f t="shared" si="8"/>
        <v>58.75</v>
      </c>
      <c r="M20" s="3">
        <f t="shared" si="8"/>
        <v>43.3125</v>
      </c>
      <c r="N20" s="3">
        <f t="shared" si="8"/>
        <v>384.4375</v>
      </c>
      <c r="O20" s="3">
        <f t="shared" si="8"/>
        <v>8.8116017789650893</v>
      </c>
      <c r="P20" s="3">
        <f t="shared" si="8"/>
        <v>1.5625</v>
      </c>
      <c r="Q20" s="3">
        <f t="shared" si="8"/>
        <v>40.625</v>
      </c>
      <c r="R20" s="3">
        <f t="shared" si="8"/>
        <v>2.794223484848485</v>
      </c>
      <c r="S20" s="3">
        <f t="shared" si="8"/>
        <v>24.761505681818186</v>
      </c>
      <c r="T20" s="3">
        <f t="shared" si="8"/>
        <v>763.3125</v>
      </c>
      <c r="U20" s="3">
        <f t="shared" si="8"/>
        <v>49.376278409090908</v>
      </c>
      <c r="V20" s="3">
        <f t="shared" si="8"/>
        <v>3.75</v>
      </c>
      <c r="W20" s="3">
        <f t="shared" si="8"/>
        <v>2</v>
      </c>
      <c r="X20" s="3">
        <f t="shared" si="8"/>
        <v>7.25</v>
      </c>
      <c r="Y20" s="6"/>
      <c r="Z20" s="6"/>
      <c r="AA20" s="6"/>
      <c r="AB20" s="6"/>
    </row>
    <row r="21" spans="1:28" ht="15" customHeight="1" x14ac:dyDescent="0.25"/>
    <row r="22" spans="1:28" ht="15" customHeight="1" x14ac:dyDescent="0.25"/>
    <row r="23" spans="1:28" ht="15" customHeight="1" x14ac:dyDescent="0.25">
      <c r="A23" s="8" t="s">
        <v>27</v>
      </c>
      <c r="B23" s="8">
        <v>2015</v>
      </c>
      <c r="C23" s="8">
        <f>[6]players_L_LewiDi00_rushing_and_!F$7</f>
        <v>7</v>
      </c>
      <c r="D23" s="8">
        <f>[6]players_L_LewiDi00_rushing_and_!G$7</f>
        <v>6</v>
      </c>
      <c r="E23" s="8">
        <f>[6]players_L_LewiDi00_rushing_and_!H$7</f>
        <v>49</v>
      </c>
      <c r="F23" s="8">
        <f>[6]players_L_LewiDi00_rushing_and_!I$7</f>
        <v>234</v>
      </c>
      <c r="G23" s="8">
        <f>[6]players_L_LewiDi00_rushing_and_!J$7</f>
        <v>2</v>
      </c>
      <c r="H23" s="8">
        <f>[6]players_L_LewiDi00_rushing_and_!K$7</f>
        <v>13</v>
      </c>
      <c r="I23" s="10">
        <f>F23/E23</f>
        <v>4.7755102040816331</v>
      </c>
      <c r="J23" s="10">
        <f>F23/C23</f>
        <v>33.428571428571431</v>
      </c>
      <c r="K23" s="10">
        <f>E23/C23</f>
        <v>7</v>
      </c>
      <c r="L23" s="8">
        <f>[6]players_L_LewiDi00_rushing_and_!O$7</f>
        <v>50</v>
      </c>
      <c r="M23" s="8">
        <f>[6]players_L_LewiDi00_rushing_and_!P$7</f>
        <v>36</v>
      </c>
      <c r="N23" s="8">
        <f>[6]players_L_LewiDi00_rushing_and_!Q$7</f>
        <v>388</v>
      </c>
      <c r="O23" s="10">
        <f>N23/M23</f>
        <v>10.777777777777779</v>
      </c>
      <c r="P23" s="8">
        <f>[6]players_L_LewiDi00_rushing_and_!S$7</f>
        <v>2</v>
      </c>
      <c r="Q23" s="8">
        <f>[6]players_L_LewiDi00_rushing_and_!T$7</f>
        <v>40</v>
      </c>
      <c r="R23" s="10">
        <f>M23/C23</f>
        <v>5.1428571428571432</v>
      </c>
      <c r="S23" s="10">
        <f>N23/C23</f>
        <v>55.428571428571431</v>
      </c>
      <c r="T23" s="8">
        <f>[6]players_L_LewiDi00_rushing_and_!W$7</f>
        <v>622</v>
      </c>
      <c r="U23" s="10">
        <f>T23/C23</f>
        <v>88.857142857142861</v>
      </c>
      <c r="V23" s="8">
        <f>[6]players_L_LewiDi00_rushing_and_!X$7</f>
        <v>4</v>
      </c>
      <c r="W23" s="8">
        <f>[6]players_L_LewiDi00_rushing_and_!Y$7</f>
        <v>2</v>
      </c>
      <c r="X23" s="8">
        <f>[6]players_L_LewiDi00_rushing_and_!Z$7</f>
        <v>0</v>
      </c>
      <c r="AA23">
        <v>835</v>
      </c>
      <c r="AB23" s="1">
        <v>3043</v>
      </c>
    </row>
    <row r="24" spans="1:28" ht="15" customHeight="1" x14ac:dyDescent="0.25"/>
    <row r="25" spans="1:28" ht="15" customHeight="1" x14ac:dyDescent="0.25">
      <c r="A25" t="s">
        <v>52</v>
      </c>
      <c r="B25">
        <f>1/(C23/16)</f>
        <v>2.2857142857142856</v>
      </c>
    </row>
    <row r="26" spans="1:28" ht="15" customHeight="1" x14ac:dyDescent="0.25">
      <c r="A26" t="s">
        <v>53</v>
      </c>
      <c r="C26" s="21">
        <f>C23*$B$25</f>
        <v>16</v>
      </c>
      <c r="D26" s="21">
        <f t="shared" ref="D26:X26" si="9">D23*$B$25</f>
        <v>13.714285714285714</v>
      </c>
      <c r="E26" s="21">
        <f t="shared" si="9"/>
        <v>112</v>
      </c>
      <c r="F26" s="21">
        <f t="shared" si="9"/>
        <v>534.85714285714278</v>
      </c>
      <c r="G26" s="21">
        <f t="shared" si="9"/>
        <v>4.5714285714285712</v>
      </c>
      <c r="H26" s="21">
        <f t="shared" si="9"/>
        <v>29.714285714285712</v>
      </c>
      <c r="I26" s="10">
        <f>F26/E26</f>
        <v>4.7755102040816322</v>
      </c>
      <c r="J26" s="10">
        <f>F26/C26</f>
        <v>33.428571428571423</v>
      </c>
      <c r="K26" s="21">
        <f t="shared" si="9"/>
        <v>16</v>
      </c>
      <c r="L26" s="21">
        <f t="shared" si="9"/>
        <v>114.28571428571428</v>
      </c>
      <c r="M26" s="21">
        <f t="shared" si="9"/>
        <v>82.285714285714278</v>
      </c>
      <c r="N26" s="21">
        <f t="shared" si="9"/>
        <v>886.85714285714278</v>
      </c>
      <c r="O26" s="10">
        <f>N26/M26</f>
        <v>10.777777777777779</v>
      </c>
      <c r="P26" s="21">
        <f t="shared" si="9"/>
        <v>4.5714285714285712</v>
      </c>
      <c r="Q26" s="21">
        <f t="shared" si="9"/>
        <v>91.428571428571416</v>
      </c>
      <c r="R26" s="10">
        <f>M26/C26</f>
        <v>5.1428571428571423</v>
      </c>
      <c r="S26" s="10">
        <f>N26/C26</f>
        <v>55.428571428571423</v>
      </c>
      <c r="T26" s="21">
        <f t="shared" si="9"/>
        <v>1421.7142857142856</v>
      </c>
      <c r="U26" s="21">
        <f t="shared" si="9"/>
        <v>203.10204081632654</v>
      </c>
      <c r="V26" s="21">
        <f t="shared" si="9"/>
        <v>9.1428571428571423</v>
      </c>
      <c r="W26" s="21">
        <f t="shared" si="9"/>
        <v>4.5714285714285712</v>
      </c>
      <c r="X26" s="21">
        <f t="shared" si="9"/>
        <v>0</v>
      </c>
    </row>
    <row r="27" spans="1:28" ht="15" customHeight="1" x14ac:dyDescent="0.25">
      <c r="A27" t="s">
        <v>52</v>
      </c>
      <c r="B27">
        <f>9/16</f>
        <v>0.5625</v>
      </c>
    </row>
    <row r="28" spans="1:28" ht="15" customHeight="1" x14ac:dyDescent="0.25">
      <c r="A28" t="s">
        <v>54</v>
      </c>
      <c r="C28">
        <v>16</v>
      </c>
      <c r="D28" s="20">
        <f>$B$27*D20</f>
        <v>2.56640625</v>
      </c>
      <c r="E28" s="20">
        <f t="shared" ref="E28:X28" si="10">$B$27*E20</f>
        <v>49.2890625</v>
      </c>
      <c r="F28" s="20">
        <f t="shared" si="10"/>
        <v>213.1171875</v>
      </c>
      <c r="G28" s="20">
        <f t="shared" si="10"/>
        <v>1.23046875</v>
      </c>
      <c r="H28" s="20">
        <v>31.5</v>
      </c>
      <c r="I28" s="10">
        <f>F28/E28</f>
        <v>4.3238231098430813</v>
      </c>
      <c r="J28" s="10">
        <f>F28/C28</f>
        <v>13.31982421875</v>
      </c>
      <c r="K28" s="20">
        <v>5.7</v>
      </c>
      <c r="L28" s="20">
        <f t="shared" si="10"/>
        <v>33.046875</v>
      </c>
      <c r="M28" s="20">
        <f t="shared" si="10"/>
        <v>24.36328125</v>
      </c>
      <c r="N28" s="22">
        <f t="shared" si="10"/>
        <v>216.24609375</v>
      </c>
      <c r="O28" s="10">
        <f>N28/M28</f>
        <v>8.8759018759018762</v>
      </c>
      <c r="P28" s="20">
        <f t="shared" si="10"/>
        <v>0.87890625</v>
      </c>
      <c r="Q28" s="20">
        <v>46</v>
      </c>
      <c r="R28" s="10">
        <f>M28/C28</f>
        <v>1.522705078125</v>
      </c>
      <c r="S28" s="10">
        <f>N28/C28</f>
        <v>13.515380859375</v>
      </c>
      <c r="T28" s="20">
        <f t="shared" si="10"/>
        <v>429.36328125</v>
      </c>
      <c r="U28" s="20">
        <f t="shared" si="10"/>
        <v>27.774156605113635</v>
      </c>
      <c r="V28" s="20">
        <f t="shared" si="10"/>
        <v>2.109375</v>
      </c>
      <c r="W28" s="20">
        <f t="shared" si="10"/>
        <v>1.125</v>
      </c>
      <c r="X28" s="20">
        <f t="shared" si="10"/>
        <v>4.078125</v>
      </c>
    </row>
    <row r="29" spans="1:28" ht="15" customHeight="1" x14ac:dyDescent="0.25"/>
    <row r="30" spans="1:28" ht="15" customHeight="1" x14ac:dyDescent="0.25"/>
    <row r="31" spans="1:28" ht="15" customHeight="1" x14ac:dyDescent="0.25"/>
    <row r="32" spans="1:2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I1" sqref="I1"/>
    </sheetView>
  </sheetViews>
  <sheetFormatPr defaultRowHeight="15" x14ac:dyDescent="0.25"/>
  <sheetData>
    <row r="1" spans="1:31" x14ac:dyDescent="0.25">
      <c r="A1" s="14" t="s">
        <v>34</v>
      </c>
      <c r="B1" s="15">
        <v>24</v>
      </c>
      <c r="C1" s="14" t="s">
        <v>35</v>
      </c>
      <c r="D1" s="13" t="s">
        <v>36</v>
      </c>
      <c r="E1" s="15">
        <v>12</v>
      </c>
      <c r="F1" s="15">
        <v>15</v>
      </c>
      <c r="G1" s="15">
        <v>14</v>
      </c>
      <c r="H1" s="16">
        <v>36833</v>
      </c>
      <c r="I1" s="15"/>
      <c r="J1" s="15">
        <v>413</v>
      </c>
      <c r="K1" s="15">
        <v>63.9</v>
      </c>
      <c r="L1" s="15">
        <v>2843</v>
      </c>
      <c r="M1" s="15">
        <v>18</v>
      </c>
      <c r="N1" s="15">
        <v>4.4000000000000004</v>
      </c>
      <c r="O1" s="15">
        <v>12</v>
      </c>
      <c r="P1" s="15">
        <v>2.9</v>
      </c>
      <c r="Q1" s="15">
        <v>91</v>
      </c>
      <c r="R1" s="15">
        <v>6.9</v>
      </c>
      <c r="S1" s="15">
        <v>6.4</v>
      </c>
      <c r="T1" s="15">
        <v>10.8</v>
      </c>
      <c r="U1" s="15">
        <v>189.5</v>
      </c>
      <c r="V1" s="15">
        <v>86.5</v>
      </c>
      <c r="W1" s="15"/>
      <c r="X1" s="15">
        <v>41</v>
      </c>
      <c r="Y1" s="15">
        <v>216</v>
      </c>
      <c r="Z1" s="15">
        <v>5.79</v>
      </c>
      <c r="AA1" s="15">
        <v>5.39</v>
      </c>
      <c r="AB1" s="15">
        <v>9</v>
      </c>
      <c r="AC1" s="15">
        <v>4</v>
      </c>
      <c r="AD1" s="17">
        <v>5</v>
      </c>
      <c r="AE1" s="15">
        <v>12</v>
      </c>
    </row>
    <row r="2" spans="1:31" x14ac:dyDescent="0.25">
      <c r="A2" s="14">
        <v>2002</v>
      </c>
      <c r="B2" s="15">
        <v>25</v>
      </c>
      <c r="C2" s="14" t="s">
        <v>35</v>
      </c>
      <c r="D2" s="13" t="s">
        <v>36</v>
      </c>
      <c r="E2" s="15">
        <v>12</v>
      </c>
      <c r="F2" s="15">
        <v>16</v>
      </c>
      <c r="G2" s="15">
        <v>16</v>
      </c>
      <c r="H2" s="16">
        <v>36776</v>
      </c>
      <c r="I2" s="15">
        <v>373</v>
      </c>
      <c r="J2" s="15">
        <v>601</v>
      </c>
      <c r="K2" s="15">
        <v>62.1</v>
      </c>
      <c r="L2" s="15">
        <v>3764</v>
      </c>
      <c r="M2" s="17">
        <v>28</v>
      </c>
      <c r="N2" s="15">
        <v>4.7</v>
      </c>
      <c r="O2" s="15">
        <v>14</v>
      </c>
      <c r="P2" s="15">
        <v>2.2999999999999998</v>
      </c>
      <c r="Q2" s="15">
        <v>49</v>
      </c>
      <c r="R2" s="15">
        <v>6.3</v>
      </c>
      <c r="S2" s="15">
        <v>6.1</v>
      </c>
      <c r="T2" s="15">
        <v>10.1</v>
      </c>
      <c r="U2" s="15">
        <v>235.3</v>
      </c>
      <c r="V2" s="15">
        <v>85.7</v>
      </c>
      <c r="W2" s="15"/>
      <c r="X2" s="15">
        <v>31</v>
      </c>
      <c r="Y2" s="15">
        <v>190</v>
      </c>
      <c r="Z2" s="15">
        <v>5.66</v>
      </c>
      <c r="AA2" s="15">
        <v>5.54</v>
      </c>
      <c r="AB2" s="15">
        <v>4.9000000000000004</v>
      </c>
      <c r="AC2" s="15">
        <v>2</v>
      </c>
      <c r="AD2" s="15">
        <v>3</v>
      </c>
      <c r="AE2" s="15">
        <v>13</v>
      </c>
    </row>
    <row r="3" spans="1:31" x14ac:dyDescent="0.25">
      <c r="A3" s="14">
        <v>2003</v>
      </c>
      <c r="B3" s="15">
        <v>26</v>
      </c>
      <c r="C3" s="14" t="s">
        <v>35</v>
      </c>
      <c r="D3" s="13" t="s">
        <v>36</v>
      </c>
      <c r="E3" s="15">
        <v>12</v>
      </c>
      <c r="F3" s="15">
        <v>16</v>
      </c>
      <c r="G3" s="15">
        <v>16</v>
      </c>
      <c r="H3" s="15" t="s">
        <v>37</v>
      </c>
      <c r="I3" s="15">
        <v>317</v>
      </c>
      <c r="J3" s="15">
        <v>527</v>
      </c>
      <c r="K3" s="15">
        <v>60.2</v>
      </c>
      <c r="L3" s="15">
        <v>3620</v>
      </c>
      <c r="M3" s="15">
        <v>23</v>
      </c>
      <c r="N3" s="15">
        <v>4.4000000000000004</v>
      </c>
      <c r="O3" s="15">
        <v>12</v>
      </c>
      <c r="P3" s="15">
        <v>2.2999999999999998</v>
      </c>
      <c r="Q3" s="15">
        <v>82</v>
      </c>
      <c r="R3" s="15">
        <v>6.9</v>
      </c>
      <c r="S3" s="15">
        <v>6.7</v>
      </c>
      <c r="T3" s="15">
        <v>11.4</v>
      </c>
      <c r="U3" s="15">
        <v>226.3</v>
      </c>
      <c r="V3" s="15">
        <v>85.9</v>
      </c>
      <c r="W3" s="15"/>
      <c r="X3" s="15">
        <v>32</v>
      </c>
      <c r="Y3" s="15">
        <v>219</v>
      </c>
      <c r="Z3" s="15">
        <v>6.08</v>
      </c>
      <c r="AA3" s="15">
        <v>5.94</v>
      </c>
      <c r="AB3" s="15">
        <v>5.7</v>
      </c>
      <c r="AC3" s="15">
        <v>4</v>
      </c>
      <c r="AD3" s="15">
        <v>7</v>
      </c>
      <c r="AE3" s="15">
        <v>11</v>
      </c>
    </row>
    <row r="4" spans="1:31" x14ac:dyDescent="0.25">
      <c r="A4" s="14" t="s">
        <v>38</v>
      </c>
      <c r="B4" s="15">
        <v>27</v>
      </c>
      <c r="C4" s="14" t="s">
        <v>35</v>
      </c>
      <c r="D4" s="13" t="s">
        <v>36</v>
      </c>
      <c r="E4" s="15">
        <v>12</v>
      </c>
      <c r="F4" s="15">
        <v>16</v>
      </c>
      <c r="G4" s="15">
        <v>16</v>
      </c>
      <c r="H4" s="15" t="s">
        <v>37</v>
      </c>
      <c r="I4" s="15">
        <v>288</v>
      </c>
      <c r="J4" s="15">
        <v>474</v>
      </c>
      <c r="K4" s="15">
        <v>60.8</v>
      </c>
      <c r="L4" s="15">
        <v>3692</v>
      </c>
      <c r="M4" s="15">
        <v>28</v>
      </c>
      <c r="N4" s="15">
        <v>5.9</v>
      </c>
      <c r="O4" s="15">
        <v>14</v>
      </c>
      <c r="P4" s="15">
        <v>3</v>
      </c>
      <c r="Q4" s="15">
        <v>50</v>
      </c>
      <c r="R4" s="15">
        <v>7.8</v>
      </c>
      <c r="S4" s="15">
        <v>7.6</v>
      </c>
      <c r="T4" s="15">
        <v>12.8</v>
      </c>
      <c r="U4" s="15">
        <v>230.8</v>
      </c>
      <c r="V4" s="15">
        <v>92.6</v>
      </c>
      <c r="W4" s="15"/>
      <c r="X4" s="15">
        <v>26</v>
      </c>
      <c r="Y4" s="15">
        <v>162</v>
      </c>
      <c r="Z4" s="15">
        <v>7.06</v>
      </c>
      <c r="AA4" s="15">
        <v>6.92</v>
      </c>
      <c r="AB4" s="15">
        <v>5.2</v>
      </c>
      <c r="AC4" s="15">
        <v>0</v>
      </c>
      <c r="AD4" s="15">
        <v>2</v>
      </c>
      <c r="AE4" s="15">
        <v>15</v>
      </c>
    </row>
    <row r="5" spans="1:31" x14ac:dyDescent="0.25">
      <c r="A5" s="14" t="s">
        <v>39</v>
      </c>
      <c r="B5" s="15">
        <v>28</v>
      </c>
      <c r="C5" s="14" t="s">
        <v>35</v>
      </c>
      <c r="D5" s="13" t="s">
        <v>36</v>
      </c>
      <c r="E5" s="15">
        <v>12</v>
      </c>
      <c r="F5" s="15">
        <v>16</v>
      </c>
      <c r="G5" s="15">
        <v>16</v>
      </c>
      <c r="H5" s="16">
        <v>36805</v>
      </c>
      <c r="I5" s="15">
        <v>334</v>
      </c>
      <c r="J5" s="15">
        <v>530</v>
      </c>
      <c r="K5" s="15">
        <v>63</v>
      </c>
      <c r="L5" s="17">
        <v>4110</v>
      </c>
      <c r="M5" s="15">
        <v>26</v>
      </c>
      <c r="N5" s="15">
        <v>4.9000000000000004</v>
      </c>
      <c r="O5" s="15">
        <v>14</v>
      </c>
      <c r="P5" s="15">
        <v>2.6</v>
      </c>
      <c r="Q5" s="15">
        <v>71</v>
      </c>
      <c r="R5" s="15">
        <v>7.8</v>
      </c>
      <c r="S5" s="15">
        <v>7.5</v>
      </c>
      <c r="T5" s="15">
        <v>12.3</v>
      </c>
      <c r="U5" s="15">
        <v>256.89999999999998</v>
      </c>
      <c r="V5" s="15">
        <v>92.3</v>
      </c>
      <c r="W5" s="15"/>
      <c r="X5" s="15">
        <v>26</v>
      </c>
      <c r="Y5" s="15">
        <v>188</v>
      </c>
      <c r="Z5" s="15">
        <v>7.05</v>
      </c>
      <c r="AA5" s="15">
        <v>6.86</v>
      </c>
      <c r="AB5" s="15">
        <v>4.7</v>
      </c>
      <c r="AC5" s="15">
        <v>3</v>
      </c>
      <c r="AD5" s="15">
        <v>4</v>
      </c>
      <c r="AE5" s="15">
        <v>15</v>
      </c>
    </row>
    <row r="6" spans="1:31" x14ac:dyDescent="0.25">
      <c r="A6" s="14">
        <v>2006</v>
      </c>
      <c r="B6" s="15">
        <v>29</v>
      </c>
      <c r="C6" s="14" t="s">
        <v>35</v>
      </c>
      <c r="D6" s="13" t="s">
        <v>36</v>
      </c>
      <c r="E6" s="15">
        <v>12</v>
      </c>
      <c r="F6" s="15">
        <v>16</v>
      </c>
      <c r="G6" s="15">
        <v>16</v>
      </c>
      <c r="H6" s="16">
        <v>36864</v>
      </c>
      <c r="I6" s="15">
        <v>319</v>
      </c>
      <c r="J6" s="15">
        <v>516</v>
      </c>
      <c r="K6" s="15">
        <v>61.8</v>
      </c>
      <c r="L6" s="15">
        <v>3529</v>
      </c>
      <c r="M6" s="15">
        <v>24</v>
      </c>
      <c r="N6" s="15">
        <v>4.7</v>
      </c>
      <c r="O6" s="15">
        <v>12</v>
      </c>
      <c r="P6" s="15">
        <v>2.2999999999999998</v>
      </c>
      <c r="Q6" s="15">
        <v>62</v>
      </c>
      <c r="R6" s="15">
        <v>6.8</v>
      </c>
      <c r="S6" s="15">
        <v>6.7</v>
      </c>
      <c r="T6" s="15">
        <v>11.1</v>
      </c>
      <c r="U6" s="15">
        <v>220.6</v>
      </c>
      <c r="V6" s="15">
        <v>87.9</v>
      </c>
      <c r="W6" s="15">
        <v>58.17</v>
      </c>
      <c r="X6" s="15">
        <v>26</v>
      </c>
      <c r="Y6" s="15">
        <v>175</v>
      </c>
      <c r="Z6" s="15">
        <v>6.19</v>
      </c>
      <c r="AA6" s="15">
        <v>6.08</v>
      </c>
      <c r="AB6" s="15">
        <v>4.8</v>
      </c>
      <c r="AC6" s="15">
        <v>3</v>
      </c>
      <c r="AD6" s="15">
        <v>3</v>
      </c>
      <c r="AE6" s="15">
        <v>14</v>
      </c>
    </row>
    <row r="7" spans="1:31" x14ac:dyDescent="0.25">
      <c r="A7" s="14" t="s">
        <v>40</v>
      </c>
      <c r="B7" s="15">
        <v>30</v>
      </c>
      <c r="C7" s="14" t="s">
        <v>35</v>
      </c>
      <c r="D7" s="13" t="s">
        <v>36</v>
      </c>
      <c r="E7" s="15">
        <v>12</v>
      </c>
      <c r="F7" s="15">
        <v>16</v>
      </c>
      <c r="G7" s="15">
        <v>16</v>
      </c>
      <c r="H7" s="15" t="s">
        <v>41</v>
      </c>
      <c r="I7" s="15">
        <v>398</v>
      </c>
      <c r="J7" s="15">
        <v>578</v>
      </c>
      <c r="K7" s="17">
        <v>68.900000000000006</v>
      </c>
      <c r="L7" s="17">
        <v>4806</v>
      </c>
      <c r="M7" s="17">
        <v>50</v>
      </c>
      <c r="N7" s="17">
        <v>8.6999999999999993</v>
      </c>
      <c r="O7" s="15">
        <v>8</v>
      </c>
      <c r="P7" s="15">
        <v>1.4</v>
      </c>
      <c r="Q7" s="15">
        <v>69</v>
      </c>
      <c r="R7" s="17">
        <v>8.3000000000000007</v>
      </c>
      <c r="S7" s="17">
        <v>9.4</v>
      </c>
      <c r="T7" s="15">
        <v>12.1</v>
      </c>
      <c r="U7" s="17">
        <v>300.39999999999998</v>
      </c>
      <c r="V7" s="17">
        <v>117.2</v>
      </c>
      <c r="W7" s="17">
        <v>84.52</v>
      </c>
      <c r="X7" s="15">
        <v>21</v>
      </c>
      <c r="Y7" s="15">
        <v>128</v>
      </c>
      <c r="Z7" s="17">
        <v>7.81</v>
      </c>
      <c r="AA7" s="17">
        <v>8.8800000000000008</v>
      </c>
      <c r="AB7" s="15">
        <v>3.5</v>
      </c>
      <c r="AC7" s="15">
        <v>4</v>
      </c>
      <c r="AD7" s="15">
        <v>4</v>
      </c>
      <c r="AE7" s="17">
        <v>24</v>
      </c>
    </row>
    <row r="8" spans="1:31" x14ac:dyDescent="0.25">
      <c r="A8" s="14">
        <v>2008</v>
      </c>
      <c r="B8" s="15">
        <v>31</v>
      </c>
      <c r="C8" s="14" t="s">
        <v>35</v>
      </c>
      <c r="D8" s="13"/>
      <c r="E8" s="15">
        <v>12</v>
      </c>
      <c r="F8" s="15">
        <v>1</v>
      </c>
      <c r="G8" s="15">
        <v>1</v>
      </c>
      <c r="H8" s="15" t="s">
        <v>42</v>
      </c>
      <c r="I8" s="15">
        <v>7</v>
      </c>
      <c r="J8" s="15">
        <v>11</v>
      </c>
      <c r="K8" s="15">
        <v>63.6</v>
      </c>
      <c r="L8" s="15">
        <v>76</v>
      </c>
      <c r="M8" s="15">
        <v>0</v>
      </c>
      <c r="N8" s="15">
        <v>0</v>
      </c>
      <c r="O8" s="15">
        <v>0</v>
      </c>
      <c r="P8" s="15">
        <v>0</v>
      </c>
      <c r="Q8" s="15">
        <v>26</v>
      </c>
      <c r="R8" s="15">
        <v>6.9</v>
      </c>
      <c r="S8" s="15">
        <v>6.9</v>
      </c>
      <c r="T8" s="15">
        <v>10.9</v>
      </c>
      <c r="U8" s="15">
        <v>76</v>
      </c>
      <c r="V8" s="15">
        <v>83.9</v>
      </c>
      <c r="W8" s="15">
        <v>59.23</v>
      </c>
      <c r="X8" s="15">
        <v>0</v>
      </c>
      <c r="Y8" s="15">
        <v>0</v>
      </c>
      <c r="Z8" s="15">
        <v>6.91</v>
      </c>
      <c r="AA8" s="15">
        <v>6.91</v>
      </c>
      <c r="AB8" s="15">
        <v>0</v>
      </c>
      <c r="AC8" s="15"/>
      <c r="AD8" s="15"/>
      <c r="AE8" s="15">
        <v>0</v>
      </c>
    </row>
    <row r="9" spans="1:31" x14ac:dyDescent="0.25">
      <c r="A9" s="14" t="s">
        <v>43</v>
      </c>
      <c r="B9" s="15">
        <v>32</v>
      </c>
      <c r="C9" s="14" t="s">
        <v>35</v>
      </c>
      <c r="D9" s="13" t="s">
        <v>36</v>
      </c>
      <c r="E9" s="15">
        <v>12</v>
      </c>
      <c r="F9" s="15">
        <v>16</v>
      </c>
      <c r="G9" s="15">
        <v>16</v>
      </c>
      <c r="H9" s="16">
        <v>36805</v>
      </c>
      <c r="I9" s="15">
        <v>371</v>
      </c>
      <c r="J9" s="15">
        <v>565</v>
      </c>
      <c r="K9" s="15">
        <v>65.7</v>
      </c>
      <c r="L9" s="15">
        <v>4398</v>
      </c>
      <c r="M9" s="15">
        <v>28</v>
      </c>
      <c r="N9" s="15">
        <v>5</v>
      </c>
      <c r="O9" s="15">
        <v>13</v>
      </c>
      <c r="P9" s="15">
        <v>2.2999999999999998</v>
      </c>
      <c r="Q9" s="15">
        <v>81</v>
      </c>
      <c r="R9" s="15">
        <v>7.8</v>
      </c>
      <c r="S9" s="15">
        <v>7.7</v>
      </c>
      <c r="T9" s="15">
        <v>11.9</v>
      </c>
      <c r="U9" s="15">
        <v>274.89999999999998</v>
      </c>
      <c r="V9" s="15">
        <v>96.2</v>
      </c>
      <c r="W9" s="15">
        <v>64.959999999999994</v>
      </c>
      <c r="X9" s="15">
        <v>16</v>
      </c>
      <c r="Y9" s="15">
        <v>86</v>
      </c>
      <c r="Z9" s="15">
        <v>7.42</v>
      </c>
      <c r="AA9" s="15">
        <v>7.38</v>
      </c>
      <c r="AB9" s="15">
        <v>2.8</v>
      </c>
      <c r="AC9" s="15">
        <v>1</v>
      </c>
      <c r="AD9" s="15">
        <v>1</v>
      </c>
      <c r="AE9" s="15">
        <v>16</v>
      </c>
    </row>
    <row r="10" spans="1:31" x14ac:dyDescent="0.25">
      <c r="A10" s="14" t="s">
        <v>44</v>
      </c>
      <c r="B10" s="15">
        <v>33</v>
      </c>
      <c r="C10" s="14" t="s">
        <v>35</v>
      </c>
      <c r="D10" s="13" t="s">
        <v>36</v>
      </c>
      <c r="E10" s="15">
        <v>12</v>
      </c>
      <c r="F10" s="15">
        <v>16</v>
      </c>
      <c r="G10" s="15">
        <v>16</v>
      </c>
      <c r="H10" s="15" t="s">
        <v>37</v>
      </c>
      <c r="I10" s="15">
        <v>324</v>
      </c>
      <c r="J10" s="15">
        <v>492</v>
      </c>
      <c r="K10" s="15">
        <v>65.900000000000006</v>
      </c>
      <c r="L10" s="15">
        <v>3900</v>
      </c>
      <c r="M10" s="17">
        <v>36</v>
      </c>
      <c r="N10" s="17">
        <v>7.3</v>
      </c>
      <c r="O10" s="15">
        <v>4</v>
      </c>
      <c r="P10" s="17">
        <v>0.8</v>
      </c>
      <c r="Q10" s="15">
        <v>79</v>
      </c>
      <c r="R10" s="15">
        <v>7.9</v>
      </c>
      <c r="S10" s="17">
        <v>9</v>
      </c>
      <c r="T10" s="15">
        <v>12</v>
      </c>
      <c r="U10" s="15">
        <v>243.8</v>
      </c>
      <c r="V10" s="17">
        <v>111</v>
      </c>
      <c r="W10" s="15">
        <v>71.97</v>
      </c>
      <c r="X10" s="15">
        <v>25</v>
      </c>
      <c r="Y10" s="15">
        <v>175</v>
      </c>
      <c r="Z10" s="15">
        <v>7.21</v>
      </c>
      <c r="AA10" s="17">
        <v>8.25</v>
      </c>
      <c r="AB10" s="15">
        <v>4.8</v>
      </c>
      <c r="AC10" s="15">
        <v>2</v>
      </c>
      <c r="AD10" s="15">
        <v>3</v>
      </c>
      <c r="AE10" s="15">
        <v>18</v>
      </c>
    </row>
    <row r="11" spans="1:31" x14ac:dyDescent="0.25">
      <c r="A11" s="14" t="s">
        <v>45</v>
      </c>
      <c r="B11" s="15">
        <v>34</v>
      </c>
      <c r="C11" s="14" t="s">
        <v>35</v>
      </c>
      <c r="D11" s="13" t="s">
        <v>36</v>
      </c>
      <c r="E11" s="15">
        <v>12</v>
      </c>
      <c r="F11" s="15">
        <v>16</v>
      </c>
      <c r="G11" s="15">
        <v>16</v>
      </c>
      <c r="H11" s="15" t="s">
        <v>46</v>
      </c>
      <c r="I11" s="15">
        <v>401</v>
      </c>
      <c r="J11" s="15">
        <v>611</v>
      </c>
      <c r="K11" s="15">
        <v>65.599999999999994</v>
      </c>
      <c r="L11" s="15">
        <v>5235</v>
      </c>
      <c r="M11" s="15">
        <v>39</v>
      </c>
      <c r="N11" s="15">
        <v>6.4</v>
      </c>
      <c r="O11" s="15">
        <v>12</v>
      </c>
      <c r="P11" s="15">
        <v>2</v>
      </c>
      <c r="Q11" s="17">
        <v>99</v>
      </c>
      <c r="R11" s="15">
        <v>8.6</v>
      </c>
      <c r="S11" s="15">
        <v>9</v>
      </c>
      <c r="T11" s="15">
        <v>13.1</v>
      </c>
      <c r="U11" s="15">
        <v>327.2</v>
      </c>
      <c r="V11" s="15">
        <v>105.6</v>
      </c>
      <c r="W11" s="15">
        <v>67.91</v>
      </c>
      <c r="X11" s="15">
        <v>32</v>
      </c>
      <c r="Y11" s="15">
        <v>173</v>
      </c>
      <c r="Z11" s="15">
        <v>7.87</v>
      </c>
      <c r="AA11" s="15">
        <v>8.25</v>
      </c>
      <c r="AB11" s="15">
        <v>5</v>
      </c>
      <c r="AC11" s="15">
        <v>2</v>
      </c>
      <c r="AD11" s="15">
        <v>3</v>
      </c>
      <c r="AE11" s="15">
        <v>21</v>
      </c>
    </row>
    <row r="12" spans="1:31" x14ac:dyDescent="0.25">
      <c r="A12" s="14" t="s">
        <v>47</v>
      </c>
      <c r="B12" s="15">
        <v>35</v>
      </c>
      <c r="C12" s="14" t="s">
        <v>35</v>
      </c>
      <c r="D12" s="13" t="s">
        <v>36</v>
      </c>
      <c r="E12" s="15">
        <v>12</v>
      </c>
      <c r="F12" s="15">
        <v>16</v>
      </c>
      <c r="G12" s="15">
        <v>16</v>
      </c>
      <c r="H12" s="16">
        <v>36864</v>
      </c>
      <c r="I12" s="15">
        <v>401</v>
      </c>
      <c r="J12" s="15">
        <v>637</v>
      </c>
      <c r="K12" s="15">
        <v>63</v>
      </c>
      <c r="L12" s="15">
        <v>4827</v>
      </c>
      <c r="M12" s="15">
        <v>34</v>
      </c>
      <c r="N12" s="15">
        <v>5.3</v>
      </c>
      <c r="O12" s="15">
        <v>8</v>
      </c>
      <c r="P12" s="17">
        <v>1.3</v>
      </c>
      <c r="Q12" s="15">
        <v>83</v>
      </c>
      <c r="R12" s="15">
        <v>7.6</v>
      </c>
      <c r="S12" s="15">
        <v>8.1</v>
      </c>
      <c r="T12" s="15">
        <v>12</v>
      </c>
      <c r="U12" s="15">
        <v>301.7</v>
      </c>
      <c r="V12" s="15">
        <v>98.7</v>
      </c>
      <c r="W12" s="15">
        <v>76.7</v>
      </c>
      <c r="X12" s="15">
        <v>27</v>
      </c>
      <c r="Y12" s="15">
        <v>182</v>
      </c>
      <c r="Z12" s="15">
        <v>7</v>
      </c>
      <c r="AA12" s="15">
        <v>7.48</v>
      </c>
      <c r="AB12" s="15">
        <v>4.0999999999999996</v>
      </c>
      <c r="AC12" s="15">
        <v>1</v>
      </c>
      <c r="AD12" s="15">
        <v>2</v>
      </c>
      <c r="AE12" s="15">
        <v>18</v>
      </c>
    </row>
    <row r="13" spans="1:31" x14ac:dyDescent="0.25">
      <c r="A13" s="14" t="s">
        <v>48</v>
      </c>
      <c r="B13" s="15">
        <v>36</v>
      </c>
      <c r="C13" s="14" t="s">
        <v>35</v>
      </c>
      <c r="D13" s="13" t="s">
        <v>36</v>
      </c>
      <c r="E13" s="15">
        <v>12</v>
      </c>
      <c r="F13" s="15">
        <v>16</v>
      </c>
      <c r="G13" s="15">
        <v>16</v>
      </c>
      <c r="H13" s="16">
        <v>36864</v>
      </c>
      <c r="I13" s="15">
        <v>380</v>
      </c>
      <c r="J13" s="15">
        <v>628</v>
      </c>
      <c r="K13" s="15">
        <v>60.5</v>
      </c>
      <c r="L13" s="15">
        <v>4343</v>
      </c>
      <c r="M13" s="15">
        <v>25</v>
      </c>
      <c r="N13" s="15">
        <v>4</v>
      </c>
      <c r="O13" s="15">
        <v>11</v>
      </c>
      <c r="P13" s="15">
        <v>1.8</v>
      </c>
      <c r="Q13" s="15">
        <v>81</v>
      </c>
      <c r="R13" s="15">
        <v>6.9</v>
      </c>
      <c r="S13" s="15">
        <v>6.9</v>
      </c>
      <c r="T13" s="15">
        <v>11.4</v>
      </c>
      <c r="U13" s="15">
        <v>271.39999999999998</v>
      </c>
      <c r="V13" s="15">
        <v>87.3</v>
      </c>
      <c r="W13" s="15">
        <v>60</v>
      </c>
      <c r="X13" s="15">
        <v>40</v>
      </c>
      <c r="Y13" s="15">
        <v>256</v>
      </c>
      <c r="Z13" s="15">
        <v>6.12</v>
      </c>
      <c r="AA13" s="15">
        <v>6.13</v>
      </c>
      <c r="AB13" s="15">
        <v>6</v>
      </c>
      <c r="AC13" s="17">
        <v>5</v>
      </c>
      <c r="AD13" s="17">
        <v>5</v>
      </c>
      <c r="AE13" s="15">
        <v>13</v>
      </c>
    </row>
    <row r="14" spans="1:31" x14ac:dyDescent="0.25">
      <c r="A14" s="14" t="s">
        <v>49</v>
      </c>
      <c r="B14" s="15">
        <v>37</v>
      </c>
      <c r="C14" s="14" t="s">
        <v>35</v>
      </c>
      <c r="D14" s="13" t="s">
        <v>36</v>
      </c>
      <c r="E14" s="15">
        <v>12</v>
      </c>
      <c r="F14" s="15">
        <v>16</v>
      </c>
      <c r="G14" s="15">
        <v>16</v>
      </c>
      <c r="H14" s="16">
        <v>36864</v>
      </c>
      <c r="I14" s="15">
        <v>373</v>
      </c>
      <c r="J14" s="15">
        <v>582</v>
      </c>
      <c r="K14" s="15">
        <v>64.099999999999994</v>
      </c>
      <c r="L14" s="15">
        <v>4109</v>
      </c>
      <c r="M14" s="15">
        <v>33</v>
      </c>
      <c r="N14" s="15">
        <v>5.7</v>
      </c>
      <c r="O14" s="15">
        <v>9</v>
      </c>
      <c r="P14" s="15">
        <v>1.5</v>
      </c>
      <c r="Q14" s="15">
        <v>69</v>
      </c>
      <c r="R14" s="15">
        <v>7.1</v>
      </c>
      <c r="S14" s="15">
        <v>7.5</v>
      </c>
      <c r="T14" s="15">
        <v>11</v>
      </c>
      <c r="U14" s="15">
        <v>256.8</v>
      </c>
      <c r="V14" s="15">
        <v>97.4</v>
      </c>
      <c r="W14" s="15">
        <v>74.64</v>
      </c>
      <c r="X14" s="15">
        <v>21</v>
      </c>
      <c r="Y14" s="15">
        <v>134</v>
      </c>
      <c r="Z14" s="15">
        <v>6.59</v>
      </c>
      <c r="AA14" s="15">
        <v>7.01</v>
      </c>
      <c r="AB14" s="15">
        <v>3.5</v>
      </c>
      <c r="AC14" s="15">
        <v>4</v>
      </c>
      <c r="AD14" s="15">
        <v>4</v>
      </c>
      <c r="AE14" s="15">
        <v>16</v>
      </c>
    </row>
    <row r="15" spans="1:31" x14ac:dyDescent="0.25">
      <c r="A15" s="14">
        <v>2015</v>
      </c>
      <c r="B15" s="15">
        <v>38</v>
      </c>
      <c r="C15" s="14" t="s">
        <v>35</v>
      </c>
      <c r="D15" s="13" t="s">
        <v>50</v>
      </c>
      <c r="E15" s="15">
        <v>12</v>
      </c>
      <c r="F15" s="15">
        <v>9</v>
      </c>
      <c r="G15" s="15">
        <v>9</v>
      </c>
      <c r="H15" s="15" t="s">
        <v>51</v>
      </c>
      <c r="I15" s="15">
        <v>251</v>
      </c>
      <c r="J15" s="15">
        <v>370</v>
      </c>
      <c r="K15" s="15">
        <v>67.8</v>
      </c>
      <c r="L15" s="17">
        <v>3043</v>
      </c>
      <c r="M15" s="17">
        <v>24</v>
      </c>
      <c r="N15" s="15">
        <v>6.5</v>
      </c>
      <c r="O15" s="15">
        <v>3</v>
      </c>
      <c r="P15" s="17">
        <v>0.8</v>
      </c>
      <c r="Q15" s="15">
        <v>76</v>
      </c>
      <c r="R15" s="15">
        <v>8.1999999999999993</v>
      </c>
      <c r="S15" s="15">
        <v>9.1999999999999993</v>
      </c>
      <c r="T15" s="15">
        <v>12.1</v>
      </c>
      <c r="U15" s="17">
        <v>338.1</v>
      </c>
      <c r="V15" s="17">
        <v>111.1</v>
      </c>
      <c r="W15" s="15">
        <v>71.599999999999994</v>
      </c>
      <c r="X15" s="15">
        <v>21</v>
      </c>
      <c r="Y15" s="15">
        <v>110</v>
      </c>
      <c r="Z15" s="15">
        <v>7.5</v>
      </c>
      <c r="AA15" s="15">
        <v>8.3800000000000008</v>
      </c>
      <c r="AB15" s="15">
        <v>5.4</v>
      </c>
      <c r="AC15" s="15">
        <v>2</v>
      </c>
      <c r="AD15" s="15">
        <v>2</v>
      </c>
      <c r="AE15" s="15"/>
    </row>
  </sheetData>
  <sortState ref="A1:AB15">
    <sortCondition ref="A1"/>
  </sortState>
  <hyperlinks>
    <hyperlink ref="A1" r:id="rId1" display="http://www.pro-football-reference.com/years/2001/"/>
    <hyperlink ref="C1" r:id="rId2" tooltip="New England Patriots" display="http://www.pro-football-reference.com/teams/nwe/2001.htm"/>
    <hyperlink ref="A2" r:id="rId3" display="http://www.pro-football-reference.com/years/2002/"/>
    <hyperlink ref="C2" r:id="rId4" tooltip="New England Patriots" display="http://www.pro-football-reference.com/teams/nwe/2002.htm"/>
    <hyperlink ref="A3" r:id="rId5" display="http://www.pro-football-reference.com/years/2003/"/>
    <hyperlink ref="C3" r:id="rId6" tooltip="New England Patriots" display="http://www.pro-football-reference.com/teams/nwe/2003.htm"/>
    <hyperlink ref="A4" r:id="rId7" display="http://www.pro-football-reference.com/years/2004/"/>
    <hyperlink ref="C4" r:id="rId8" tooltip="New England Patriots" display="http://www.pro-football-reference.com/teams/nwe/2004.htm"/>
    <hyperlink ref="A5" r:id="rId9" display="http://www.pro-football-reference.com/years/2005/"/>
    <hyperlink ref="C5" r:id="rId10" tooltip="New England Patriots" display="http://www.pro-football-reference.com/teams/nwe/2005.htm"/>
    <hyperlink ref="A6" r:id="rId11" display="http://www.pro-football-reference.com/years/2006/"/>
    <hyperlink ref="C6" r:id="rId12" tooltip="New England Patriots" display="http://www.pro-football-reference.com/teams/nwe/2006.htm"/>
    <hyperlink ref="A7" r:id="rId13" display="http://www.pro-football-reference.com/years/2007/"/>
    <hyperlink ref="C7" r:id="rId14" tooltip="New England Patriots" display="http://www.pro-football-reference.com/teams/nwe/2007.htm"/>
    <hyperlink ref="A8" r:id="rId15" display="http://www.pro-football-reference.com/years/2008/"/>
    <hyperlink ref="C8" r:id="rId16" tooltip="New England Patriots" display="http://www.pro-football-reference.com/teams/nwe/2008.htm"/>
    <hyperlink ref="A9" r:id="rId17" display="http://www.pro-football-reference.com/years/2009/"/>
    <hyperlink ref="C9" r:id="rId18" tooltip="New England Patriots" display="http://www.pro-football-reference.com/teams/nwe/2009.htm"/>
    <hyperlink ref="A10" r:id="rId19" display="http://www.pro-football-reference.com/years/2010/"/>
    <hyperlink ref="C10" r:id="rId20" tooltip="New England Patriots" display="http://www.pro-football-reference.com/teams/nwe/2010.htm"/>
    <hyperlink ref="A11" r:id="rId21" display="http://www.pro-football-reference.com/years/2011/"/>
    <hyperlink ref="C11" r:id="rId22" tooltip="New England Patriots" display="http://www.pro-football-reference.com/teams/nwe/2011.htm"/>
    <hyperlink ref="A12" r:id="rId23" display="http://www.pro-football-reference.com/years/2012/"/>
    <hyperlink ref="C12" r:id="rId24" tooltip="New England Patriots" display="http://www.pro-football-reference.com/teams/nwe/2012.htm"/>
    <hyperlink ref="A13" r:id="rId25" display="http://www.pro-football-reference.com/years/2013/"/>
    <hyperlink ref="C13" r:id="rId26" tooltip="New England Patriots" display="http://www.pro-football-reference.com/teams/nwe/2013.htm"/>
    <hyperlink ref="A14" r:id="rId27" display="http://www.pro-football-reference.com/years/2014/"/>
    <hyperlink ref="C14" r:id="rId28" tooltip="New England Patriots" display="http://www.pro-football-reference.com/teams/nwe/2014.htm"/>
    <hyperlink ref="A15" r:id="rId29" display="http://www.pro-football-reference.com/years/2015/"/>
    <hyperlink ref="C15" r:id="rId30" tooltip="New England Patriots" display="http://www.pro-football-reference.com/teams/nwe/2015.ht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Light</dc:creator>
  <cp:lastModifiedBy>Jason Light</cp:lastModifiedBy>
  <dcterms:created xsi:type="dcterms:W3CDTF">2015-11-19T03:54:33Z</dcterms:created>
  <dcterms:modified xsi:type="dcterms:W3CDTF">2015-11-23T22:52:14Z</dcterms:modified>
</cp:coreProperties>
</file>