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jandrabridegroom/Desktop/Prework AB/"/>
    </mc:Choice>
  </mc:AlternateContent>
  <xr:revisionPtr revIDLastSave="0" documentId="8_{69CB4C9B-4177-9A42-8F21-3D409E58A416}" xr6:coauthVersionLast="47" xr6:coauthVersionMax="47" xr10:uidLastSave="{00000000-0000-0000-0000-000000000000}"/>
  <bookViews>
    <workbookView xWindow="900" yWindow="1460" windowWidth="26440" windowHeight="16000" xr2:uid="{00000000-000D-0000-FFFF-FFFF00000000}"/>
  </bookViews>
  <sheets>
    <sheet name="Crowdfunding" sheetId="1" r:id="rId1"/>
    <sheet name="parent categories" sheetId="3" r:id="rId2"/>
    <sheet name="subcategories" sheetId="4" r:id="rId3"/>
    <sheet name="outcome month chart" sheetId="5" r:id="rId4"/>
    <sheet name="goal analysis" sheetId="6" r:id="rId5"/>
    <sheet name="mean.sd.var.max" sheetId="7" r:id="rId6"/>
  </sheets>
  <definedNames>
    <definedName name="_xlnm._FilterDatabase" localSheetId="0" hidden="1">Crowdfunding!$A$1:$T$1001</definedName>
    <definedName name="_xlchart.v1.0" hidden="1">'mean.sd.var.max'!$B$2:$B$566</definedName>
    <definedName name="_xlchart.v1.1" hidden="1">'mean.sd.var.max'!$E$2:$E$365</definedName>
    <definedName name="goals">Crowdfunding!$D$2:$D$1001</definedName>
    <definedName name="success">'mean.sd.var.max'!$B$2:$B$566</definedName>
    <definedName name="unsuccess">'mean.sd.var.max'!$E$2:$E$365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6" i="7"/>
  <c r="H6" i="7"/>
  <c r="J5" i="7"/>
  <c r="H5" i="7"/>
  <c r="J4" i="7"/>
  <c r="H4" i="7"/>
  <c r="J3" i="7"/>
  <c r="H3" i="7"/>
  <c r="J2" i="7"/>
  <c r="H2" i="7"/>
  <c r="D3" i="6"/>
  <c r="B3" i="6"/>
  <c r="C3" i="6"/>
  <c r="E3" i="6"/>
  <c r="H3" i="6"/>
  <c r="D4" i="6"/>
  <c r="B4" i="6"/>
  <c r="C4" i="6"/>
  <c r="E4" i="6"/>
  <c r="H4" i="6"/>
  <c r="D5" i="6"/>
  <c r="B5" i="6"/>
  <c r="C5" i="6"/>
  <c r="E5" i="6"/>
  <c r="H5" i="6"/>
  <c r="D6" i="6"/>
  <c r="B6" i="6"/>
  <c r="C6" i="6"/>
  <c r="E6" i="6"/>
  <c r="H6" i="6"/>
  <c r="D7" i="6"/>
  <c r="B7" i="6"/>
  <c r="C7" i="6"/>
  <c r="E7" i="6"/>
  <c r="H7" i="6"/>
  <c r="D8" i="6"/>
  <c r="B8" i="6"/>
  <c r="C8" i="6"/>
  <c r="E8" i="6"/>
  <c r="H8" i="6"/>
  <c r="D9" i="6"/>
  <c r="B9" i="6"/>
  <c r="C9" i="6"/>
  <c r="E9" i="6"/>
  <c r="H9" i="6"/>
  <c r="D10" i="6"/>
  <c r="B10" i="6"/>
  <c r="C10" i="6"/>
  <c r="E10" i="6"/>
  <c r="H10" i="6"/>
  <c r="D11" i="6"/>
  <c r="B11" i="6"/>
  <c r="C11" i="6"/>
  <c r="E11" i="6"/>
  <c r="H11" i="6"/>
  <c r="D12" i="6"/>
  <c r="B12" i="6"/>
  <c r="C12" i="6"/>
  <c r="E12" i="6"/>
  <c r="H12" i="6"/>
  <c r="D13" i="6"/>
  <c r="B13" i="6"/>
  <c r="C13" i="6"/>
  <c r="E13" i="6"/>
  <c r="H13" i="6"/>
  <c r="D2" i="6"/>
  <c r="B2" i="6"/>
  <c r="C2" i="6"/>
  <c r="E2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C24" i="3"/>
  <c r="C25" i="3"/>
  <c r="C26" i="3"/>
  <c r="C27" i="3"/>
  <c r="C28" i="3"/>
  <c r="C29" i="3"/>
  <c r="C30" i="3"/>
  <c r="C31" i="3"/>
  <c r="C23" i="3"/>
  <c r="B26" i="3"/>
  <c r="B27" i="3"/>
  <c r="B28" i="3"/>
  <c r="B29" i="3"/>
  <c r="B30" i="3"/>
  <c r="B31" i="3"/>
  <c r="B24" i="3"/>
  <c r="B25" i="3"/>
  <c r="B23" i="3"/>
  <c r="W2" i="1"/>
  <c r="W3" i="1"/>
  <c r="X2" i="1"/>
  <c r="X3" i="1"/>
  <c r="Y2" i="1"/>
  <c r="Y3" i="1"/>
  <c r="V2" i="1"/>
  <c r="V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G334" i="1"/>
  <c r="I3" i="1"/>
  <c r="G3" i="1"/>
  <c r="G2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4" i="1" a="1"/>
  <c r="Q4" i="1"/>
  <c r="Q3" i="1" a="1"/>
  <c r="Q3" i="1"/>
  <c r="Q2" i="1" a="1"/>
  <c r="Q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<sst xmlns="http://schemas.openxmlformats.org/spreadsheetml/2006/main" count="7082" uniqueCount="2117">
  <si>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</si>
  <si>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</si>
  <si>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</si>
  <si>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</si>
  <si>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</si>
  <si>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</si>
  <si>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</si>
  <si>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</si>
  <si>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</si>
  <si>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</si>
  <si>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</si>
  <si>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</si>
  <si>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</si>
  <si>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</si>
  <si>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</si>
  <si>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</si>
  <si>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</si>
  <si>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</si>
  <si>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</si>
  <si>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</si>
  <si>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</si>
  <si>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</si>
  <si>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</si>
  <si>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</si>
  <si>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</si>
  <si>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</si>
  <si>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</si>
  <si>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</si>
  <si>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</si>
  <si>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</si>
  <si>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</si>
  <si>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</si>
  <si>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</si>
  <si>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</si>
  <si>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</si>
  <si>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</si>
  <si>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</si>
  <si>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</si>
  <si>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</si>
  <si>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</si>
  <si>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</si>
  <si>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</si>
  <si>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</si>
  <si>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</si>
  <si>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</si>
  <si>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</si>
  <si>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</si>
  <si>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</si>
  <si>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</si>
  <si>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</si>
  <si>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</si>
  <si>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</si>
  <si>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</si>
  <si>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</si>
  <si>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</si>
  <si>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</si>
  <si>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</si>
  <si>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</si>
  <si>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</si>
  <si>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</si>
  <si>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</si>
  <si>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</si>
  <si>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</si>
  <si>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</si>
  <si>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</si>
  <si>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</si>
  <si>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</si>
  <si>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</si>
  <si>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</si>
  <si>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</si>
  <si>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</si>
  <si>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</si>
  <si>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</si>
  <si>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</si>
  <si>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</si>
  <si>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</si>
  <si>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</si>
  <si>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</si>
  <si>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</si>
  <si>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</si>
  <si>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</si>
  <si>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</si>
  <si>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</si>
  <si>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</si>
  <si>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</si>
  <si>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</si>
  <si>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</si>
  <si>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</si>
  <si>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</si>
  <si>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</si>
  <si>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</si>
  <si>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</si>
  <si>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</si>
  <si>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</si>
  <si>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</si>
  <si>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</si>
  <si>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</si>
  <si>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</si>
  <si>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</si>
  <si>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</si>
  <si>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</si>
  <si>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</si>
  <si>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</si>
  <si>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</si>
  <si>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</si>
  <si>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</si>
  <si>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</si>
  <si>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</si>
  <si>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</si>
  <si>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</si>
  <si>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</si>
  <si>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</si>
  <si>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</si>
  <si>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</si>
  <si>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</si>
  <si>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</si>
  <si>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</si>
  <si>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</si>
  <si>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</si>
  <si>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</si>
  <si>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</si>
  <si>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</si>
  <si>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</si>
  <si>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</si>
  <si>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</si>
  <si>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</si>
  <si>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</si>
  <si>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</si>
  <si>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</si>
  <si>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</si>
  <si>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</si>
  <si>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</si>
  <si>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</si>
  <si>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</si>
  <si>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</si>
  <si>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</si>
  <si>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</si>
  <si>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</si>
  <si>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</si>
  <si>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</si>
  <si>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</si>
  <si>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</si>
  <si>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</si>
  <si>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</si>
  <si>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</si>
  <si>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</si>
  <si>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</si>
  <si>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</si>
  <si>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</si>
  <si>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</si>
  <si>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</si>
  <si>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</si>
  <si>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</si>
  <si>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</si>
  <si>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</si>
  <si>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</si>
  <si>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</si>
  <si>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</si>
  <si>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</si>
  <si>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</si>
  <si>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</si>
  <si>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</si>
  <si>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</si>
  <si>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</si>
  <si>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</si>
  <si>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</si>
  <si>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</si>
  <si>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</si>
  <si>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</si>
  <si>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</si>
  <si>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</si>
  <si>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</si>
  <si>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</si>
  <si>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</si>
  <si>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</si>
  <si>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</si>
  <si>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</si>
  <si>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</si>
  <si>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</si>
  <si>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</si>
  <si>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</si>
  <si>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</si>
  <si>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</si>
  <si>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</si>
  <si>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</si>
  <si>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</si>
  <si>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</si>
  <si>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</si>
  <si>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</si>
  <si>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</si>
  <si>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</si>
  <si>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</si>
  <si>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</si>
  <si>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</si>
  <si>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</si>
  <si>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</si>
  <si>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</si>
  <si>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</si>
  <si>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</si>
  <si>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</si>
  <si>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</si>
  <si>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</si>
  <si>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</si>
  <si>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</si>
  <si>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</si>
  <si>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</si>
  <si>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</si>
  <si>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</si>
  <si>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</si>
  <si>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</si>
  <si>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</si>
  <si>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</si>
  <si>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</si>
  <si>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</si>
  <si>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</si>
  <si>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</si>
  <si>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</si>
  <si>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</si>
  <si>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</si>
  <si>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</si>
  <si>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</si>
  <si>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</si>
  <si>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</si>
  <si>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</si>
  <si>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</si>
  <si>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</si>
  <si>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</si>
  <si>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</si>
  <si>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</si>
  <si>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</si>
  <si>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</si>
  <si>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</si>
  <si>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</si>
  <si>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</si>
  <si>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</si>
  <si>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</si>
  <si>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</si>
  <si>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</si>
  <si>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</si>
  <si>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</si>
  <si>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</si>
  <si>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</si>
  <si>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</si>
  <si>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</si>
  <si>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</si>
  <si>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</si>
  <si>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</si>
  <si>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</si>
  <si>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</si>
  <si>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</si>
  <si>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</si>
  <si>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</si>
  <si>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</si>
  <si>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</si>
  <si>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</si>
  <si>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</si>
  <si>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</si>
  <si>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</si>
  <si>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</si>
  <si>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</si>
  <si>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</si>
  <si>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</si>
  <si>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</si>
  <si>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</si>
  <si>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</si>
  <si>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</si>
  <si>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</si>
  <si>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</si>
  <si>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</si>
  <si>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</si>
  <si>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</si>
  <si>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</si>
  <si>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</si>
  <si>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</si>
  <si>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</si>
  <si>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</si>
  <si>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</si>
  <si>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</si>
  <si>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</si>
  <si>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</si>
  <si>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</si>
  <si>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</si>
  <si>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</si>
  <si>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</si>
  <si>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</si>
  <si>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</si>
  <si>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</si>
  <si>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</si>
  <si>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</si>
  <si>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</si>
  <si>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</si>
  <si>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</si>
  <si>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</si>
  <si>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</si>
  <si>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</si>
  <si>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</si>
  <si>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</si>
  <si>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</si>
  <si>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</si>
  <si>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</si>
  <si>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</si>
  <si>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</si>
  <si>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</si>
  <si>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</si>
  <si>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</si>
  <si>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</si>
  <si>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</si>
  <si>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</si>
  <si>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</si>
  <si>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</si>
  <si>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</si>
  <si>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</si>
  <si>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</si>
  <si>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</si>
  <si>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</si>
  <si>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</si>
  <si>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</si>
  <si>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</si>
  <si>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</si>
  <si>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</si>
  <si>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</si>
  <si>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</si>
  <si>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</si>
  <si>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</si>
  <si>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</si>
  <si>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</si>
  <si>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</si>
  <si>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</si>
  <si>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</si>
  <si>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</si>
  <si>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</si>
  <si>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</si>
  <si>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</si>
  <si>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</si>
  <si>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</si>
  <si>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</si>
  <si>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</si>
  <si>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</si>
  <si>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</si>
  <si>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</si>
  <si>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</si>
  <si>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</si>
  <si>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</si>
  <si>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</si>
  <si>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</si>
  <si>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</si>
  <si>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</si>
  <si>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</si>
  <si>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</si>
  <si>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</si>
  <si>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</si>
  <si>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</si>
  <si>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</si>
  <si>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</si>
  <si>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</si>
  <si>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</si>
  <si>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</si>
  <si>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</si>
  <si>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</si>
  <si>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</si>
  <si>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</si>
  <si>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</si>
  <si>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</si>
  <si>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</si>
  <si>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</si>
  <si>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</si>
  <si>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</si>
  <si>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</si>
  <si>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</si>
  <si>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</si>
  <si>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</si>
  <si>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</si>
  <si>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</si>
  <si>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</si>
  <si>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</si>
  <si>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</si>
  <si>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</si>
  <si>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</si>
  <si>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</si>
  <si>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</si>
  <si>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</si>
  <si>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</si>
  <si>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</si>
  <si>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</si>
  <si>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</si>
  <si>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</si>
  <si>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</si>
  <si>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</si>
  <si>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</si>
  <si>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</si>
  <si>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</si>
  <si>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</si>
  <si>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</si>
  <si>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</si>
  <si>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</si>
  <si>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</si>
  <si>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</si>
  <si>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</si>
  <si>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</si>
  <si>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</si>
  <si>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</si>
  <si>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</si>
  <si>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</si>
  <si>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</si>
  <si>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</si>
  <si>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</si>
  <si>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</si>
  <si>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</si>
  <si>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</si>
  <si>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</si>
  <si>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</si>
  <si>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</si>
  <si>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</si>
  <si>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</si>
  <si>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</si>
  <si>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</si>
  <si>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</si>
  <si>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</si>
  <si>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</si>
  <si>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</si>
  <si>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</si>
  <si>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</si>
  <si>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</si>
  <si>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</si>
  <si>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</si>
  <si>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</si>
  <si>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</si>
  <si>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</si>
  <si>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</si>
  <si>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</si>
  <si>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</si>
  <si>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</si>
  <si>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</si>
  <si>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</si>
  <si>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</si>
  <si>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</si>
  <si>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</si>
  <si>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</si>
  <si>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</si>
  <si>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</si>
  <si>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</si>
  <si>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</si>
  <si>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</si>
  <si>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</si>
  <si>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</si>
  <si>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</si>
  <si>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</si>
  <si>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</si>
  <si>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</si>
  <si>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</si>
  <si>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</si>
  <si>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</si>
  <si>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</si>
  <si>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</si>
  <si>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</si>
  <si>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</si>
  <si>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</si>
  <si>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</si>
  <si>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</si>
  <si>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</si>
  <si>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</si>
  <si>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</si>
  <si>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</si>
  <si>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</si>
  <si>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</si>
  <si>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</si>
  <si>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</si>
  <si>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</si>
  <si>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</si>
  <si>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</si>
  <si>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</si>
  <si>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</si>
  <si>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</si>
  <si>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</si>
  <si>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</si>
  <si>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</si>
  <si>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</si>
  <si>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</si>
  <si>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</si>
  <si>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</si>
  <si>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</si>
  <si>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</si>
  <si>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</si>
  <si>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</si>
  <si>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</si>
  <si>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</si>
  <si>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</si>
  <si>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</si>
  <si>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</si>
  <si>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</si>
  <si>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</si>
  <si>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</si>
  <si>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</si>
  <si>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</si>
  <si>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</si>
  <si>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</si>
  <si>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</si>
  <si>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</si>
  <si>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</si>
  <si>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</si>
  <si>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</si>
  <si>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</si>
  <si>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</si>
  <si>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</si>
  <si>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</si>
  <si>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</si>
  <si>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</si>
  <si>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</si>
  <si>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</si>
  <si>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</si>
  <si>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</si>
  <si>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</si>
  <si>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</si>
  <si>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</si>
  <si>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</si>
  <si>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</si>
  <si>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</si>
  <si>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</si>
  <si>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</si>
  <si>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</si>
  <si>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</si>
  <si>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</si>
  <si>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</si>
  <si>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</si>
  <si>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</si>
  <si>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</si>
  <si>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</si>
  <si>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</si>
  <si>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</si>
  <si>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</si>
  <si>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</si>
  <si>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</si>
  <si>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</si>
  <si>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</si>
  <si>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</si>
  <si>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</si>
  <si>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</si>
  <si>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</si>
  <si>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</si>
  <si>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</si>
  <si>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</si>
  <si>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</si>
  <si>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</si>
  <si>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</si>
  <si>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</si>
  <si>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</si>
  <si>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</si>
  <si>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</si>
  <si>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</si>
  <si>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</si>
  <si>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</si>
  <si>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</si>
  <si>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</si>
  <si>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</si>
  <si>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</si>
  <si>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</si>
  <si>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</si>
  <si>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</si>
  <si>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</si>
  <si>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</si>
  <si>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</si>
  <si>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</si>
  <si>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</si>
  <si>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</si>
  <si>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</si>
  <si>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</si>
  <si>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</si>
  <si>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</si>
  <si>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</si>
  <si>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</si>
  <si>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</si>
  <si>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</si>
  <si>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</si>
  <si>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</si>
  <si>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</si>
  <si>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</si>
  <si>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</si>
  <si>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</si>
  <si>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</si>
  <si>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</si>
  <si>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</si>
  <si>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</si>
  <si>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</si>
  <si>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</si>
  <si>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</si>
  <si>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</si>
  <si>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</si>
  <si>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</si>
  <si>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</si>
  <si>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</si>
  <si>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</si>
  <si>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</si>
  <si>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</si>
  <si>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</si>
  <si>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</si>
  <si>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</si>
  <si>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</si>
  <si>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</si>
  <si>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</si>
  <si>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</si>
  <si>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</si>
  <si>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</si>
  <si>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</si>
  <si>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</si>
  <si>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</si>
  <si>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</si>
  <si>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</si>
  <si>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</si>
  <si>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</si>
  <si>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</si>
  <si>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</si>
  <si>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</si>
  <si>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</si>
  <si>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</si>
  <si>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</si>
  <si>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</si>
  <si>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</si>
  <si>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</si>
  <si>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</si>
  <si>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</si>
  <si>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</si>
  <si>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</si>
  <si>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</si>
  <si>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</si>
  <si>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</si>
  <si>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</si>
  <si>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</si>
  <si>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</si>
  <si>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</si>
  <si>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</si>
  <si>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</si>
  <si>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</si>
  <si>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</si>
  <si>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</si>
  <si>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</si>
  <si>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</si>
  <si>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</si>
  <si>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</si>
  <si>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</si>
  <si>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</si>
  <si>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</si>
  <si>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</si>
  <si>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</si>
  <si>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</si>
  <si>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</si>
  <si>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</si>
  <si>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</si>
  <si>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</si>
  <si>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</si>
  <si>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</si>
  <si>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</si>
  <si>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</si>
  <si>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</si>
  <si>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</si>
  <si>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</si>
  <si>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</si>
  <si>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</si>
  <si>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</si>
  <si>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</si>
  <si>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</si>
  <si>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</si>
  <si>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</si>
  <si>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</si>
  <si>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</si>
  <si>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</si>
  <si>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</si>
  <si>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</si>
  <si>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</si>
  <si>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</si>
  <si>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</si>
  <si>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</si>
  <si>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</si>
  <si>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</si>
  <si>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</si>
  <si>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</si>
  <si>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</si>
  <si>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</si>
  <si>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</si>
  <si>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</si>
  <si>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</si>
  <si>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</si>
  <si>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</si>
  <si>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</si>
  <si>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</si>
  <si>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</si>
  <si>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</si>
  <si>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</si>
  <si>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</si>
  <si>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</si>
  <si>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</si>
  <si>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</si>
  <si>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</si>
  <si>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</si>
  <si>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</si>
  <si>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</si>
  <si>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</si>
  <si>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</si>
  <si>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</si>
  <si>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</si>
  <si>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</si>
  <si>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</si>
  <si>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</si>
  <si>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</si>
  <si>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</si>
  <si>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</si>
  <si>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</si>
  <si>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</si>
  <si>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</si>
  <si>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</si>
  <si>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</si>
  <si>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</si>
  <si>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</si>
  <si>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</si>
  <si>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</si>
  <si>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</si>
  <si>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</si>
  <si>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</si>
  <si>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</si>
  <si>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</si>
  <si>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</si>
  <si>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</si>
  <si>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</si>
  <si>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</si>
  <si>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</si>
  <si>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</si>
  <si>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</si>
  <si>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</si>
  <si>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</si>
  <si>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</si>
  <si>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</si>
  <si>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</si>
  <si>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</si>
  <si>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</si>
  <si>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</si>
  <si>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</si>
  <si>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</si>
  <si>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</si>
  <si>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</si>
  <si>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</si>
  <si>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</si>
  <si>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</si>
  <si>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</si>
  <si>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</si>
  <si>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</si>
  <si>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</si>
  <si>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</si>
  <si>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</si>
  <si>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</si>
  <si>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</si>
  <si>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</si>
  <si>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</si>
  <si>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</si>
  <si>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</si>
  <si>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</si>
  <si>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</si>
  <si>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</si>
  <si>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</si>
  <si>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</si>
  <si>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</si>
  <si>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</si>
  <si>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</si>
  <si>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</si>
  <si>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</si>
  <si>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</si>
  <si>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</si>
  <si>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</si>
  <si>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</si>
  <si>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</si>
  <si>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</si>
  <si>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</si>
  <si>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</si>
  <si>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</si>
  <si>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</si>
  <si>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</si>
  <si>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</si>
  <si>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</si>
  <si>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</si>
  <si>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</si>
  <si>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</si>
  <si>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</si>
  <si>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</si>
  <si>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</si>
  <si>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</si>
  <si>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</si>
  <si>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</si>
  <si>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</si>
  <si>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</si>
  <si>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</si>
  <si>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</si>
  <si>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</si>
  <si>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</si>
  <si>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</si>
  <si>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</si>
  <si>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</si>
  <si>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</si>
  <si>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</si>
  <si>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</si>
  <si>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</si>
  <si>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</si>
  <si>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</si>
  <si>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</si>
  <si>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</si>
  <si>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</si>
  <si>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</si>
  <si>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</si>
  <si>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</si>
  <si>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</si>
  <si>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</si>
  <si>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</si>
  <si>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</si>
  <si>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</si>
  <si>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</si>
  <si>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</si>
  <si>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</si>
  <si>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</si>
  <si>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</si>
  <si>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</si>
  <si>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</si>
  <si>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</si>
  <si>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</si>
  <si>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</si>
  <si>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</si>
  <si>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</si>
  <si>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</si>
  <si>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</si>
  <si>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</si>
  <si>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</si>
  <si>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</si>
  <si>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</si>
  <si>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</si>
  <si>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</si>
  <si>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</si>
  <si>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</si>
  <si>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</si>
  <si>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</si>
  <si>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</si>
  <si>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</si>
  <si>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</si>
  <si>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</si>
  <si>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</si>
  <si>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</si>
  <si>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</si>
  <si>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</si>
  <si>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</si>
  <si>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</si>
  <si>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</si>
  <si>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</si>
  <si>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</si>
  <si>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</si>
  <si>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</si>
  <si>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</si>
  <si>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</si>
  <si>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</si>
  <si>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</si>
  <si>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</si>
  <si>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</si>
  <si>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</si>
  <si>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</si>
  <si>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</si>
  <si>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</si>
  <si>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</si>
  <si>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</si>
  <si>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</si>
  <si>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</si>
  <si>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</si>
  <si>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</si>
  <si>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</si>
  <si>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</si>
  <si>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</si>
  <si>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</si>
  <si>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</si>
  <si>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</si>
  <si>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</si>
  <si>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</si>
  <si>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</si>
  <si>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</si>
  <si>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</si>
  <si>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</si>
  <si>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</si>
  <si>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</si>
  <si>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</si>
  <si>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</si>
  <si>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</si>
  <si>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</si>
  <si>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</si>
  <si>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</si>
  <si>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</si>
  <si>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</si>
  <si>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</si>
  <si>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</si>
  <si>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</si>
  <si>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</si>
  <si>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</si>
  <si>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</si>
  <si>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</si>
  <si>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</si>
  <si>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</si>
  <si>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</si>
  <si>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</si>
  <si>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</si>
  <si>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</si>
  <si>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</si>
  <si>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</si>
  <si>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</si>
  <si>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</si>
  <si>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</si>
  <si>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</si>
  <si>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</si>
  <si>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</si>
  <si>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</si>
  <si>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</si>
  <si>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</si>
  <si>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</si>
  <si>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</si>
  <si>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</si>
  <si>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</si>
  <si>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</si>
  <si>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</si>
  <si>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</si>
  <si>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</si>
  <si>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</si>
  <si>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</si>
  <si>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</si>
  <si>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</si>
  <si>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</si>
  <si>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</si>
  <si>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</si>
  <si>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</si>
  <si>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</si>
  <si>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</si>
  <si>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</si>
  <si>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</si>
  <si>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</si>
  <si>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</si>
  <si>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</si>
  <si>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</si>
  <si>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</si>
  <si>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</si>
  <si>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</si>
  <si>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</si>
  <si>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</si>
  <si>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</si>
  <si>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</si>
  <si>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</si>
  <si>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</si>
  <si>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</si>
  <si>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</si>
  <si>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</si>
  <si>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</si>
  <si>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</si>
  <si>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</si>
  <si>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</si>
  <si>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</si>
  <si>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</si>
  <si>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</si>
  <si>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</si>
  <si>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</si>
  <si>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</si>
  <si>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</si>
  <si>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</si>
  <si>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</si>
  <si>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</si>
  <si>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</si>
  <si>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</si>
  <si>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</si>
  <si>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</si>
  <si>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</si>
  <si>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</si>
  <si>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</si>
  <si>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</si>
  <si>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</si>
  <si>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</si>
  <si>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</si>
  <si>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</si>
  <si>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</si>
  <si>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</si>
  <si>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</si>
  <si>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</si>
  <si>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</si>
  <si>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</si>
  <si>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</si>
  <si>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</si>
  <si>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</si>
  <si>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</si>
  <si>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</si>
  <si>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</si>
  <si>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</si>
  <si>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</si>
  <si>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</si>
  <si>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</si>
  <si>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</si>
  <si>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</si>
  <si>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</si>
  <si>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</si>
  <si>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</si>
  <si>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</si>
  <si>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</si>
  <si>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</si>
  <si>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</si>
  <si>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</si>
  <si>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</si>
  <si>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</si>
  <si>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</si>
  <si>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</si>
  <si>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</si>
  <si>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</si>
  <si>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</si>
  <si>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</si>
  <si>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</si>
  <si>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</si>
  <si>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</si>
  <si>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</si>
  <si>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</si>
  <si>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</si>
  <si>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</si>
  <si>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</si>
  <si>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</si>
  <si>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</si>
  <si>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</si>
  <si>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</si>
  <si>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</si>
  <si>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</si>
  <si>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</si>
  <si>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</si>
  <si>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</si>
  <si>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</si>
  <si>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</si>
  <si>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</si>
  <si>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</si>
  <si>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</si>
  <si>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</si>
  <si>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</si>
  <si>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</si>
  <si>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</si>
  <si>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</si>
  <si>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</si>
  <si>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</si>
  <si>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</si>
  <si>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</si>
  <si>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</si>
  <si>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</si>
  <si>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</si>
  <si>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</si>
  <si>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</si>
  <si>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</si>
  <si>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</si>
  <si>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</si>
  <si>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</si>
  <si>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</si>
  <si>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</si>
  <si>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</si>
  <si>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</si>
  <si>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</si>
  <si>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</si>
  <si>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</si>
  <si>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</si>
  <si>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</si>
  <si>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</si>
  <si>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</si>
  <si>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</si>
  <si>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</si>
  <si>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</si>
  <si>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</si>
  <si>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</si>
  <si>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</si>
  <si>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</si>
  <si>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</si>
  <si>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</si>
  <si>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</si>
  <si>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</si>
  <si>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</si>
  <si>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</si>
  <si>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</si>
  <si>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</si>
  <si>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</si>
  <si>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</si>
  <si>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</si>
  <si>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</si>
  <si>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</si>
  <si>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</si>
  <si>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</si>
  <si>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</si>
  <si>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</si>
  <si>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</si>
  <si>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</si>
  <si>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</si>
  <si>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</si>
  <si>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</si>
  <si>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</si>
  <si>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</si>
  <si>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</si>
  <si>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</si>
  <si>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</si>
  <si>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</si>
  <si>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</si>
  <si>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</si>
  <si>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</si>
  <si>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</si>
  <si>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</si>
  <si>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</si>
  <si>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</si>
  <si>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</si>
  <si>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</si>
  <si>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</si>
  <si>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</si>
  <si>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</si>
  <si>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</si>
  <si>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</si>
  <si>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</si>
  <si>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</si>
  <si>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</si>
  <si>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</si>
  <si>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</si>
  <si>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</si>
  <si>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</si>
  <si>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</si>
  <si>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</si>
  <si>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</si>
  <si>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</si>
  <si>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</si>
  <si>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</si>
  <si>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</si>
  <si>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</si>
  <si>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</si>
  <si>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</si>
  <si>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</si>
  <si>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</si>
  <si>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</si>
  <si>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</si>
  <si>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</si>
  <si>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</si>
  <si>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</si>
  <si>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</si>
  <si>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</si>
  <si>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</si>
  <si>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</si>
  <si>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</si>
  <si>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</si>
  <si>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</si>
  <si>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</si>
  <si>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</si>
  <si>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</si>
  <si>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</si>
  <si>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</si>
  <si>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</si>
  <si>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</si>
  <si>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</si>
  <si>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</si>
  <si>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</si>
  <si>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</si>
  <si>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</si>
  <si>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</si>
  <si>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</si>
  <si>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</si>
  <si>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</si>
  <si>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</si>
  <si>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</si>
  <si>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</si>
  <si>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</si>
  <si>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</si>
  <si>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</si>
  <si>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</si>
  <si>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</si>
  <si>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</si>
  <si>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</si>
  <si>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</si>
  <si>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</si>
  <si>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</si>
  <si>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</si>
  <si>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</si>
  <si>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</si>
  <si>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</si>
  <si>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</si>
  <si>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</si>
  <si>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</si>
  <si>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</si>
  <si>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</si>
  <si>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</si>
  <si>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</si>
  <si>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</si>
  <si>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</si>
  <si>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</si>
  <si>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</si>
  <si>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</si>
  <si>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</si>
  <si>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</si>
  <si>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</si>
  <si>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</si>
  <si>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</si>
  <si>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</si>
  <si>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</si>
  <si>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</si>
  <si>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</si>
  <si>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</si>
  <si>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</si>
  <si>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</si>
  <si>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</si>
  <si>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</si>
  <si>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</si>
  <si>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</si>
  <si>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</si>
  <si>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</si>
  <si>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</si>
  <si>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</si>
  <si>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</si>
  <si>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</si>
  <si>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</si>
  <si>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</si>
  <si>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</si>
  <si>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</si>
  <si>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</si>
  <si>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</si>
  <si>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</si>
  <si>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</si>
  <si>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</si>
  <si>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</si>
  <si>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</si>
  <si>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</si>
  <si>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</si>
  <si>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</si>
  <si>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</si>
  <si>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</si>
  <si>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</si>
  <si>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</si>
  <si>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</si>
  <si>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</si>
  <si>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</si>
  <si>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</si>
  <si>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</si>
  <si>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</si>
  <si>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</si>
  <si>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</si>
  <si>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</si>
  <si>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</si>
  <si>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</si>
  <si>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</si>
  <si>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</si>
  <si>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</si>
  <si>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</si>
  <si>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</si>
  <si>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</si>
  <si>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</si>
  <si>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</si>
  <si>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</si>
  <si>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</si>
  <si>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</si>
  <si>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</si>
  <si>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</si>
  <si>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</si>
  <si>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</si>
  <si>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</si>
  <si>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</si>
  <si>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</si>
  <si>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</si>
  <si>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</si>
  <si>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</si>
  <si>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</si>
  <si>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</si>
  <si>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</si>
  <si>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</si>
  <si>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</si>
  <si>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</si>
  <si>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</si>
  <si>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</si>
  <si>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</si>
  <si>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</si>
  <si>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</si>
  <si>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</si>
  <si>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</si>
  <si>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</si>
  <si>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</si>
  <si>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</si>
  <si>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</si>
  <si>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</si>
  <si>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</si>
  <si>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</si>
  <si>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</si>
  <si>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</si>
  <si>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</si>
  <si>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</si>
  <si>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</si>
  <si>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</si>
  <si>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</si>
  <si>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</si>
  <si>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</si>
  <si>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</si>
  <si>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</si>
  <si>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</si>
  <si>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</si>
  <si>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</si>
  <si>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</si>
  <si>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</si>
  <si>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</si>
  <si>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</si>
  <si>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</si>
  <si>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</si>
  <si>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</si>
  <si>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</si>
  <si>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</si>
  <si>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</si>
  <si>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</si>
  <si>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</si>
  <si>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</si>
  <si>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</si>
  <si>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</si>
  <si>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</si>
  <si>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</si>
  <si>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</si>
  <si>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</si>
  <si>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</si>
  <si>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</si>
  <si>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</si>
  <si>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</si>
  <si>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</si>
  <si>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</si>
  <si>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</si>
  <si>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</si>
  <si>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</si>
  <si>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</si>
  <si>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</si>
  <si>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</si>
  <si>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</si>
  <si>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</si>
  <si>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</si>
  <si>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</si>
  <si>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</si>
  <si>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</si>
  <si>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</si>
  <si>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</si>
  <si>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</si>
  <si>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</si>
  <si>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</si>
  <si>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</si>
  <si>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</si>
  <si>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</si>
  <si>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</si>
  <si>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</si>
  <si>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</si>
  <si>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</si>
  <si>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</si>
  <si>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</si>
  <si>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</si>
  <si>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</si>
  <si>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</si>
  <si>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</si>
  <si>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</si>
  <si>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</si>
  <si>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</si>
  <si>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</si>
  <si>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</si>
  <si>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</si>
  <si>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</si>
  <si>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</si>
  <si>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</si>
  <si>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</si>
  <si>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</si>
  <si>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</si>
  <si>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</si>
  <si>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</si>
  <si>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</si>
  <si>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</si>
  <si>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</si>
  <si>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</si>
  <si>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</si>
  <si>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</si>
  <si>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</si>
  <si>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</si>
  <si>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</si>
  <si>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</si>
  <si>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</si>
  <si>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</si>
  <si>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</si>
  <si>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</si>
  <si>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</si>
  <si>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</si>
  <si>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</si>
  <si>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</si>
  <si>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</si>
  <si>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</si>
  <si>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</si>
  <si>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</si>
  <si>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</si>
  <si>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</si>
  <si>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</si>
  <si>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</si>
  <si>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</si>
  <si>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</si>
  <si>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</si>
  <si>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</si>
  <si>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</si>
  <si>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</si>
  <si>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</si>
  <si>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</si>
  <si>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</si>
  <si>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</si>
  <si>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</si>
  <si>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</si>
  <si>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</si>
  <si>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</si>
  <si>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</si>
  <si>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</si>
  <si>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</si>
  <si>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</si>
  <si>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</si>
  <si>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</si>
  <si>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</si>
  <si>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</si>
  <si>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</si>
  <si>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</si>
  <si>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</si>
  <si>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</si>
  <si>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</si>
  <si>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</si>
  <si>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</si>
  <si>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</si>
  <si>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</si>
  <si>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</si>
  <si>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</si>
  <si>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</si>
  <si>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</si>
  <si>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</si>
  <si>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</si>
  <si>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</si>
  <si>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</si>
  <si>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</si>
  <si>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</si>
  <si>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</si>
  <si>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</si>
  <si>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</si>
  <si>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</si>
  <si>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</si>
  <si>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</si>
  <si>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</si>
  <si>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</si>
  <si>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</si>
  <si>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</si>
  <si>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</si>
  <si>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</si>
  <si>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</si>
  <si>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</si>
  <si>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</si>
  <si>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</si>
  <si>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</si>
  <si>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</si>
  <si>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</si>
  <si>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</si>
  <si>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</si>
  <si>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</si>
  <si>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</si>
  <si>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</si>
  <si>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</si>
  <si>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</si>
  <si>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</si>
  <si>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</si>
  <si>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</si>
  <si>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</si>
  <si>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</si>
  <si>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</si>
  <si>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</si>
  <si>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</si>
  <si>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</si>
  <si>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</si>
  <si>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</si>
  <si>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</si>
  <si>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</si>
  <si>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</si>
  <si>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</si>
  <si>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</si>
  <si>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</si>
  <si>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</si>
  <si>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</si>
  <si>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</si>
  <si>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</si>
  <si>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</si>
  <si>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</si>
  <si>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</si>
  <si>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</si>
  <si>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</si>
  <si>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</si>
  <si>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</si>
  <si>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</si>
  <si>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</si>
  <si>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</si>
  <si>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</si>
  <si>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</si>
  <si>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</si>
  <si>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</si>
  <si>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</si>
  <si>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</si>
  <si>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</si>
  <si>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</si>
  <si>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</si>
  <si>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</si>
  <si>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</si>
  <si>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</si>
  <si>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</si>
  <si>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</si>
  <si>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</si>
  <si>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</si>
  <si>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</si>
  <si>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</si>
  <si>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</si>
  <si>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</si>
  <si>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</si>
  <si>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</si>
  <si>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</si>
  <si>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</si>
  <si>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</si>
  <si>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</si>
  <si>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</si>
  <si>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</si>
  <si>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</si>
  <si>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</si>
  <si>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</si>
  <si>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</si>
  <si>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</si>
  <si>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</si>
  <si>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</si>
  <si>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</si>
  <si>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</si>
  <si>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</si>
  <si>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</si>
  <si>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</si>
  <si>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</si>
  <si>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</si>
  <si>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</si>
  <si>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</si>
  <si>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</si>
  <si>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</si>
  <si>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</si>
  <si>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</si>
  <si>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</si>
  <si>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</si>
  <si>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</si>
  <si>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</si>
  <si>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</si>
  <si>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</si>
  <si>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</si>
  <si>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</si>
  <si>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</si>
  <si>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</si>
  <si>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</si>
  <si>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</si>
  <si>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</si>
  <si>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</si>
  <si>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</si>
  <si>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</si>
  <si>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</si>
  <si>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</si>
  <si>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</si>
  <si>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</si>
  <si>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</si>
  <si>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</si>
  <si>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</si>
  <si>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</si>
  <si>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</si>
  <si>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</si>
  <si>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</si>
  <si>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</si>
  <si>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</si>
  <si>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</si>
  <si>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</si>
  <si>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</si>
  <si>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</si>
  <si>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</si>
  <si>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</si>
  <si>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</si>
  <si>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</si>
  <si>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</si>
  <si>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</si>
  <si>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</si>
  <si>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</si>
  <si>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</si>
  <si>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</si>
  <si>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</si>
  <si>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</si>
  <si>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</si>
  <si>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</si>
  <si>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</si>
  <si>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</si>
  <si>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</si>
  <si>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</si>
  <si>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</si>
  <si>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</si>
  <si>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</si>
  <si>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</si>
  <si>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</si>
  <si>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</si>
  <si>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</si>
  <si>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</si>
  <si>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</si>
  <si>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</si>
  <si>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</si>
  <si>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</si>
  <si>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</si>
  <si>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</si>
  <si>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</si>
  <si>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</si>
  <si>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</si>
  <si>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</si>
  <si>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</si>
  <si>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</si>
  <si>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</si>
  <si>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</si>
  <si>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</si>
  <si>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</si>
  <si>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</si>
  <si>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</si>
  <si>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</si>
  <si>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</si>
  <si>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</si>
  <si>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</si>
  <si>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</si>
  <si>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</si>
  <si>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</si>
  <si>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</si>
  <si>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</si>
  <si>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</si>
  <si>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</si>
  <si>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</si>
  <si>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</si>
  <si>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</si>
  <si>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</si>
  <si>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</si>
  <si>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</si>
  <si>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</si>
  <si>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</si>
  <si>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</si>
  <si>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</si>
  <si>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</si>
  <si>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</si>
  <si>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</si>
  <si>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</si>
  <si>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</si>
  <si>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</si>
  <si>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</si>
  <si>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</si>
  <si>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</si>
  <si>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</si>
  <si>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</si>
  <si>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</si>
  <si>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</si>
  <si>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</si>
  <si>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</si>
  <si>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</si>
  <si>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</si>
  <si>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</si>
  <si>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</si>
  <si>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</si>
  <si>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</si>
  <si>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</si>
  <si>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</si>
  <si>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</si>
  <si>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</si>
  <si>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</si>
  <si>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</si>
  <si>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</si>
  <si>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</si>
  <si>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</si>
  <si>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</si>
  <si>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</si>
  <si>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</si>
  <si>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</si>
  <si>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</si>
  <si>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</si>
  <si>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</si>
  <si>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</si>
  <si>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</si>
  <si>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</si>
  <si>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</si>
  <si>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</si>
  <si>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</si>
  <si>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</si>
  <si>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</si>
  <si>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</si>
  <si>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</si>
  <si>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</si>
  <si>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</si>
  <si>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</si>
  <si>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</si>
  <si>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</si>
  <si>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</si>
  <si>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</si>
  <si>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</si>
  <si>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</si>
  <si>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</si>
  <si>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</si>
  <si>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</si>
  <si>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</si>
  <si>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</si>
  <si>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</si>
  <si>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</si>
  <si>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</si>
  <si>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</si>
  <si>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</si>
  <si>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</si>
  <si>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</si>
  <si>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</si>
  <si>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</si>
  <si>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</si>
  <si>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</si>
  <si>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</si>
  <si>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</si>
  <si>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</si>
  <si>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</si>
  <si>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</si>
  <si>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</si>
  <si>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</si>
  <si>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</si>
  <si>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</si>
  <si>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</si>
  <si>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</si>
  <si>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</si>
  <si>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</si>
  <si>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</si>
  <si>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</si>
  <si>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</si>
  <si>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</si>
  <si>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</si>
  <si>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</si>
  <si>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</si>
  <si>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</si>
  <si>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</si>
  <si>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</si>
  <si>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</si>
  <si>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</si>
  <si>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</si>
  <si>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</si>
  <si>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</si>
  <si>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</si>
  <si>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</si>
  <si>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</si>
  <si>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</si>
  <si>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</si>
  <si>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</si>
  <si>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</si>
  <si>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</si>
  <si>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</si>
  <si>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</si>
  <si>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</si>
  <si>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</si>
  <si>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</si>
  <si>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</si>
  <si>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</si>
  <si>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</si>
  <si>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</si>
  <si>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</si>
  <si>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</si>
  <si>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</si>
  <si>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</si>
  <si>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</si>
  <si>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</si>
  <si>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</si>
  <si>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</si>
  <si>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</si>
  <si>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</si>
  <si>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</si>
  <si>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</si>
  <si>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</si>
  <si>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</si>
  <si>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</si>
  <si>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</si>
  <si>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</si>
  <si>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</si>
  <si>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</si>
  <si>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</si>
  <si>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</si>
  <si>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</si>
  <si>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</si>
  <si>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</si>
  <si>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</si>
  <si>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</si>
  <si>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</si>
  <si>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</si>
  <si>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</si>
  <si>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</si>
  <si>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</si>
  <si>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</si>
  <si>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</si>
  <si>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</si>
  <si>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</si>
  <si>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</si>
  <si>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</si>
  <si>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</si>
  <si>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</si>
  <si>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</si>
  <si>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</si>
  <si>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</si>
  <si>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</si>
  <si>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</si>
  <si>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</si>
  <si>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</si>
  <si>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</si>
  <si>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</si>
  <si>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</si>
  <si>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</si>
  <si>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</si>
  <si>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</si>
  <si>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</si>
  <si>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</si>
  <si>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</si>
  <si>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</si>
  <si>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</si>
  <si>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</si>
  <si>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</si>
  <si>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</si>
  <si>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</si>
  <si>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</si>
  <si>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</si>
  <si>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</si>
  <si>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</si>
  <si>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</si>
  <si>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</si>
  <si>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</si>
  <si>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</si>
  <si>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</si>
  <si>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</si>
  <si>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</si>
  <si>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</si>
  <si>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</si>
  <si>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</si>
  <si>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</si>
  <si>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</si>
  <si>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</si>
  <si>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</si>
  <si>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</si>
  <si>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</si>
  <si>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</si>
  <si>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</si>
  <si>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</si>
  <si>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</si>
  <si>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</si>
  <si>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</si>
  <si>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</si>
  <si>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</si>
  <si>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</si>
  <si>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</si>
  <si>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</si>
  <si>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</si>
  <si>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</si>
  <si>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</si>
  <si>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</si>
  <si>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</si>
  <si>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</si>
  <si>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</si>
  <si>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</si>
  <si>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</si>
  <si>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</si>
  <si>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</si>
  <si>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</si>
  <si>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</si>
  <si>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</si>
  <si>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</si>
  <si>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</si>
  <si>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</si>
  <si>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</si>
  <si>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</si>
  <si>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</si>
  <si>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</si>
  <si>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</si>
  <si>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</si>
  <si>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</si>
  <si>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</si>
  <si>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</si>
  <si>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</si>
  <si>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</si>
  <si>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</si>
  <si>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</si>
  <si>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</si>
  <si>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</si>
  <si>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</si>
  <si>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</si>
  <si>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</si>
  <si>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</si>
  <si>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</si>
  <si>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</si>
  <si>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</si>
  <si>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</si>
  <si>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</si>
  <si>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</si>
  <si>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</si>
  <si>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</si>
  <si>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</si>
  <si>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</si>
  <si>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</si>
  <si>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</si>
  <si>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</si>
  <si>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</si>
  <si>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</si>
  <si>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</si>
  <si>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</si>
  <si>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</si>
  <si>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</si>
  <si>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</si>
  <si>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</si>
  <si>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</si>
  <si>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</si>
  <si>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</si>
  <si>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</si>
  <si>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</si>
  <si>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</si>
  <si>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</si>
  <si>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</si>
  <si>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</si>
  <si>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</si>
  <si>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</si>
  <si>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</si>
  <si>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</si>
  <si>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</si>
  <si>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</si>
  <si>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</si>
  <si>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</si>
  <si>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</si>
  <si>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</si>
  <si>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</si>
  <si>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</si>
  <si>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</si>
  <si>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</si>
  <si>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</si>
  <si>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</si>
  <si>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</si>
  <si>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</si>
  <si>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</si>
  <si>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</si>
  <si>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</si>
  <si>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</si>
  <si>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</si>
  <si>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</si>
  <si>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</si>
  <si>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</si>
  <si>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</si>
  <si>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</si>
  <si>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</si>
  <si>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</si>
  <si>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</si>
  <si>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</si>
  <si>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</si>
  <si>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</si>
  <si>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</si>
  <si>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</si>
  <si>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</si>
  <si>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</si>
  <si>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</si>
  <si>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</si>
  <si>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</si>
  <si>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</si>
  <si>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</si>
  <si>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</si>
  <si>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</si>
  <si>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</si>
  <si>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</si>
  <si>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</si>
  <si>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</si>
  <si>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</si>
  <si>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</si>
  <si>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</si>
  <si>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</si>
  <si>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</si>
  <si>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</si>
  <si>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</si>
  <si>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</si>
  <si>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</si>
  <si>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</si>
  <si>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</si>
  <si>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</si>
  <si>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</si>
  <si>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</si>
  <si>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</si>
  <si>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</si>
  <si>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</si>
  <si>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</si>
  <si>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</si>
  <si>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</si>
  <si>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</si>
  <si>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</si>
  <si>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</si>
  <si>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</si>
  <si>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</si>
  <si>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</si>
  <si>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</si>
  <si>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</si>
  <si>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</si>
  <si>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</si>
  <si>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</si>
  <si>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</si>
  <si>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</si>
  <si>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</si>
  <si>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</si>
  <si>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</si>
  <si>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</si>
  <si>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</si>
  <si>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</si>
  <si>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</si>
  <si>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</si>
  <si>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</si>
  <si>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</si>
  <si>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</si>
  <si>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</si>
  <si>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</si>
  <si>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</si>
  <si>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</si>
  <si>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</si>
  <si>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</si>
  <si>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</si>
  <si>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</si>
  <si>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</si>
  <si>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</si>
  <si>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</si>
  <si>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</si>
  <si>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</si>
  <si>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</si>
  <si>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</si>
  <si>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</si>
  <si>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</si>
  <si>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</si>
  <si>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</si>
  <si>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</si>
  <si>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</si>
  <si>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</si>
  <si>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</si>
  <si>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</si>
  <si>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</si>
  <si>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</si>
  <si>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</si>
  <si>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</si>
  <si>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</si>
  <si>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</si>
  <si>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</si>
  <si>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</si>
  <si>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</si>
  <si>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</si>
  <si>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</si>
  <si>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Category</t>
  </si>
  <si>
    <t>Subcategory</t>
  </si>
  <si>
    <t>(All)</t>
  </si>
  <si>
    <t>Count of outcome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</si>
  <si>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</si>
  <si>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</si>
  <si>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</si>
  <si>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</si>
  <si>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</si>
  <si>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</si>
  <si>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</si>
  <si>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</si>
  <si>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</si>
  <si>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</si>
  <si>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</si>
  <si>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</si>
  <si>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</si>
  <si>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</si>
  <si>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</si>
  <si>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</si>
  <si>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</si>
  <si>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</si>
  <si>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</si>
  <si>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</si>
  <si>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</si>
  <si>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</si>
  <si>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</si>
  <si>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</si>
  <si>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</si>
  <si>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</si>
  <si>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</si>
  <si>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</si>
  <si>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</si>
  <si>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</si>
  <si>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</si>
  <si>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</si>
  <si>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</si>
  <si>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</si>
  <si>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</si>
  <si>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</si>
  <si>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</si>
  <si>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</si>
  <si>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</si>
  <si>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</si>
  <si>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</si>
  <si>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</si>
  <si>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</si>
  <si>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</si>
  <si>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</si>
  <si>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</si>
  <si>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</si>
  <si>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</si>
  <si>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</si>
  <si>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</si>
  <si>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</si>
  <si>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cancelled</t>
  </si>
  <si>
    <t>succ</t>
  </si>
  <si>
    <t>Column1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</si>
  <si>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</si>
  <si>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</si>
  <si>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</si>
  <si>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</si>
  <si>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</si>
  <si>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</si>
  <si>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</si>
  <si>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</si>
  <si>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</si>
  <si>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</si>
  <si>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</si>
  <si>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</si>
  <si>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</si>
  <si>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</si>
  <si>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</si>
  <si>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</si>
  <si>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</si>
  <si>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</si>
  <si>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</si>
  <si>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</si>
  <si>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</si>
  <si>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</si>
  <si>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</t>
  </si>
  <si>
    <t>median</t>
  </si>
  <si>
    <t>maximum</t>
  </si>
  <si>
    <t>varience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</si>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</sst>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Roboto"/>
    </font>
    <font>
      <b/>
      <sz val="12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16" fillId="0" borderId="0" xfId="42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textRotation="45"/>
    </xf>
    <xf numFmtId="0" fontId="18" fillId="0" borderId="0" xfId="0" applyFont="1" applyAlignment="1">
      <alignment horizontal="left" vertical="center" indent="1"/>
    </xf>
    <xf numFmtId="0" fontId="16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[alejandra hw 1.xlsx]parent categories!PivotTable3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categories'!$A$6:$A$15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3A-0F49-BEE9-C58474C3D2B1}"/>
            </c:ext>
          </c:extLst>
        </c:ser>
        <c:ser>
          <c:idx val="1"/>
          <c:order val="1"/>
          <c:tx>
            <c:strRef>
              <c:f>'parent 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categories'!$A$6:$A$15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3A-0F49-BEE9-C58474C3D2B1}"/>
            </c:ext>
          </c:extLst>
        </c:ser>
        <c:ser>
          <c:idx val="2"/>
          <c:order val="2"/>
          <c:tx>
            <c:strRef>
              <c:f>'parent 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categories'!$A$6:$A$15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3A-0F49-BEE9-C58474C3D2B1}"/>
            </c:ext>
          </c:extLst>
        </c:ser>
        <c:ser>
          <c:idx val="3"/>
          <c:order val="3"/>
          <c:tx>
            <c:strRef>
              <c:f>'parent 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categories'!$A$6:$A$15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03A-0F49-BEE9-C58474C3D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531024"/>
        <c:axId val="2103728815"/>
      </c:barChart>
      <c:catAx>
        <c:axId val="353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28815"/>
        <c:crosses val="autoZero"/>
        <c:auto val="1"/>
        <c:lblAlgn val="ctr"/>
        <c:lblOffset val="100"/>
        <c:noMultiLvlLbl val="0"/>
      </c:catAx>
      <c:valAx>
        <c:axId val="210372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[alejandra hw 1.xlsx]subcategories!PivotTable4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subcategories!$B$4:$B$5</c:f>
              <c:strCache>
                <c:ptCount val="1"/>
                <c:pt idx="0">
                  <c:v>canceled</c:v>
                </c:pt>
              </c:strCache>
            </c:strRef>
          </c:tx>
          <c:invertIfNegative val="0"/>
          <c:cat>
            <c:strRef>
              <c:f>subcategories!$A$6:$A$30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subcategories!$B$6:$B$30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BF2-A947-B1CE-6FF8402BCA93}"/>
            </c:ext>
          </c:extLst>
        </c:ser>
        <c:ser>
          <c:idx val="1"/>
          <c:order val="1"/>
          <c:tx>
            <c:strRef>
              <c:f>subcategories!$C$4:$C$5</c:f>
              <c:strCache>
                <c:ptCount val="1"/>
                <c:pt idx="0">
                  <c:v>failed</c:v>
                </c:pt>
              </c:strCache>
            </c:strRef>
          </c:tx>
          <c:invertIfNegative val="0"/>
          <c:cat>
            <c:strRef>
              <c:f>subcategories!$A$6:$A$30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subcategories!$C$6:$C$30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BF2-A947-B1CE-6FF8402BCA93}"/>
            </c:ext>
          </c:extLst>
        </c:ser>
        <c:ser>
          <c:idx val="2"/>
          <c:order val="2"/>
          <c:tx>
            <c:strRef>
              <c:f>subcategories!$D$4:$D$5</c:f>
              <c:strCache>
                <c:ptCount val="1"/>
                <c:pt idx="0">
                  <c:v>live</c:v>
                </c:pt>
              </c:strCache>
            </c:strRef>
          </c:tx>
          <c:invertIfNegative val="0"/>
          <c:cat>
            <c:strRef>
              <c:f>subcategories!$A$6:$A$30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subcategories!$D$6:$D$30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BF2-A947-B1CE-6FF8402BCA93}"/>
            </c:ext>
          </c:extLst>
        </c:ser>
        <c:ser>
          <c:idx val="3"/>
          <c:order val="3"/>
          <c:tx>
            <c:strRef>
              <c:f>subcategories!$E$4:$E$5</c:f>
              <c:strCache>
                <c:ptCount val="1"/>
                <c:pt idx="0">
                  <c:v>successful</c:v>
                </c:pt>
              </c:strCache>
            </c:strRef>
          </c:tx>
          <c:invertIfNegative val="0"/>
          <c:cat>
            <c:strRef>
              <c:f>subcategories!$A$6:$A$30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subcategories!$E$6:$E$30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BF2-A947-B1CE-6FF8402BC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531024"/>
        <c:axId val="2103728815"/>
      </c:barChart>
      <c:catAx>
        <c:axId val="353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28815"/>
        <c:crosses val="autoZero"/>
        <c:auto val="1"/>
        <c:lblAlgn val="ctr"/>
        <c:lblOffset val="100"/>
        <c:tickMarkSkip val="1"/>
        <c:noMultiLvlLbl val="0"/>
      </c:catAx>
      <c:valAx>
        <c:axId val="210372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573237294201864"/>
          <c:y val="0.21705781568970545"/>
          <c:w val="7.6589851515387095E-2"/>
          <c:h val="0.17630735111599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[alejandra hw 1.xlsx]outcome month chart!PivotTable5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649136542591266"/>
          <c:y val="5.5555555555555552E-2"/>
          <c:w val="0.71640009842519681"/>
          <c:h val="0.84171296296296294"/>
        </c:manualLayout>
      </c:layout>
      <c:lineChart>
        <c:grouping val="stacked"/>
        <c:varyColors val="0"/>
        <c:ser>
          <c:idx val="0"/>
          <c:order val="0"/>
          <c:tx>
            <c:strRef>
              <c:f>'outcome month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month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month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20-ED4F-8B01-D6C04A8E8201}"/>
            </c:ext>
          </c:extLst>
        </c:ser>
        <c:ser>
          <c:idx val="1"/>
          <c:order val="1"/>
          <c:tx>
            <c:strRef>
              <c:f>'outcome month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month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month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20-ED4F-8B01-D6C04A8E8201}"/>
            </c:ext>
          </c:extLst>
        </c:ser>
        <c:ser>
          <c:idx val="2"/>
          <c:order val="2"/>
          <c:tx>
            <c:strRef>
              <c:f>'outcome month 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month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month 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20-ED4F-8B01-D6C04A8E8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565024"/>
        <c:axId val="343567296"/>
      </c:lineChart>
      <c:catAx>
        <c:axId val="3435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567296"/>
        <c:crosses val="autoZero"/>
        <c:auto val="1"/>
        <c:lblAlgn val="ctr"/>
        <c:lblOffset val="100"/>
        <c:noMultiLvlLbl val="0"/>
      </c:catAx>
      <c:valAx>
        <c:axId val="3435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5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F-6D41-835B-BD848C2F631A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F-6D41-835B-BD848C2F631A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9F-6D41-835B-BD848C2F6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529103"/>
        <c:axId val="2013011807"/>
      </c:lineChart>
      <c:catAx>
        <c:axId val="188452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011807"/>
        <c:crosses val="autoZero"/>
        <c:auto val="1"/>
        <c:lblAlgn val="ctr"/>
        <c:lblOffset val="100"/>
        <c:noMultiLvlLbl val="0"/>
      </c:catAx>
      <c:valAx>
        <c:axId val="20130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52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69D1569-C42E-E74C-B7A1-239AF558907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E15EBFD1-A17B-654F-B723-930646EB7F6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3</xdr:row>
      <xdr:rowOff>114300</xdr:rowOff>
    </xdr:from>
    <xdr:to>
      <xdr:col>14</xdr:col>
      <xdr:colOff>203200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35AB7-FC25-76E0-8442-62A08458F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6</xdr:row>
      <xdr:rowOff>38100</xdr:rowOff>
    </xdr:from>
    <xdr:to>
      <xdr:col>17</xdr:col>
      <xdr:colOff>177800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3C84E7-40A4-2D85-FC00-10FF7FFF9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4</xdr:row>
      <xdr:rowOff>12700</xdr:rowOff>
    </xdr:from>
    <xdr:to>
      <xdr:col>13</xdr:col>
      <xdr:colOff>254000</xdr:colOff>
      <xdr:row>21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D6C05D-8484-8CAF-B94A-D560A5873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15</xdr:row>
      <xdr:rowOff>95250</xdr:rowOff>
    </xdr:from>
    <xdr:to>
      <xdr:col>8</xdr:col>
      <xdr:colOff>342900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98405B-4F51-E93D-EB12-A4DDDB19D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387350</xdr:colOff>
      <xdr:row>7</xdr:row>
      <xdr:rowOff>19050</xdr:rowOff>
    </xdr:from>
    <xdr:to>
      <xdr:col>8</xdr:col>
      <xdr:colOff>1517650</xdr:colOff>
      <xdr:row>20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9D096C2-FF48-6B33-2E52-1019BF31E9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550" y="144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44450</xdr:colOff>
      <xdr:row>7</xdr:row>
      <xdr:rowOff>31750</xdr:rowOff>
    </xdr:from>
    <xdr:to>
      <xdr:col>14</xdr:col>
      <xdr:colOff>488950</xdr:colOff>
      <xdr:row>20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0D04AE5-82BC-2C96-1B0C-8F6175B7F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0050" y="1454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59.83875289352" createdVersion="8" refreshedVersion="8" minRefreshableVersion="3" recordCount="1000" xr:uid="{FB3631C1-EFF6-614A-89D1-7EB75C99517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60.792785069447" createdVersion="8" refreshedVersion="8" minRefreshableVersion="3" recordCount="1000" xr:uid="{3BFDA199-B7DD-5246-837F-7D91BD7A642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s v="CA"/>
    <s v="CAD"/>
    <n v="1448690400"/>
    <n v="1450159200"/>
    <b v="0"/>
    <b v="0"/>
    <s v="food/food trucks"/>
    <n v="0"/>
    <x v="0"/>
    <s v="food trucks"/>
    <x v="0"/>
    <d v="2015-12-15T06:00:00"/>
  </r>
  <r>
    <n v="1"/>
    <s v="Odom Inc"/>
    <s v="Managed bottom-line architecture"/>
    <n v="1400"/>
    <n v="14560"/>
    <x v="1"/>
    <n v="10.4"/>
    <n v="158"/>
    <s v="US"/>
    <s v="USD"/>
    <n v="1408424400"/>
    <n v="1408597200"/>
    <b v="0"/>
    <b v="1"/>
    <s v="music/rock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.3147878228782288"/>
    <n v="1425"/>
    <s v="AU"/>
    <s v="AUD"/>
    <n v="1384668000"/>
    <n v="1384840800"/>
    <b v="0"/>
    <b v="0"/>
    <s v="technology/web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0.58976190476190471"/>
    <n v="24"/>
    <s v="US"/>
    <s v="USD"/>
    <n v="1565499600"/>
    <n v="1568955600"/>
    <b v="0"/>
    <b v="0"/>
    <s v="music/rock"/>
    <n v="103.20833333333333"/>
    <x v="1"/>
    <s v="rock"/>
    <x v="3"/>
    <d v="2019-09-20T05:00:00"/>
  </r>
  <r>
    <n v="4"/>
    <s v="Larson-Little"/>
    <s v="Proactive foreground core"/>
    <n v="7600"/>
    <n v="5265"/>
    <x v="0"/>
    <n v="0.69276315789473686"/>
    <n v="53"/>
    <s v="US"/>
    <s v="USD"/>
    <n v="1547964000"/>
    <n v="1548309600"/>
    <b v="0"/>
    <b v="0"/>
    <s v="theater/plays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.7361842105263159"/>
    <n v="174"/>
    <s v="DK"/>
    <s v="DKK"/>
    <n v="1346130000"/>
    <n v="1347080400"/>
    <b v="0"/>
    <b v="0"/>
    <s v="theater/plays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0.20961538461538462"/>
    <n v="18"/>
    <s v="GB"/>
    <s v="GBP"/>
    <n v="1505278800"/>
    <n v="1505365200"/>
    <b v="0"/>
    <b v="0"/>
    <s v="film &amp; video/documentary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3.2757777777777779"/>
    <n v="227"/>
    <s v="DK"/>
    <s v="DKK"/>
    <n v="1439442000"/>
    <n v="1439614800"/>
    <b v="0"/>
    <b v="0"/>
    <s v="theater/plays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0.19932788374205268"/>
    <n v="708"/>
    <s v="DK"/>
    <s v="DKK"/>
    <n v="1281330000"/>
    <n v="1281502800"/>
    <b v="0"/>
    <b v="0"/>
    <s v="theater/plays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0.51741935483870971"/>
    <n v="44"/>
    <s v="US"/>
    <s v="USD"/>
    <n v="1379566800"/>
    <n v="1383804000"/>
    <b v="0"/>
    <b v="0"/>
    <s v="music/electric music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.6611538461538462"/>
    <n v="220"/>
    <s v="US"/>
    <s v="USD"/>
    <n v="1281762000"/>
    <n v="1285909200"/>
    <b v="0"/>
    <b v="0"/>
    <s v="film &amp; video/drama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0.48095238095238096"/>
    <n v="27"/>
    <s v="US"/>
    <s v="USD"/>
    <n v="1285045200"/>
    <n v="1285563600"/>
    <b v="0"/>
    <b v="1"/>
    <s v="theater/plays"/>
    <n v="112.22222222222223"/>
    <x v="3"/>
    <s v="plays"/>
    <x v="11"/>
    <d v="2010-09-27T05:00:00"/>
  </r>
  <r>
    <n v="12"/>
    <s v="Kim Ltd"/>
    <s v="Assimilated hybrid intranet"/>
    <n v="6300"/>
    <n v="5629"/>
    <x v="0"/>
    <n v="0.89349206349206345"/>
    <n v="55"/>
    <s v="US"/>
    <s v="USD"/>
    <n v="1571720400"/>
    <n v="1572411600"/>
    <b v="0"/>
    <b v="0"/>
    <s v="film &amp; video/drama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2.4511904761904764"/>
    <n v="98"/>
    <s v="US"/>
    <s v="USD"/>
    <n v="1465621200"/>
    <n v="1466658000"/>
    <b v="0"/>
    <b v="0"/>
    <s v="music/indie rock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0.66769503546099296"/>
    <n v="200"/>
    <s v="US"/>
    <s v="USD"/>
    <n v="1331013600"/>
    <n v="1333342800"/>
    <b v="0"/>
    <b v="0"/>
    <s v="music/indie rock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0.47307881773399013"/>
    <n v="452"/>
    <s v="US"/>
    <s v="USD"/>
    <n v="1575957600"/>
    <n v="1576303200"/>
    <b v="0"/>
    <b v="0"/>
    <s v="technology/wearables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6.4947058823529416"/>
    <n v="100"/>
    <s v="US"/>
    <s v="USD"/>
    <n v="1390370400"/>
    <n v="1392271200"/>
    <b v="0"/>
    <b v="0"/>
    <s v="publishing/nonfiction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.5939125295508274"/>
    <n v="1249"/>
    <s v="US"/>
    <s v="USD"/>
    <n v="1294812000"/>
    <n v="1294898400"/>
    <b v="0"/>
    <b v="0"/>
    <s v="film &amp; video/animation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0.66912087912087914"/>
    <n v="135"/>
    <s v="US"/>
    <s v="USD"/>
    <n v="1536382800"/>
    <n v="1537074000"/>
    <b v="0"/>
    <b v="0"/>
    <s v="theater/plays"/>
    <n v="45.103703703703701"/>
    <x v="3"/>
    <s v="plays"/>
    <x v="18"/>
    <d v="2018-09-16T05:00:00"/>
  </r>
  <r>
    <n v="19"/>
    <s v="Perez-Hess"/>
    <s v="Down-sized cohesive archive"/>
    <n v="62500"/>
    <n v="30331"/>
    <x v="0"/>
    <n v="0.48529600000000001"/>
    <n v="674"/>
    <s v="US"/>
    <s v="USD"/>
    <n v="1551679200"/>
    <n v="1553490000"/>
    <b v="0"/>
    <b v="1"/>
    <s v="theater/plays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.1224279210925645"/>
    <n v="1396"/>
    <s v="US"/>
    <s v="USD"/>
    <n v="1406523600"/>
    <n v="1406523600"/>
    <b v="0"/>
    <b v="0"/>
    <s v="film &amp; video/drama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0.40992553191489361"/>
    <n v="558"/>
    <s v="US"/>
    <s v="USD"/>
    <n v="1313384400"/>
    <n v="1316322000"/>
    <b v="0"/>
    <b v="0"/>
    <s v="theater/plays"/>
    <n v="69.055555555555557"/>
    <x v="3"/>
    <s v="plays"/>
    <x v="21"/>
    <d v="2011-09-18T05:00:00"/>
  </r>
  <r>
    <n v="22"/>
    <s v="Collier Inc"/>
    <s v="Enhanced dynamic definition"/>
    <n v="59100"/>
    <n v="75690"/>
    <x v="1"/>
    <n v="1.2807106598984772"/>
    <n v="890"/>
    <s v="US"/>
    <s v="USD"/>
    <n v="1522731600"/>
    <n v="1524027600"/>
    <b v="0"/>
    <b v="0"/>
    <s v="theater/plays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3.3204444444444445"/>
    <n v="142"/>
    <s v="GB"/>
    <s v="GBP"/>
    <n v="1550124000"/>
    <n v="1554699600"/>
    <b v="0"/>
    <b v="0"/>
    <s v="film &amp; video/documentary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1.1283225108225108"/>
    <n v="2673"/>
    <s v="US"/>
    <s v="USD"/>
    <n v="1403326800"/>
    <n v="1403499600"/>
    <b v="0"/>
    <b v="0"/>
    <s v="technology/wearables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2.1643636363636363"/>
    <n v="163"/>
    <s v="US"/>
    <s v="USD"/>
    <n v="1305694800"/>
    <n v="1307422800"/>
    <b v="0"/>
    <b v="1"/>
    <s v="games/video games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0.4819906976744186"/>
    <n v="1480"/>
    <s v="US"/>
    <s v="USD"/>
    <n v="1533013200"/>
    <n v="1535346000"/>
    <b v="0"/>
    <b v="0"/>
    <s v="theater/plays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0.79949999999999999"/>
    <n v="15"/>
    <s v="US"/>
    <s v="USD"/>
    <n v="1443848400"/>
    <n v="1444539600"/>
    <b v="0"/>
    <b v="0"/>
    <s v="music/rock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1.0522553516819573"/>
    <n v="2220"/>
    <s v="US"/>
    <s v="USD"/>
    <n v="1265695200"/>
    <n v="1267682400"/>
    <b v="0"/>
    <b v="1"/>
    <s v="theater/plays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3.2889978213507627"/>
    <n v="1606"/>
    <s v="CH"/>
    <s v="CHF"/>
    <n v="1532062800"/>
    <n v="1535518800"/>
    <b v="0"/>
    <b v="0"/>
    <s v="film &amp; video/shorts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.606111111111111"/>
    <n v="129"/>
    <s v="US"/>
    <s v="USD"/>
    <n v="1558674000"/>
    <n v="1559106000"/>
    <b v="0"/>
    <b v="0"/>
    <s v="film &amp; video/animation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3.1"/>
    <n v="226"/>
    <s v="GB"/>
    <s v="GBP"/>
    <n v="1451973600"/>
    <n v="1454392800"/>
    <b v="0"/>
    <b v="0"/>
    <s v="games/video games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0.86807920792079207"/>
    <n v="2307"/>
    <s v="IT"/>
    <s v="EUR"/>
    <n v="1515564000"/>
    <n v="1517896800"/>
    <b v="0"/>
    <b v="0"/>
    <s v="film &amp; video/documentary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3.7782071713147412"/>
    <n v="5419"/>
    <s v="US"/>
    <s v="USD"/>
    <n v="1412485200"/>
    <n v="1415685600"/>
    <b v="0"/>
    <b v="0"/>
    <s v="theater/plays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.5080645161290323"/>
    <n v="165"/>
    <s v="US"/>
    <s v="USD"/>
    <n v="1490245200"/>
    <n v="1490677200"/>
    <b v="0"/>
    <b v="0"/>
    <s v="film &amp; video/documentary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.5030119521912351"/>
    <n v="1965"/>
    <s v="DK"/>
    <s v="DKK"/>
    <n v="1547877600"/>
    <n v="1551506400"/>
    <b v="0"/>
    <b v="1"/>
    <s v="film &amp; video/drama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.572857142857143"/>
    <n v="16"/>
    <s v="US"/>
    <s v="USD"/>
    <n v="1298700000"/>
    <n v="1300856400"/>
    <b v="0"/>
    <b v="0"/>
    <s v="theater/plays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.3998765432098765"/>
    <n v="107"/>
    <s v="US"/>
    <s v="USD"/>
    <n v="1570338000"/>
    <n v="1573192800"/>
    <b v="0"/>
    <b v="1"/>
    <s v="publishing/fiction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3.2532258064516131"/>
    <n v="134"/>
    <s v="US"/>
    <s v="USD"/>
    <n v="1287378000"/>
    <n v="1287810000"/>
    <b v="0"/>
    <b v="0"/>
    <s v="photography/photography books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0.50777777777777777"/>
    <n v="88"/>
    <s v="DK"/>
    <s v="DKK"/>
    <n v="1361772000"/>
    <n v="1362978000"/>
    <b v="0"/>
    <b v="0"/>
    <s v="theater/plays"/>
    <n v="57.125"/>
    <x v="3"/>
    <s v="plays"/>
    <x v="39"/>
    <d v="2013-03-11T05:00:00"/>
  </r>
  <r>
    <n v="40"/>
    <s v="Garcia, Garcia and Lopez"/>
    <s v="Reduced stable middleware"/>
    <n v="8800"/>
    <n v="14878"/>
    <x v="1"/>
    <n v="1.6906818181818182"/>
    <n v="198"/>
    <s v="US"/>
    <s v="USD"/>
    <n v="1275714000"/>
    <n v="1277355600"/>
    <b v="0"/>
    <b v="1"/>
    <s v="technology/wearables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2.1292857142857144"/>
    <n v="111"/>
    <s v="IT"/>
    <s v="EUR"/>
    <n v="1346734800"/>
    <n v="1348981200"/>
    <b v="0"/>
    <b v="1"/>
    <s v="music/rock"/>
    <n v="107.42342342342343"/>
    <x v="1"/>
    <s v="rock"/>
    <x v="41"/>
    <d v="2012-09-30T05:00:00"/>
  </r>
  <r>
    <n v="42"/>
    <s v="Werner-Bryant"/>
    <s v="Virtual uniform frame"/>
    <n v="1800"/>
    <n v="7991"/>
    <x v="1"/>
    <n v="4.4394444444444447"/>
    <n v="222"/>
    <s v="US"/>
    <s v="USD"/>
    <n v="1309755600"/>
    <n v="1310533200"/>
    <b v="0"/>
    <b v="0"/>
    <s v="food/food trucks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1.859390243902439"/>
    <n v="6212"/>
    <s v="US"/>
    <s v="USD"/>
    <n v="1406178000"/>
    <n v="1407560400"/>
    <b v="0"/>
    <b v="0"/>
    <s v="publishing/radio &amp; podcasts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6.5881249999999998"/>
    <n v="98"/>
    <s v="DK"/>
    <s v="DKK"/>
    <n v="1552798800"/>
    <n v="1552885200"/>
    <b v="0"/>
    <b v="0"/>
    <s v="publishing/fiction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0.4768421052631579"/>
    <n v="48"/>
    <s v="US"/>
    <s v="USD"/>
    <n v="1478062800"/>
    <n v="1479362400"/>
    <b v="0"/>
    <b v="1"/>
    <s v="theater/plays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1.1478378378378378"/>
    <n v="92"/>
    <s v="US"/>
    <s v="USD"/>
    <n v="1278565200"/>
    <n v="1280552400"/>
    <b v="0"/>
    <b v="0"/>
    <s v="music/rock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4.7526666666666664"/>
    <n v="149"/>
    <s v="US"/>
    <s v="USD"/>
    <n v="1396069200"/>
    <n v="1398661200"/>
    <b v="0"/>
    <b v="0"/>
    <s v="theater/plays"/>
    <n v="47.845637583892618"/>
    <x v="3"/>
    <s v="plays"/>
    <x v="47"/>
    <d v="2014-04-28T05:00:00"/>
  </r>
  <r>
    <n v="48"/>
    <s v="Lamb Inc"/>
    <s v="Optimized leadingedge concept"/>
    <n v="33300"/>
    <n v="128862"/>
    <x v="1"/>
    <n v="3.86972972972973"/>
    <n v="2431"/>
    <s v="US"/>
    <s v="USD"/>
    <n v="1435208400"/>
    <n v="1436245200"/>
    <b v="0"/>
    <b v="0"/>
    <s v="theater/plays"/>
    <n v="53.007815713698065"/>
    <x v="3"/>
    <s v="plays"/>
    <x v="48"/>
    <d v="2015-07-07T05:00:00"/>
  </r>
  <r>
    <n v="49"/>
    <s v="Casey-Kelly"/>
    <s v="Sharable holistic interface"/>
    <n v="7200"/>
    <n v="13653"/>
    <x v="1"/>
    <n v="1.89625"/>
    <n v="303"/>
    <s v="US"/>
    <s v="USD"/>
    <n v="1571547600"/>
    <n v="1575439200"/>
    <b v="0"/>
    <b v="0"/>
    <s v="music/rock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0.02"/>
    <n v="1"/>
    <s v="IT"/>
    <s v="EUR"/>
    <n v="1375333200"/>
    <n v="137775240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0.91867805186590767"/>
    <n v="1467"/>
    <s v="GB"/>
    <s v="GBP"/>
    <n v="1332824400"/>
    <n v="1334206800"/>
    <b v="0"/>
    <b v="1"/>
    <s v="technology/wearables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0.34152777777777776"/>
    <n v="75"/>
    <s v="US"/>
    <s v="USD"/>
    <n v="1284526800"/>
    <n v="1284872400"/>
    <b v="0"/>
    <b v="0"/>
    <s v="theater/plays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1.4040909090909091"/>
    <n v="209"/>
    <s v="US"/>
    <s v="USD"/>
    <n v="1400562000"/>
    <n v="1403931600"/>
    <b v="0"/>
    <b v="0"/>
    <s v="film &amp; video/drama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0.89866666666666661"/>
    <n v="120"/>
    <s v="US"/>
    <s v="USD"/>
    <n v="1520748000"/>
    <n v="1521262800"/>
    <b v="0"/>
    <b v="0"/>
    <s v="technology/wearables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.7796969696969698"/>
    <n v="131"/>
    <s v="US"/>
    <s v="USD"/>
    <n v="1532926800"/>
    <n v="1533358800"/>
    <b v="0"/>
    <b v="0"/>
    <s v="music/jazz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.436625"/>
    <n v="164"/>
    <s v="US"/>
    <s v="USD"/>
    <n v="1420869600"/>
    <n v="1421474400"/>
    <b v="0"/>
    <b v="0"/>
    <s v="technology/wearables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.1527586206896552"/>
    <n v="201"/>
    <s v="US"/>
    <s v="USD"/>
    <n v="1504242000"/>
    <n v="1505278800"/>
    <b v="0"/>
    <b v="0"/>
    <s v="games/video games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.2711111111111113"/>
    <n v="211"/>
    <s v="US"/>
    <s v="USD"/>
    <n v="1442811600"/>
    <n v="1443934800"/>
    <b v="0"/>
    <b v="0"/>
    <s v="theater/plays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2.7507142857142859"/>
    <n v="128"/>
    <s v="US"/>
    <s v="USD"/>
    <n v="1497243600"/>
    <n v="1498539600"/>
    <b v="0"/>
    <b v="1"/>
    <s v="theater/plays"/>
    <n v="30.0859375"/>
    <x v="3"/>
    <s v="plays"/>
    <x v="59"/>
    <d v="2017-06-27T05:00:00"/>
  </r>
  <r>
    <n v="60"/>
    <s v="Crawford-Peters"/>
    <s v="User-centric regional database"/>
    <n v="94200"/>
    <n v="135997"/>
    <x v="1"/>
    <n v="1.4437048832271762"/>
    <n v="1600"/>
    <s v="CA"/>
    <s v="CAD"/>
    <n v="1342501200"/>
    <n v="1342760400"/>
    <b v="0"/>
    <b v="0"/>
    <s v="theater/plays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0.92745983935742971"/>
    <n v="2253"/>
    <s v="CA"/>
    <s v="CAD"/>
    <n v="1298268000"/>
    <n v="1301720400"/>
    <b v="0"/>
    <b v="0"/>
    <s v="theater/plays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7.226"/>
    <n v="249"/>
    <s v="US"/>
    <s v="USD"/>
    <n v="1433480400"/>
    <n v="1433566800"/>
    <b v="0"/>
    <b v="0"/>
    <s v="technology/web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0.11851063829787234"/>
    <n v="5"/>
    <s v="US"/>
    <s v="USD"/>
    <n v="1493355600"/>
    <n v="1493874000"/>
    <b v="0"/>
    <b v="0"/>
    <s v="theater/plays"/>
    <n v="111.4"/>
    <x v="3"/>
    <s v="plays"/>
    <x v="63"/>
    <d v="2017-05-04T05:00:00"/>
  </r>
  <r>
    <n v="64"/>
    <s v="Mosley-Gilbert"/>
    <s v="Vision-oriented logistical intranet"/>
    <n v="2800"/>
    <n v="2734"/>
    <x v="0"/>
    <n v="0.97642857142857142"/>
    <n v="38"/>
    <s v="US"/>
    <s v="USD"/>
    <n v="1530507600"/>
    <n v="1531803600"/>
    <b v="0"/>
    <b v="1"/>
    <s v="technology/web"/>
    <n v="71.94736842105263"/>
    <x v="2"/>
    <s v="web"/>
    <x v="64"/>
    <d v="2018-07-17T05:00:00"/>
  </r>
  <r>
    <n v="65"/>
    <s v="Berry-Boyer"/>
    <s v="Mandatory incremental projection"/>
    <n v="6100"/>
    <n v="14405"/>
    <x v="1"/>
    <n v="2.3614754098360655"/>
    <n v="236"/>
    <s v="US"/>
    <s v="USD"/>
    <n v="1296108000"/>
    <n v="1296712800"/>
    <b v="0"/>
    <b v="0"/>
    <s v="theater/plays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0.45068965517241377"/>
    <n v="12"/>
    <s v="US"/>
    <s v="USD"/>
    <n v="1428469200"/>
    <n v="1428901200"/>
    <b v="0"/>
    <b v="1"/>
    <s v="theater/plays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1.6238567493112948"/>
    <n v="4065"/>
    <s v="GB"/>
    <s v="GBP"/>
    <n v="1264399200"/>
    <n v="1264831200"/>
    <b v="0"/>
    <b v="1"/>
    <s v="technology/wearables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.5452631578947367"/>
    <n v="246"/>
    <s v="IT"/>
    <s v="EUR"/>
    <n v="1501131600"/>
    <n v="1505192400"/>
    <b v="0"/>
    <b v="1"/>
    <s v="theater/plays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0.24063291139240506"/>
    <n v="17"/>
    <s v="US"/>
    <s v="USD"/>
    <n v="1292738400"/>
    <n v="1295676000"/>
    <b v="0"/>
    <b v="0"/>
    <s v="theater/plays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1.2374140625000001"/>
    <n v="2475"/>
    <s v="IT"/>
    <s v="EUR"/>
    <n v="1288674000"/>
    <n v="1292911200"/>
    <b v="0"/>
    <b v="1"/>
    <s v="theater/plays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1.0806666666666667"/>
    <n v="76"/>
    <s v="US"/>
    <s v="USD"/>
    <n v="1575093600"/>
    <n v="1575439200"/>
    <b v="0"/>
    <b v="0"/>
    <s v="theater/plays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6.7033333333333331"/>
    <n v="54"/>
    <s v="US"/>
    <s v="USD"/>
    <n v="1435726800"/>
    <n v="1438837200"/>
    <b v="0"/>
    <b v="0"/>
    <s v="film &amp; video/animation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6.609285714285714"/>
    <n v="88"/>
    <s v="US"/>
    <s v="USD"/>
    <n v="1480226400"/>
    <n v="1480485600"/>
    <b v="0"/>
    <b v="0"/>
    <s v="music/jazz"/>
    <n v="105.14772727272727"/>
    <x v="1"/>
    <s v="jazz"/>
    <x v="73"/>
    <d v="2016-11-30T06:00:00"/>
  </r>
  <r>
    <n v="74"/>
    <s v="Davis-Michael"/>
    <s v="Progressive tertiary framework"/>
    <n v="3900"/>
    <n v="4776"/>
    <x v="1"/>
    <n v="1.2246153846153847"/>
    <n v="85"/>
    <s v="GB"/>
    <s v="GBP"/>
    <n v="1459054800"/>
    <n v="1459141200"/>
    <b v="0"/>
    <b v="0"/>
    <s v="music/metal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.5057731958762886"/>
    <n v="170"/>
    <s v="US"/>
    <s v="USD"/>
    <n v="1531630800"/>
    <n v="1532322000"/>
    <b v="0"/>
    <b v="0"/>
    <s v="photography/photography books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0.78106590724165992"/>
    <n v="1684"/>
    <s v="US"/>
    <s v="USD"/>
    <n v="1421992800"/>
    <n v="1426222800"/>
    <b v="1"/>
    <b v="1"/>
    <s v="theater/plays"/>
    <n v="57.00296912114014"/>
    <x v="3"/>
    <s v="plays"/>
    <x v="76"/>
    <d v="2015-03-13T05:00:00"/>
  </r>
  <r>
    <n v="77"/>
    <s v="Acevedo-Huffman"/>
    <s v="Pre-emptive impactful model"/>
    <n v="9500"/>
    <n v="4460"/>
    <x v="0"/>
    <n v="0.46947368421052632"/>
    <n v="56"/>
    <s v="US"/>
    <s v="USD"/>
    <n v="1285563600"/>
    <n v="1286773200"/>
    <b v="0"/>
    <b v="1"/>
    <s v="film &amp; video/animation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.008"/>
    <n v="330"/>
    <s v="US"/>
    <s v="USD"/>
    <n v="1523854800"/>
    <n v="1523941200"/>
    <b v="0"/>
    <b v="0"/>
    <s v="publishing/translations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0.6959861591695502"/>
    <n v="838"/>
    <s v="US"/>
    <s v="USD"/>
    <n v="1529125200"/>
    <n v="1529557200"/>
    <b v="0"/>
    <b v="0"/>
    <s v="theater/plays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6.374545454545455"/>
    <n v="127"/>
    <s v="US"/>
    <s v="USD"/>
    <n v="1503982800"/>
    <n v="1506574800"/>
    <b v="0"/>
    <b v="0"/>
    <s v="games/video games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2.253392857142857"/>
    <n v="411"/>
    <s v="US"/>
    <s v="USD"/>
    <n v="1511416800"/>
    <n v="1513576800"/>
    <b v="0"/>
    <b v="0"/>
    <s v="music/rock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4.973000000000001"/>
    <n v="180"/>
    <s v="GB"/>
    <s v="GBP"/>
    <n v="1547704800"/>
    <n v="1548309600"/>
    <b v="0"/>
    <b v="1"/>
    <s v="games/video games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0.37590225563909774"/>
    <n v="1000"/>
    <s v="US"/>
    <s v="USD"/>
    <n v="1469682000"/>
    <n v="1471582800"/>
    <b v="0"/>
    <b v="0"/>
    <s v="music/electric music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1.3236942675159236"/>
    <n v="374"/>
    <s v="US"/>
    <s v="USD"/>
    <n v="1343451600"/>
    <n v="1344315600"/>
    <b v="0"/>
    <b v="0"/>
    <s v="technology/wearables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1.3122448979591836"/>
    <n v="71"/>
    <s v="AU"/>
    <s v="AUD"/>
    <n v="1315717200"/>
    <n v="1316408400"/>
    <b v="0"/>
    <b v="0"/>
    <s v="music/indie rock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1.6763513513513513"/>
    <n v="203"/>
    <s v="US"/>
    <s v="USD"/>
    <n v="1430715600"/>
    <n v="1431838800"/>
    <b v="1"/>
    <b v="0"/>
    <s v="theater/plays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0.6198488664987406"/>
    <n v="1482"/>
    <s v="AU"/>
    <s v="AUD"/>
    <n v="1299564000"/>
    <n v="1300510800"/>
    <b v="0"/>
    <b v="1"/>
    <s v="music/rock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2.6074999999999999"/>
    <n v="113"/>
    <s v="US"/>
    <s v="USD"/>
    <n v="1429160400"/>
    <n v="1431061200"/>
    <b v="0"/>
    <b v="0"/>
    <s v="publishing/translations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2.5258823529411765"/>
    <n v="96"/>
    <s v="US"/>
    <s v="USD"/>
    <n v="1271307600"/>
    <n v="1271480400"/>
    <b v="0"/>
    <b v="0"/>
    <s v="theater/plays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0.7861538461538462"/>
    <n v="106"/>
    <s v="US"/>
    <s v="USD"/>
    <n v="1456380000"/>
    <n v="1456380000"/>
    <b v="0"/>
    <b v="1"/>
    <s v="theater/plays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0.48404406999351912"/>
    <n v="679"/>
    <s v="IT"/>
    <s v="EUR"/>
    <n v="1470459600"/>
    <n v="1472878800"/>
    <b v="0"/>
    <b v="0"/>
    <s v="publishing/translations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2.5887500000000001"/>
    <n v="498"/>
    <s v="CH"/>
    <s v="CHF"/>
    <n v="1277269200"/>
    <n v="1277355600"/>
    <b v="0"/>
    <b v="1"/>
    <s v="games/video games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0.60548713235294116"/>
    <n v="610"/>
    <s v="US"/>
    <s v="USD"/>
    <n v="1350709200"/>
    <n v="1351054800"/>
    <b v="0"/>
    <b v="1"/>
    <s v="theater/plays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3.036896551724138"/>
    <n v="180"/>
    <s v="GB"/>
    <s v="GBP"/>
    <n v="1554613200"/>
    <n v="1555563600"/>
    <b v="0"/>
    <b v="0"/>
    <s v="technology/web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1.1299999999999999"/>
    <n v="27"/>
    <s v="US"/>
    <s v="USD"/>
    <n v="1571029200"/>
    <n v="1571634000"/>
    <b v="0"/>
    <b v="0"/>
    <s v="film &amp; video/documentary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.1737876614060259"/>
    <n v="2331"/>
    <s v="US"/>
    <s v="USD"/>
    <n v="1299736800"/>
    <n v="1300856400"/>
    <b v="0"/>
    <b v="0"/>
    <s v="theater/plays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9.2669230769230762"/>
    <n v="113"/>
    <s v="US"/>
    <s v="USD"/>
    <n v="1435208400"/>
    <n v="1439874000"/>
    <b v="0"/>
    <b v="0"/>
    <s v="food/food trucks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0.33692229038854804"/>
    <n v="1220"/>
    <s v="AU"/>
    <s v="AUD"/>
    <n v="1437973200"/>
    <n v="1438318800"/>
    <b v="0"/>
    <b v="0"/>
    <s v="games/video games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.9672368421052631"/>
    <n v="164"/>
    <s v="US"/>
    <s v="USD"/>
    <n v="1416895200"/>
    <n v="1419400800"/>
    <b v="0"/>
    <b v="0"/>
    <s v="theater/plays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0.01"/>
    <n v="1"/>
    <s v="US"/>
    <s v="USD"/>
    <n v="1319000400"/>
    <n v="1320555600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x v="1"/>
    <n v="10.214444444444444"/>
    <n v="164"/>
    <s v="US"/>
    <s v="USD"/>
    <n v="1424498400"/>
    <n v="1425103200"/>
    <b v="0"/>
    <b v="1"/>
    <s v="music/electric music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2.8167567567567566"/>
    <n v="336"/>
    <s v="US"/>
    <s v="USD"/>
    <n v="1526274000"/>
    <n v="1526878800"/>
    <b v="0"/>
    <b v="1"/>
    <s v="technology/wearables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0.24610000000000001"/>
    <n v="37"/>
    <s v="IT"/>
    <s v="EUR"/>
    <n v="1287896400"/>
    <n v="1288674000"/>
    <b v="0"/>
    <b v="0"/>
    <s v="music/electric music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.4314010067114094"/>
    <n v="1917"/>
    <s v="US"/>
    <s v="USD"/>
    <n v="1495515600"/>
    <n v="1495602000"/>
    <b v="0"/>
    <b v="0"/>
    <s v="music/indie rock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1.4454411764705883"/>
    <n v="95"/>
    <s v="US"/>
    <s v="USD"/>
    <n v="1364878800"/>
    <n v="1366434000"/>
    <b v="0"/>
    <b v="0"/>
    <s v="technology/web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3.5912820512820511"/>
    <n v="147"/>
    <s v="US"/>
    <s v="USD"/>
    <n v="1567918800"/>
    <n v="1568350800"/>
    <b v="0"/>
    <b v="0"/>
    <s v="theater/plays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1.8648571428571428"/>
    <n v="86"/>
    <s v="US"/>
    <s v="USD"/>
    <n v="1524459600"/>
    <n v="1525928400"/>
    <b v="0"/>
    <b v="1"/>
    <s v="theater/plays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5.9526666666666666"/>
    <n v="83"/>
    <s v="US"/>
    <s v="USD"/>
    <n v="1333688400"/>
    <n v="1336885200"/>
    <b v="0"/>
    <b v="0"/>
    <s v="film &amp; video/documentary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0.5921153846153846"/>
    <n v="60"/>
    <s v="US"/>
    <s v="USD"/>
    <n v="1389506400"/>
    <n v="1389679200"/>
    <b v="0"/>
    <b v="0"/>
    <s v="film &amp; video/television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0.14962780898876404"/>
    <n v="296"/>
    <s v="US"/>
    <s v="USD"/>
    <n v="1536642000"/>
    <n v="1538283600"/>
    <b v="0"/>
    <b v="0"/>
    <s v="food/food trucks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1.1995602605863191"/>
    <n v="676"/>
    <s v="US"/>
    <s v="USD"/>
    <n v="1348290000"/>
    <n v="1348808400"/>
    <b v="0"/>
    <b v="0"/>
    <s v="publishing/radio &amp; podcasts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2.6882978723404256"/>
    <n v="361"/>
    <s v="AU"/>
    <s v="AUD"/>
    <n v="1408856400"/>
    <n v="1410152400"/>
    <b v="0"/>
    <b v="0"/>
    <s v="technology/web"/>
    <n v="35"/>
    <x v="2"/>
    <s v="web"/>
    <x v="111"/>
    <d v="2014-09-08T05:00:00"/>
  </r>
  <r>
    <n v="113"/>
    <s v="Wright, Hartman and Yu"/>
    <s v="User-friendly tertiary array"/>
    <n v="3300"/>
    <n v="12437"/>
    <x v="1"/>
    <n v="3.7687878787878786"/>
    <n v="131"/>
    <s v="US"/>
    <s v="USD"/>
    <n v="1505192400"/>
    <n v="1505797200"/>
    <b v="0"/>
    <b v="0"/>
    <s v="food/food trucks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7.2715789473684209"/>
    <n v="126"/>
    <s v="US"/>
    <s v="USD"/>
    <n v="1554786000"/>
    <n v="1554872400"/>
    <b v="0"/>
    <b v="1"/>
    <s v="technology/wearables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0.87211757648470301"/>
    <n v="3304"/>
    <s v="IT"/>
    <s v="EUR"/>
    <n v="1510898400"/>
    <n v="1513922400"/>
    <b v="0"/>
    <b v="0"/>
    <s v="publishing/fiction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0.88"/>
    <n v="73"/>
    <s v="US"/>
    <s v="USD"/>
    <n v="1442552400"/>
    <n v="1442638800"/>
    <b v="0"/>
    <b v="0"/>
    <s v="theater/plays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1.7393877551020409"/>
    <n v="275"/>
    <s v="US"/>
    <s v="USD"/>
    <n v="1316667600"/>
    <n v="1317186000"/>
    <b v="0"/>
    <b v="0"/>
    <s v="film &amp; video/television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1.1761111111111111"/>
    <n v="67"/>
    <s v="US"/>
    <s v="USD"/>
    <n v="1390716000"/>
    <n v="1391234400"/>
    <b v="0"/>
    <b v="0"/>
    <s v="photography/photography books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2.1496"/>
    <n v="154"/>
    <s v="US"/>
    <s v="USD"/>
    <n v="1402894800"/>
    <n v="1404363600"/>
    <b v="0"/>
    <b v="1"/>
    <s v="film &amp; video/documentary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.4949667110519307"/>
    <n v="1782"/>
    <s v="US"/>
    <s v="USD"/>
    <n v="1429246800"/>
    <n v="1429592400"/>
    <b v="0"/>
    <b v="1"/>
    <s v="games/mobile games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2.1933995584988963"/>
    <n v="903"/>
    <s v="US"/>
    <s v="USD"/>
    <n v="1412485200"/>
    <n v="1413608400"/>
    <b v="0"/>
    <b v="0"/>
    <s v="games/video games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0.64367690058479532"/>
    <n v="3387"/>
    <s v="US"/>
    <s v="USD"/>
    <n v="1417068000"/>
    <n v="1419400800"/>
    <b v="0"/>
    <b v="0"/>
    <s v="publishing/fiction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0.18622397298818233"/>
    <n v="662"/>
    <s v="CA"/>
    <s v="CAD"/>
    <n v="1448344800"/>
    <n v="1448604000"/>
    <b v="1"/>
    <b v="0"/>
    <s v="theater/plays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3.6776923076923076"/>
    <n v="94"/>
    <s v="IT"/>
    <s v="EUR"/>
    <n v="1557723600"/>
    <n v="1562302800"/>
    <b v="0"/>
    <b v="0"/>
    <s v="photography/photography books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.5990566037735849"/>
    <n v="180"/>
    <s v="US"/>
    <s v="USD"/>
    <n v="1537333200"/>
    <n v="1537678800"/>
    <b v="0"/>
    <b v="0"/>
    <s v="theater/plays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0.38633185349611543"/>
    <n v="774"/>
    <s v="US"/>
    <s v="USD"/>
    <n v="1471150800"/>
    <n v="1473570000"/>
    <b v="0"/>
    <b v="1"/>
    <s v="theater/plays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0.51421511627906979"/>
    <n v="672"/>
    <s v="CA"/>
    <s v="CAD"/>
    <n v="1273640400"/>
    <n v="1273899600"/>
    <b v="0"/>
    <b v="0"/>
    <s v="theater/plays"/>
    <n v="78.96875"/>
    <x v="3"/>
    <s v="plays"/>
    <x v="125"/>
    <d v="2010-05-15T05:00:00"/>
  </r>
  <r>
    <n v="128"/>
    <s v="Allen-Curtis"/>
    <s v="Phased human-resource core"/>
    <n v="70600"/>
    <n v="42596"/>
    <x v="3"/>
    <n v="0.60334277620396604"/>
    <n v="532"/>
    <s v="US"/>
    <s v="USD"/>
    <n v="1282885200"/>
    <n v="1284008400"/>
    <b v="0"/>
    <b v="0"/>
    <s v="music/rock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3.2026936026936029E-2"/>
    <n v="55"/>
    <s v="AU"/>
    <s v="AUD"/>
    <n v="1422943200"/>
    <n v="1425103200"/>
    <b v="0"/>
    <b v="0"/>
    <s v="food/food trucks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1.5546875"/>
    <n v="533"/>
    <s v="DK"/>
    <s v="DKK"/>
    <n v="1319605200"/>
    <n v="1320991200"/>
    <b v="0"/>
    <b v="0"/>
    <s v="film &amp; video/drama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1.0085974499089254"/>
    <n v="2443"/>
    <s v="GB"/>
    <s v="GBP"/>
    <n v="1385704800"/>
    <n v="1386828000"/>
    <b v="0"/>
    <b v="0"/>
    <s v="technology/web"/>
    <n v="67.996725337699544"/>
    <x v="2"/>
    <s v="web"/>
    <x v="129"/>
    <d v="2013-12-12T06:00:00"/>
  </r>
  <r>
    <n v="132"/>
    <s v="Flowers and Sons"/>
    <s v="Virtual static core"/>
    <n v="3300"/>
    <n v="3834"/>
    <x v="1"/>
    <n v="1.1618181818181819"/>
    <n v="89"/>
    <s v="US"/>
    <s v="USD"/>
    <n v="1515736800"/>
    <n v="1517119200"/>
    <b v="0"/>
    <b v="1"/>
    <s v="theater/plays"/>
    <n v="43.078651685393261"/>
    <x v="3"/>
    <s v="plays"/>
    <x v="130"/>
    <d v="2018-01-28T06:00:00"/>
  </r>
  <r>
    <n v="133"/>
    <s v="Gates PLC"/>
    <s v="Secured content-based product"/>
    <n v="4500"/>
    <n v="13985"/>
    <x v="1"/>
    <n v="3.1077777777777778"/>
    <n v="159"/>
    <s v="US"/>
    <s v="USD"/>
    <n v="1313125200"/>
    <n v="1315026000"/>
    <b v="0"/>
    <b v="0"/>
    <s v="music/world music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0.89736683417085428"/>
    <n v="940"/>
    <s v="CH"/>
    <s v="CHF"/>
    <n v="1308459600"/>
    <n v="1312693200"/>
    <b v="0"/>
    <b v="1"/>
    <s v="film &amp; video/documentary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0.71272727272727276"/>
    <n v="117"/>
    <s v="US"/>
    <s v="USD"/>
    <n v="1362636000"/>
    <n v="1363064400"/>
    <b v="0"/>
    <b v="1"/>
    <s v="theater/plays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3.2862318840579711E-2"/>
    <n v="58"/>
    <s v="US"/>
    <s v="USD"/>
    <n v="1402117200"/>
    <n v="1403154000"/>
    <b v="0"/>
    <b v="1"/>
    <s v="film &amp; video/drama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2.617777777777778"/>
    <n v="50"/>
    <s v="US"/>
    <s v="USD"/>
    <n v="1286341200"/>
    <n v="1286859600"/>
    <b v="0"/>
    <b v="0"/>
    <s v="publishing/nonfiction"/>
    <n v="94.24"/>
    <x v="5"/>
    <s v="nonfiction"/>
    <x v="135"/>
    <d v="2010-10-12T05:00:00"/>
  </r>
  <r>
    <n v="138"/>
    <s v="Hogan Ltd"/>
    <s v="Stand-alone mission-critical moratorium"/>
    <n v="9600"/>
    <n v="9216"/>
    <x v="0"/>
    <n v="0.96"/>
    <n v="115"/>
    <s v="US"/>
    <s v="USD"/>
    <n v="1348808400"/>
    <n v="1349326800"/>
    <b v="0"/>
    <b v="0"/>
    <s v="games/mobile games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0.20896851248642778"/>
    <n v="326"/>
    <s v="US"/>
    <s v="USD"/>
    <n v="1429592400"/>
    <n v="1430974800"/>
    <b v="0"/>
    <b v="1"/>
    <s v="technology/wearables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2.2316363636363636"/>
    <n v="186"/>
    <s v="US"/>
    <s v="USD"/>
    <n v="1519538400"/>
    <n v="1519970400"/>
    <b v="0"/>
    <b v="0"/>
    <s v="film &amp; video/documentary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.0159097978227061"/>
    <n v="1071"/>
    <s v="US"/>
    <s v="USD"/>
    <n v="1434085200"/>
    <n v="1434603600"/>
    <b v="0"/>
    <b v="0"/>
    <s v="technology/web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2.3003999999999998"/>
    <n v="117"/>
    <s v="US"/>
    <s v="USD"/>
    <n v="1333688400"/>
    <n v="1337230800"/>
    <b v="0"/>
    <b v="0"/>
    <s v="technology/web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1.355925925925926"/>
    <n v="70"/>
    <s v="US"/>
    <s v="USD"/>
    <n v="1277701200"/>
    <n v="1279429200"/>
    <b v="0"/>
    <b v="0"/>
    <s v="music/indie rock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.2909999999999999"/>
    <n v="135"/>
    <s v="US"/>
    <s v="USD"/>
    <n v="1560747600"/>
    <n v="1561438800"/>
    <b v="0"/>
    <b v="0"/>
    <s v="theater/plays"/>
    <n v="86.066666666666663"/>
    <x v="3"/>
    <s v="plays"/>
    <x v="141"/>
    <d v="2019-06-25T05:00:00"/>
  </r>
  <r>
    <n v="145"/>
    <s v="Fields-Moore"/>
    <s v="Secured reciprocal array"/>
    <n v="25000"/>
    <n v="59128"/>
    <x v="1"/>
    <n v="2.3651200000000001"/>
    <n v="768"/>
    <s v="CH"/>
    <s v="CHF"/>
    <n v="1410066000"/>
    <n v="1410498000"/>
    <b v="0"/>
    <b v="0"/>
    <s v="technology/wearables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0.17249999999999999"/>
    <n v="51"/>
    <s v="US"/>
    <s v="USD"/>
    <n v="1320732000"/>
    <n v="1322460000"/>
    <b v="0"/>
    <b v="0"/>
    <s v="theater/plays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.1249397590361445"/>
    <n v="199"/>
    <s v="US"/>
    <s v="USD"/>
    <n v="1465794000"/>
    <n v="1466312400"/>
    <b v="0"/>
    <b v="1"/>
    <s v="theater/plays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.2102150537634409"/>
    <n v="107"/>
    <s v="US"/>
    <s v="USD"/>
    <n v="1500958800"/>
    <n v="1501736400"/>
    <b v="0"/>
    <b v="0"/>
    <s v="technology/wearables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2.1987096774193549"/>
    <n v="195"/>
    <s v="US"/>
    <s v="USD"/>
    <n v="1357020000"/>
    <n v="1361512800"/>
    <b v="0"/>
    <b v="0"/>
    <s v="music/indie rock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0.01"/>
    <n v="1"/>
    <s v="US"/>
    <s v="USD"/>
    <n v="1544940000"/>
    <n v="1545026400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x v="0"/>
    <n v="0.64166909620991253"/>
    <n v="1467"/>
    <s v="US"/>
    <s v="USD"/>
    <n v="1402290000"/>
    <n v="1406696400"/>
    <b v="0"/>
    <b v="0"/>
    <s v="music/electric music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4.2306746987951804"/>
    <n v="3376"/>
    <s v="US"/>
    <s v="USD"/>
    <n v="1487311200"/>
    <n v="1487916000"/>
    <b v="0"/>
    <b v="0"/>
    <s v="music/indie rock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0.92984160506863778"/>
    <n v="5681"/>
    <s v="US"/>
    <s v="USD"/>
    <n v="1350622800"/>
    <n v="1351141200"/>
    <b v="0"/>
    <b v="0"/>
    <s v="theater/plays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0.58756567425569173"/>
    <n v="1059"/>
    <s v="US"/>
    <s v="USD"/>
    <n v="1463029200"/>
    <n v="1465016400"/>
    <b v="0"/>
    <b v="1"/>
    <s v="music/indie rock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0.65022222222222226"/>
    <n v="1194"/>
    <s v="US"/>
    <s v="USD"/>
    <n v="1269493200"/>
    <n v="1270789200"/>
    <b v="0"/>
    <b v="0"/>
    <s v="theater/plays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0.73939560439560437"/>
    <n v="379"/>
    <s v="AU"/>
    <s v="AUD"/>
    <n v="1570251600"/>
    <n v="1572325200"/>
    <b v="0"/>
    <b v="0"/>
    <s v="music/rock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0.52666666666666662"/>
    <n v="30"/>
    <s v="AU"/>
    <s v="AUD"/>
    <n v="1388383200"/>
    <n v="1389420000"/>
    <b v="0"/>
    <b v="0"/>
    <s v="photography/photography books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2.2095238095238097"/>
    <n v="41"/>
    <s v="US"/>
    <s v="USD"/>
    <n v="1449554400"/>
    <n v="1449640800"/>
    <b v="0"/>
    <b v="0"/>
    <s v="music/rock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.0001150627615063"/>
    <n v="1821"/>
    <s v="US"/>
    <s v="USD"/>
    <n v="1553662800"/>
    <n v="1555218000"/>
    <b v="0"/>
    <b v="1"/>
    <s v="theater/plays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.6231249999999999"/>
    <n v="164"/>
    <s v="US"/>
    <s v="USD"/>
    <n v="1556341200"/>
    <n v="1557723600"/>
    <b v="0"/>
    <b v="0"/>
    <s v="technology/wearables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0.78181818181818186"/>
    <n v="75"/>
    <s v="US"/>
    <s v="USD"/>
    <n v="1442984400"/>
    <n v="1443502800"/>
    <b v="0"/>
    <b v="1"/>
    <s v="technology/web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.4973770491803278"/>
    <n v="157"/>
    <s v="CH"/>
    <s v="CHF"/>
    <n v="1544248800"/>
    <n v="1546840800"/>
    <b v="0"/>
    <b v="0"/>
    <s v="music/rock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.5325714285714285"/>
    <n v="246"/>
    <s v="US"/>
    <s v="USD"/>
    <n v="1508475600"/>
    <n v="1512712800"/>
    <b v="0"/>
    <b v="1"/>
    <s v="photography/photography books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.0016943521594683"/>
    <n v="1396"/>
    <s v="US"/>
    <s v="USD"/>
    <n v="1507438800"/>
    <n v="1507525200"/>
    <b v="0"/>
    <b v="0"/>
    <s v="theater/plays"/>
    <n v="107.99068767908309"/>
    <x v="3"/>
    <s v="plays"/>
    <x v="161"/>
    <d v="2017-10-09T05:00:00"/>
  </r>
  <r>
    <n v="165"/>
    <s v="Cordova Ltd"/>
    <s v="Synergized radical product"/>
    <n v="90400"/>
    <n v="110279"/>
    <x v="1"/>
    <n v="1.2199004424778761"/>
    <n v="2506"/>
    <s v="US"/>
    <s v="USD"/>
    <n v="1501563600"/>
    <n v="1504328400"/>
    <b v="0"/>
    <b v="0"/>
    <s v="technology/web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1.3713265306122449"/>
    <n v="244"/>
    <s v="US"/>
    <s v="USD"/>
    <n v="1292997600"/>
    <n v="1293343200"/>
    <b v="0"/>
    <b v="0"/>
    <s v="photography/photography books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4.155384615384615"/>
    <n v="146"/>
    <s v="AU"/>
    <s v="AUD"/>
    <n v="1370840400"/>
    <n v="1371704400"/>
    <b v="0"/>
    <b v="0"/>
    <s v="theater/plays"/>
    <n v="74"/>
    <x v="3"/>
    <s v="plays"/>
    <x v="164"/>
    <d v="2013-06-20T05:00:00"/>
  </r>
  <r>
    <n v="168"/>
    <s v="Hernandez Group"/>
    <s v="Ergonomic uniform open system"/>
    <n v="128100"/>
    <n v="40107"/>
    <x v="0"/>
    <n v="0.3130913348946136"/>
    <n v="955"/>
    <s v="DK"/>
    <s v="DKK"/>
    <n v="1550815200"/>
    <n v="1552798800"/>
    <b v="0"/>
    <b v="1"/>
    <s v="music/indie rock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4.240815450643777"/>
    <n v="1267"/>
    <s v="US"/>
    <s v="USD"/>
    <n v="1339909200"/>
    <n v="1342328400"/>
    <b v="0"/>
    <b v="1"/>
    <s v="film &amp; video/shorts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2.9388623072833599E-2"/>
    <n v="67"/>
    <s v="US"/>
    <s v="USD"/>
    <n v="1501736400"/>
    <n v="1502341200"/>
    <b v="0"/>
    <b v="0"/>
    <s v="music/indie rock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0.1063265306122449"/>
    <n v="5"/>
    <s v="US"/>
    <s v="USD"/>
    <n v="1395291600"/>
    <n v="1397192400"/>
    <b v="0"/>
    <b v="0"/>
    <s v="publishing/translations"/>
    <n v="104.2"/>
    <x v="5"/>
    <s v="translations"/>
    <x v="168"/>
    <d v="2014-04-11T05:00:00"/>
  </r>
  <r>
    <n v="172"/>
    <s v="Nixon Inc"/>
    <s v="Centralized national firmware"/>
    <n v="800"/>
    <n v="663"/>
    <x v="0"/>
    <n v="0.82874999999999999"/>
    <n v="26"/>
    <s v="US"/>
    <s v="USD"/>
    <n v="1405746000"/>
    <n v="1407042000"/>
    <b v="0"/>
    <b v="1"/>
    <s v="film &amp; video/documentary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.6301447776628748"/>
    <n v="1561"/>
    <s v="US"/>
    <s v="USD"/>
    <n v="1368853200"/>
    <n v="1369371600"/>
    <b v="0"/>
    <b v="0"/>
    <s v="theater/plays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8.9466666666666672"/>
    <n v="48"/>
    <s v="US"/>
    <s v="USD"/>
    <n v="1444021200"/>
    <n v="1444107600"/>
    <b v="0"/>
    <b v="1"/>
    <s v="technology/wearables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0.26191501103752757"/>
    <n v="1130"/>
    <s v="US"/>
    <s v="USD"/>
    <n v="1472619600"/>
    <n v="1474261200"/>
    <b v="0"/>
    <b v="0"/>
    <s v="theater/plays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0.74834782608695649"/>
    <n v="782"/>
    <s v="US"/>
    <s v="USD"/>
    <n v="1472878800"/>
    <n v="1473656400"/>
    <b v="0"/>
    <b v="0"/>
    <s v="theater/plays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4.1647680412371137"/>
    <n v="2739"/>
    <s v="US"/>
    <s v="USD"/>
    <n v="1289800800"/>
    <n v="1291960800"/>
    <b v="0"/>
    <b v="0"/>
    <s v="theater/plays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0.96208333333333329"/>
    <n v="210"/>
    <s v="US"/>
    <s v="USD"/>
    <n v="1505970000"/>
    <n v="1506747600"/>
    <b v="0"/>
    <b v="0"/>
    <s v="food/food trucks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.5771910112359548"/>
    <n v="3537"/>
    <s v="CA"/>
    <s v="CAD"/>
    <n v="1363496400"/>
    <n v="1363582800"/>
    <b v="0"/>
    <b v="1"/>
    <s v="theater/plays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3.0845714285714285"/>
    <n v="2107"/>
    <s v="AU"/>
    <s v="AUD"/>
    <n v="1269234000"/>
    <n v="1269666000"/>
    <b v="0"/>
    <b v="0"/>
    <s v="technology/wearables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0.61802325581395345"/>
    <n v="136"/>
    <s v="US"/>
    <s v="USD"/>
    <n v="1507093200"/>
    <n v="1508648400"/>
    <b v="0"/>
    <b v="0"/>
    <s v="technology/web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7.2232472324723247"/>
    <n v="3318"/>
    <s v="DK"/>
    <s v="DKK"/>
    <n v="1560574800"/>
    <n v="1561957200"/>
    <b v="0"/>
    <b v="0"/>
    <s v="theater/plays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0.69117647058823528"/>
    <n v="86"/>
    <s v="CA"/>
    <s v="CAD"/>
    <n v="1284008400"/>
    <n v="1285131600"/>
    <b v="0"/>
    <b v="0"/>
    <s v="music/rock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2.9305555555555554"/>
    <n v="340"/>
    <s v="US"/>
    <s v="USD"/>
    <n v="1556859600"/>
    <n v="1556946000"/>
    <b v="0"/>
    <b v="0"/>
    <s v="theater/plays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0.71799999999999997"/>
    <n v="19"/>
    <s v="US"/>
    <s v="USD"/>
    <n v="1526187600"/>
    <n v="1527138000"/>
    <b v="0"/>
    <b v="0"/>
    <s v="film &amp; video/television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0.31934684684684683"/>
    <n v="886"/>
    <s v="US"/>
    <s v="USD"/>
    <n v="1400821200"/>
    <n v="1402117200"/>
    <b v="0"/>
    <b v="0"/>
    <s v="theater/plays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2.2987375415282392"/>
    <n v="1442"/>
    <s v="CA"/>
    <s v="CAD"/>
    <n v="1361599200"/>
    <n v="1364014800"/>
    <b v="0"/>
    <b v="1"/>
    <s v="film &amp; video/shorts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0.3201219512195122"/>
    <n v="35"/>
    <s v="IT"/>
    <s v="EUR"/>
    <n v="1417500000"/>
    <n v="1417586400"/>
    <b v="0"/>
    <b v="0"/>
    <s v="theater/plays"/>
    <n v="75"/>
    <x v="3"/>
    <s v="plays"/>
    <x v="185"/>
    <d v="2014-12-03T06:00:00"/>
  </r>
  <r>
    <n v="189"/>
    <s v="Anthony-Shaw"/>
    <s v="Switchable contextually-based access"/>
    <n v="191300"/>
    <n v="45004"/>
    <x v="3"/>
    <n v="0.23525352848928385"/>
    <n v="441"/>
    <s v="US"/>
    <s v="USD"/>
    <n v="1457071200"/>
    <n v="1457071200"/>
    <b v="0"/>
    <b v="0"/>
    <s v="theater/plays"/>
    <n v="102.0498866213152"/>
    <x v="3"/>
    <s v="plays"/>
    <x v="186"/>
    <d v="2016-03-04T06:00:00"/>
  </r>
  <r>
    <n v="190"/>
    <s v="Cook LLC"/>
    <s v="Up-sized dynamic throughput"/>
    <n v="3700"/>
    <n v="2538"/>
    <x v="0"/>
    <n v="0.68594594594594593"/>
    <n v="24"/>
    <s v="US"/>
    <s v="USD"/>
    <n v="1370322000"/>
    <n v="1370408400"/>
    <b v="0"/>
    <b v="1"/>
    <s v="theater/plays"/>
    <n v="105.75"/>
    <x v="3"/>
    <s v="plays"/>
    <x v="187"/>
    <d v="2013-06-05T05:00:00"/>
  </r>
  <r>
    <n v="191"/>
    <s v="Sutton PLC"/>
    <s v="Mandatory reciprocal superstructure"/>
    <n v="8400"/>
    <n v="3188"/>
    <x v="0"/>
    <n v="0.37952380952380954"/>
    <n v="86"/>
    <s v="IT"/>
    <s v="EUR"/>
    <n v="1552366800"/>
    <n v="1552626000"/>
    <b v="0"/>
    <b v="0"/>
    <s v="theater/plays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0.19992957746478873"/>
    <n v="243"/>
    <s v="US"/>
    <s v="USD"/>
    <n v="1403845200"/>
    <n v="1404190800"/>
    <b v="0"/>
    <b v="0"/>
    <s v="music/rock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0.45636363636363636"/>
    <n v="65"/>
    <s v="US"/>
    <s v="USD"/>
    <n v="1523163600"/>
    <n v="1523509200"/>
    <b v="1"/>
    <b v="0"/>
    <s v="music/indie rock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.227605633802817"/>
    <n v="126"/>
    <s v="US"/>
    <s v="USD"/>
    <n v="1442206800"/>
    <n v="1443589200"/>
    <b v="0"/>
    <b v="0"/>
    <s v="music/metal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3.61753164556962"/>
    <n v="524"/>
    <s v="US"/>
    <s v="USD"/>
    <n v="1532840400"/>
    <n v="1533445200"/>
    <b v="0"/>
    <b v="0"/>
    <s v="music/electric music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0.63146341463414635"/>
    <n v="100"/>
    <s v="DK"/>
    <s v="DKK"/>
    <n v="1472878800"/>
    <n v="1474520400"/>
    <b v="0"/>
    <b v="0"/>
    <s v="technology/wearables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2.9820475319926874"/>
    <n v="1989"/>
    <s v="US"/>
    <s v="USD"/>
    <n v="1498194000"/>
    <n v="1499403600"/>
    <b v="0"/>
    <b v="0"/>
    <s v="film &amp; video/drama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9.5585443037974685E-2"/>
    <n v="168"/>
    <s v="US"/>
    <s v="USD"/>
    <n v="1281070800"/>
    <n v="1283576400"/>
    <b v="0"/>
    <b v="0"/>
    <s v="music/electric music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0.5377777777777778"/>
    <n v="13"/>
    <s v="US"/>
    <s v="USD"/>
    <n v="1436245200"/>
    <n v="1436590800"/>
    <b v="0"/>
    <b v="0"/>
    <s v="music/rock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0.02"/>
    <n v="1"/>
    <s v="CA"/>
    <s v="CAD"/>
    <n v="1269493200"/>
    <n v="1270443600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6.8119047619047617"/>
    <n v="157"/>
    <s v="US"/>
    <s v="USD"/>
    <n v="1406264400"/>
    <n v="1407819600"/>
    <b v="0"/>
    <b v="0"/>
    <s v="technology/web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0.78831325301204824"/>
    <n v="82"/>
    <s v="US"/>
    <s v="USD"/>
    <n v="1317531600"/>
    <n v="1317877200"/>
    <b v="0"/>
    <b v="0"/>
    <s v="food/food trucks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1.3440792216817234"/>
    <n v="4498"/>
    <s v="AU"/>
    <s v="AUD"/>
    <n v="1484632800"/>
    <n v="1484805600"/>
    <b v="0"/>
    <b v="0"/>
    <s v="theater/plays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3.372E-2"/>
    <n v="40"/>
    <s v="US"/>
    <s v="USD"/>
    <n v="1301806800"/>
    <n v="1302670800"/>
    <b v="0"/>
    <b v="0"/>
    <s v="music/jazz"/>
    <n v="63.225000000000001"/>
    <x v="1"/>
    <s v="jazz"/>
    <x v="199"/>
    <d v="2011-04-13T05:00:00"/>
  </r>
  <r>
    <n v="205"/>
    <s v="Weaver-Marquez"/>
    <s v="Focused analyzing circuit"/>
    <n v="1300"/>
    <n v="5614"/>
    <x v="1"/>
    <n v="4.3184615384615386"/>
    <n v="80"/>
    <s v="US"/>
    <s v="USD"/>
    <n v="1539752400"/>
    <n v="1540789200"/>
    <b v="1"/>
    <b v="0"/>
    <s v="theater/plays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0.38844444444444443"/>
    <n v="57"/>
    <s v="US"/>
    <s v="USD"/>
    <n v="1267250400"/>
    <n v="1268028000"/>
    <b v="0"/>
    <b v="0"/>
    <s v="publishing/fiction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.2569999999999997"/>
    <n v="43"/>
    <s v="US"/>
    <s v="USD"/>
    <n v="1535432400"/>
    <n v="1537160400"/>
    <b v="0"/>
    <b v="1"/>
    <s v="music/rock"/>
    <n v="99"/>
    <x v="1"/>
    <s v="rock"/>
    <x v="202"/>
    <d v="2018-09-17T05:00:00"/>
  </r>
  <r>
    <n v="208"/>
    <s v="Jackson Inc"/>
    <s v="Mandatory multi-tasking encryption"/>
    <n v="196900"/>
    <n v="199110"/>
    <x v="1"/>
    <n v="1.0112239715591671"/>
    <n v="2053"/>
    <s v="US"/>
    <s v="USD"/>
    <n v="1510207200"/>
    <n v="1512280800"/>
    <b v="0"/>
    <b v="0"/>
    <s v="film &amp; video/documentary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0.21188688946015424"/>
    <n v="808"/>
    <s v="AU"/>
    <s v="AUD"/>
    <n v="1462510800"/>
    <n v="1463115600"/>
    <b v="0"/>
    <b v="0"/>
    <s v="film &amp; video/documentary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0.67425531914893622"/>
    <n v="226"/>
    <s v="DK"/>
    <s v="DKK"/>
    <n v="1488520800"/>
    <n v="1490850000"/>
    <b v="0"/>
    <b v="0"/>
    <s v="film &amp; video/science fiction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0.9492337164750958"/>
    <n v="1625"/>
    <s v="US"/>
    <s v="USD"/>
    <n v="1377579600"/>
    <n v="1379653200"/>
    <b v="0"/>
    <b v="0"/>
    <s v="theater/plays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.5185185185185186"/>
    <n v="168"/>
    <s v="US"/>
    <s v="USD"/>
    <n v="1576389600"/>
    <n v="1580364000"/>
    <b v="0"/>
    <b v="0"/>
    <s v="theater/plays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1.9516382252559727"/>
    <n v="4289"/>
    <s v="US"/>
    <s v="USD"/>
    <n v="1289019600"/>
    <n v="1289714400"/>
    <b v="0"/>
    <b v="1"/>
    <s v="music/indie rock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0.231428571428571"/>
    <n v="165"/>
    <s v="US"/>
    <s v="USD"/>
    <n v="1282194000"/>
    <n v="1282712400"/>
    <b v="0"/>
    <b v="0"/>
    <s v="music/rock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3.8418367346938778E-2"/>
    <n v="143"/>
    <s v="US"/>
    <s v="USD"/>
    <n v="1550037600"/>
    <n v="1550210400"/>
    <b v="0"/>
    <b v="0"/>
    <s v="theater/plays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.5507066557107643"/>
    <n v="1815"/>
    <s v="US"/>
    <s v="USD"/>
    <n v="1321941600"/>
    <n v="1322114400"/>
    <b v="0"/>
    <b v="0"/>
    <s v="theater/plays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0.44753477588871715"/>
    <n v="934"/>
    <s v="US"/>
    <s v="USD"/>
    <n v="1556427600"/>
    <n v="1557205200"/>
    <b v="0"/>
    <b v="0"/>
    <s v="film &amp; video/science fiction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2.1594736842105262"/>
    <n v="397"/>
    <s v="GB"/>
    <s v="GBP"/>
    <n v="1320991200"/>
    <n v="1323928800"/>
    <b v="0"/>
    <b v="1"/>
    <s v="film &amp; video/shorts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3.3212709832134291"/>
    <n v="1539"/>
    <s v="US"/>
    <s v="USD"/>
    <n v="1345093200"/>
    <n v="1346130000"/>
    <b v="0"/>
    <b v="0"/>
    <s v="film &amp; video/animation"/>
    <n v="89.991552956465242"/>
    <x v="4"/>
    <s v="animation"/>
    <x v="214"/>
    <d v="2012-08-28T05:00:00"/>
  </r>
  <r>
    <n v="220"/>
    <s v="Owens-Le"/>
    <s v="Focused composite approach"/>
    <n v="7900"/>
    <n v="667"/>
    <x v="0"/>
    <n v="8.4430379746835441E-2"/>
    <n v="17"/>
    <s v="US"/>
    <s v="USD"/>
    <n v="1309496400"/>
    <n v="1311051600"/>
    <b v="1"/>
    <b v="0"/>
    <s v="theater/plays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0.9862551440329218"/>
    <n v="2179"/>
    <s v="US"/>
    <s v="USD"/>
    <n v="1340254800"/>
    <n v="1340427600"/>
    <b v="1"/>
    <b v="0"/>
    <s v="food/food trucks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.3797916666666667"/>
    <n v="138"/>
    <s v="US"/>
    <s v="USD"/>
    <n v="1412226000"/>
    <n v="1412312400"/>
    <b v="0"/>
    <b v="0"/>
    <s v="photography/photography books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0.93810996563573879"/>
    <n v="931"/>
    <s v="US"/>
    <s v="USD"/>
    <n v="1458104400"/>
    <n v="1459314000"/>
    <b v="0"/>
    <b v="0"/>
    <s v="theater/plays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4.0363930885529156"/>
    <n v="3594"/>
    <s v="US"/>
    <s v="USD"/>
    <n v="1411534800"/>
    <n v="1415426400"/>
    <b v="0"/>
    <b v="0"/>
    <s v="film &amp; video/science fiction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2.6017404129793511"/>
    <n v="5880"/>
    <s v="US"/>
    <s v="USD"/>
    <n v="1399093200"/>
    <n v="1399093200"/>
    <b v="1"/>
    <b v="0"/>
    <s v="music/rock"/>
    <n v="29.999659863945578"/>
    <x v="1"/>
    <s v="rock"/>
    <x v="220"/>
    <d v="2014-05-03T05:00:00"/>
  </r>
  <r>
    <n v="226"/>
    <s v="Garcia Inc"/>
    <s v="Progressive neutral middleware"/>
    <n v="3000"/>
    <n v="10999"/>
    <x v="1"/>
    <n v="3.6663333333333332"/>
    <n v="112"/>
    <s v="US"/>
    <s v="USD"/>
    <n v="1270702800"/>
    <n v="1273899600"/>
    <b v="0"/>
    <b v="0"/>
    <s v="photography/photography books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1.687208538587849"/>
    <n v="943"/>
    <s v="US"/>
    <s v="USD"/>
    <n v="1431666000"/>
    <n v="1432184400"/>
    <b v="0"/>
    <b v="0"/>
    <s v="games/mobile games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1.1990717911530093"/>
    <n v="2468"/>
    <s v="US"/>
    <s v="USD"/>
    <n v="1472619600"/>
    <n v="1474779600"/>
    <b v="0"/>
    <b v="0"/>
    <s v="film &amp; video/animation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1.936892523364486"/>
    <n v="2551"/>
    <s v="US"/>
    <s v="USD"/>
    <n v="1496293200"/>
    <n v="1500440400"/>
    <b v="0"/>
    <b v="1"/>
    <s v="games/mobile games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4.2016666666666671"/>
    <n v="101"/>
    <s v="US"/>
    <s v="USD"/>
    <n v="1575612000"/>
    <n v="1575612000"/>
    <b v="0"/>
    <b v="0"/>
    <s v="games/video games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0.76708333333333334"/>
    <n v="67"/>
    <s v="US"/>
    <s v="USD"/>
    <n v="1369112400"/>
    <n v="1374123600"/>
    <b v="0"/>
    <b v="0"/>
    <s v="theater/plays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1.7126470588235294"/>
    <n v="92"/>
    <s v="US"/>
    <s v="USD"/>
    <n v="1469422800"/>
    <n v="1469509200"/>
    <b v="0"/>
    <b v="0"/>
    <s v="theater/plays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1.5789473684210527"/>
    <n v="62"/>
    <s v="US"/>
    <s v="USD"/>
    <n v="1307854800"/>
    <n v="1309237200"/>
    <b v="0"/>
    <b v="0"/>
    <s v="film &amp; video/animation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.0908"/>
    <n v="149"/>
    <s v="IT"/>
    <s v="EUR"/>
    <n v="1503378000"/>
    <n v="1503982800"/>
    <b v="0"/>
    <b v="1"/>
    <s v="games/video games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0.41732558139534881"/>
    <n v="92"/>
    <s v="US"/>
    <s v="USD"/>
    <n v="1486965600"/>
    <n v="1487397600"/>
    <b v="0"/>
    <b v="0"/>
    <s v="film &amp; video/animation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0.10944303797468355"/>
    <n v="57"/>
    <s v="AU"/>
    <s v="AUD"/>
    <n v="1561438800"/>
    <n v="1562043600"/>
    <b v="0"/>
    <b v="1"/>
    <s v="music/rock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1.593763440860215"/>
    <n v="329"/>
    <s v="US"/>
    <s v="USD"/>
    <n v="1398402000"/>
    <n v="1398574800"/>
    <b v="0"/>
    <b v="0"/>
    <s v="film &amp; video/animation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4.2241666666666671"/>
    <n v="97"/>
    <s v="DK"/>
    <s v="DKK"/>
    <n v="1513231200"/>
    <n v="1515391200"/>
    <b v="0"/>
    <b v="1"/>
    <s v="theater/plays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0.97718749999999999"/>
    <n v="41"/>
    <s v="US"/>
    <s v="USD"/>
    <n v="1440824400"/>
    <n v="1441170000"/>
    <b v="0"/>
    <b v="0"/>
    <s v="technology/wearables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4.1878911564625847"/>
    <n v="1784"/>
    <s v="US"/>
    <s v="USD"/>
    <n v="1281070800"/>
    <n v="1281157200"/>
    <b v="0"/>
    <b v="0"/>
    <s v="theater/plays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.0191632047477746"/>
    <n v="1684"/>
    <s v="AU"/>
    <s v="AUD"/>
    <n v="1397365200"/>
    <n v="1398229200"/>
    <b v="0"/>
    <b v="1"/>
    <s v="publishing/nonfiction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1.2772619047619047"/>
    <n v="250"/>
    <s v="US"/>
    <s v="USD"/>
    <n v="1494392400"/>
    <n v="1495256400"/>
    <b v="0"/>
    <b v="1"/>
    <s v="music/rock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4.4521739130434783"/>
    <n v="238"/>
    <s v="US"/>
    <s v="USD"/>
    <n v="1520143200"/>
    <n v="1520402400"/>
    <b v="0"/>
    <b v="0"/>
    <s v="theater/plays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.6971428571428575"/>
    <n v="53"/>
    <s v="US"/>
    <s v="USD"/>
    <n v="1405314000"/>
    <n v="1409806800"/>
    <b v="0"/>
    <b v="0"/>
    <s v="theater/plays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5.0934482758620687"/>
    <n v="214"/>
    <s v="US"/>
    <s v="USD"/>
    <n v="1396846800"/>
    <n v="1396933200"/>
    <b v="0"/>
    <b v="0"/>
    <s v="theater/plays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3.2553333333333332"/>
    <n v="222"/>
    <s v="US"/>
    <s v="USD"/>
    <n v="1375678800"/>
    <n v="1376024400"/>
    <b v="0"/>
    <b v="0"/>
    <s v="technology/web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9.3261616161616168"/>
    <n v="1884"/>
    <s v="US"/>
    <s v="USD"/>
    <n v="1482386400"/>
    <n v="1483682400"/>
    <b v="0"/>
    <b v="1"/>
    <s v="publishing/fiction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.1133870967741935"/>
    <n v="218"/>
    <s v="AU"/>
    <s v="AUD"/>
    <n v="1420005600"/>
    <n v="1420437600"/>
    <b v="0"/>
    <b v="0"/>
    <s v="games/mobile games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2.7332520325203253"/>
    <n v="6465"/>
    <s v="US"/>
    <s v="USD"/>
    <n v="1420178400"/>
    <n v="1420783200"/>
    <b v="0"/>
    <b v="0"/>
    <s v="publishing/translations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0.03"/>
    <n v="1"/>
    <s v="US"/>
    <s v="USD"/>
    <n v="1264399200"/>
    <n v="1267423200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x v="0"/>
    <n v="0.54084507042253516"/>
    <n v="101"/>
    <s v="US"/>
    <s v="USD"/>
    <n v="1355032800"/>
    <n v="1355205600"/>
    <b v="0"/>
    <b v="0"/>
    <s v="theater/plays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6.2629999999999999"/>
    <n v="59"/>
    <s v="US"/>
    <s v="USD"/>
    <n v="1382677200"/>
    <n v="1383109200"/>
    <b v="0"/>
    <b v="0"/>
    <s v="theater/plays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0.8902139917695473"/>
    <n v="1335"/>
    <s v="CA"/>
    <s v="CAD"/>
    <n v="1302238800"/>
    <n v="1303275600"/>
    <b v="0"/>
    <b v="0"/>
    <s v="film &amp; video/drama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1.8489130434782608"/>
    <n v="88"/>
    <s v="US"/>
    <s v="USD"/>
    <n v="1487656800"/>
    <n v="1487829600"/>
    <b v="0"/>
    <b v="0"/>
    <s v="publishing/nonfiction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.2016770186335404"/>
    <n v="1697"/>
    <s v="US"/>
    <s v="USD"/>
    <n v="1297836000"/>
    <n v="1298268000"/>
    <b v="0"/>
    <b v="1"/>
    <s v="music/rock"/>
    <n v="57.003535651149086"/>
    <x v="1"/>
    <s v="rock"/>
    <x v="247"/>
    <d v="2011-02-21T06:00:00"/>
  </r>
  <r>
    <n v="256"/>
    <s v="Smith-Reid"/>
    <s v="Optimized actuating toolset"/>
    <n v="4100"/>
    <n v="959"/>
    <x v="0"/>
    <n v="0.23390243902439026"/>
    <n v="15"/>
    <s v="GB"/>
    <s v="GBP"/>
    <n v="1453615200"/>
    <n v="1456812000"/>
    <b v="0"/>
    <b v="0"/>
    <s v="music/rock"/>
    <n v="63.93333333333333"/>
    <x v="1"/>
    <s v="rock"/>
    <x v="248"/>
    <d v="2016-03-01T06:00:00"/>
  </r>
  <r>
    <n v="257"/>
    <s v="Williams Inc"/>
    <s v="Decentralized exuding strategy"/>
    <n v="5700"/>
    <n v="8322"/>
    <x v="1"/>
    <n v="1.46"/>
    <n v="92"/>
    <s v="US"/>
    <s v="USD"/>
    <n v="1362463200"/>
    <n v="1363669200"/>
    <b v="0"/>
    <b v="0"/>
    <s v="theater/plays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2.6848000000000001"/>
    <n v="186"/>
    <s v="US"/>
    <s v="USD"/>
    <n v="1481176800"/>
    <n v="1482904800"/>
    <b v="0"/>
    <b v="1"/>
    <s v="theater/plays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5.9749999999999996"/>
    <n v="138"/>
    <s v="US"/>
    <s v="USD"/>
    <n v="1354946400"/>
    <n v="1356588000"/>
    <b v="1"/>
    <b v="0"/>
    <s v="photography/photography books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1.5769841269841269"/>
    <n v="261"/>
    <s v="US"/>
    <s v="USD"/>
    <n v="1348808400"/>
    <n v="1349845200"/>
    <b v="0"/>
    <b v="0"/>
    <s v="music/rock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0.31201660735468567"/>
    <n v="454"/>
    <s v="US"/>
    <s v="USD"/>
    <n v="1282712400"/>
    <n v="1283058000"/>
    <b v="0"/>
    <b v="1"/>
    <s v="music/rock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3.1341176470588237"/>
    <n v="107"/>
    <s v="US"/>
    <s v="USD"/>
    <n v="1301979600"/>
    <n v="1304226000"/>
    <b v="0"/>
    <b v="1"/>
    <s v="music/indie rock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3.7089655172413791"/>
    <n v="199"/>
    <s v="US"/>
    <s v="USD"/>
    <n v="1263016800"/>
    <n v="1263016800"/>
    <b v="0"/>
    <b v="0"/>
    <s v="photography/photography books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3.6266447368421053"/>
    <n v="5512"/>
    <s v="US"/>
    <s v="USD"/>
    <n v="1360648800"/>
    <n v="1362031200"/>
    <b v="0"/>
    <b v="0"/>
    <s v="theater/plays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1.2308163265306122"/>
    <n v="86"/>
    <s v="US"/>
    <s v="USD"/>
    <n v="1451800800"/>
    <n v="1455602400"/>
    <b v="0"/>
    <b v="0"/>
    <s v="theater/plays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0.76766756032171579"/>
    <n v="3182"/>
    <s v="IT"/>
    <s v="EUR"/>
    <n v="1415340000"/>
    <n v="1418191200"/>
    <b v="0"/>
    <b v="1"/>
    <s v="music/jazz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.3362012987012988"/>
    <n v="2768"/>
    <s v="AU"/>
    <s v="AUD"/>
    <n v="1351054800"/>
    <n v="1352440800"/>
    <b v="0"/>
    <b v="0"/>
    <s v="theater/plays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1.8053333333333332"/>
    <n v="48"/>
    <s v="US"/>
    <s v="USD"/>
    <n v="1349326800"/>
    <n v="1353304800"/>
    <b v="0"/>
    <b v="0"/>
    <s v="film &amp; video/documentary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2.5262857142857142"/>
    <n v="87"/>
    <s v="US"/>
    <s v="USD"/>
    <n v="1548914400"/>
    <n v="1550728800"/>
    <b v="0"/>
    <b v="0"/>
    <s v="film &amp; video/television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0.27176538240368026"/>
    <n v="1890"/>
    <s v="US"/>
    <s v="USD"/>
    <n v="1291269600"/>
    <n v="1291442400"/>
    <b v="0"/>
    <b v="0"/>
    <s v="games/video games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1.2706571242680547E-2"/>
    <n v="61"/>
    <s v="US"/>
    <s v="USD"/>
    <n v="1449468000"/>
    <n v="1452146400"/>
    <b v="0"/>
    <b v="0"/>
    <s v="photography/photography books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3.0400978473581213"/>
    <n v="1894"/>
    <s v="US"/>
    <s v="USD"/>
    <n v="1562734800"/>
    <n v="1564894800"/>
    <b v="0"/>
    <b v="1"/>
    <s v="theater/plays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1.3723076923076922"/>
    <n v="282"/>
    <s v="CA"/>
    <s v="CAD"/>
    <n v="1505624400"/>
    <n v="1505883600"/>
    <b v="0"/>
    <b v="0"/>
    <s v="theater/plays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0.32208333333333333"/>
    <n v="15"/>
    <s v="US"/>
    <s v="USD"/>
    <n v="1509948000"/>
    <n v="1510380000"/>
    <b v="0"/>
    <b v="0"/>
    <s v="theater/plays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2.4151282051282053"/>
    <n v="116"/>
    <s v="US"/>
    <s v="USD"/>
    <n v="1554526800"/>
    <n v="1555218000"/>
    <b v="0"/>
    <b v="0"/>
    <s v="publishing/translations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0.96799999999999997"/>
    <n v="133"/>
    <s v="US"/>
    <s v="USD"/>
    <n v="1334811600"/>
    <n v="1335243600"/>
    <b v="0"/>
    <b v="1"/>
    <s v="games/video games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10.664285714285715"/>
    <n v="83"/>
    <s v="US"/>
    <s v="USD"/>
    <n v="1279515600"/>
    <n v="1279688400"/>
    <b v="0"/>
    <b v="0"/>
    <s v="theater/plays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3.2588888888888889"/>
    <n v="91"/>
    <s v="US"/>
    <s v="USD"/>
    <n v="1353909600"/>
    <n v="1356069600"/>
    <b v="0"/>
    <b v="0"/>
    <s v="technology/web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1.7070000000000001"/>
    <n v="546"/>
    <s v="US"/>
    <s v="USD"/>
    <n v="1535950800"/>
    <n v="1536210000"/>
    <b v="0"/>
    <b v="0"/>
    <s v="theater/plays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5.8144"/>
    <n v="393"/>
    <s v="US"/>
    <s v="USD"/>
    <n v="1511244000"/>
    <n v="1511762400"/>
    <b v="0"/>
    <b v="0"/>
    <s v="film &amp; video/animation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0.91520972644376897"/>
    <n v="2062"/>
    <s v="US"/>
    <s v="USD"/>
    <n v="1331445600"/>
    <n v="1333256400"/>
    <b v="0"/>
    <b v="1"/>
    <s v="theater/plays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.0804761904761904"/>
    <n v="133"/>
    <s v="US"/>
    <s v="USD"/>
    <n v="1480226400"/>
    <n v="1480744800"/>
    <b v="0"/>
    <b v="1"/>
    <s v="film &amp; video/television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0.18728395061728395"/>
    <n v="29"/>
    <s v="DK"/>
    <s v="DKK"/>
    <n v="1464584400"/>
    <n v="1465016400"/>
    <b v="0"/>
    <b v="0"/>
    <s v="music/rock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0.83193877551020412"/>
    <n v="132"/>
    <s v="US"/>
    <s v="USD"/>
    <n v="1335848400"/>
    <n v="1336280400"/>
    <b v="0"/>
    <b v="0"/>
    <s v="technology/web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7.0633333333333335"/>
    <n v="254"/>
    <s v="US"/>
    <s v="USD"/>
    <n v="1473483600"/>
    <n v="1476766800"/>
    <b v="0"/>
    <b v="0"/>
    <s v="theater/plays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0.17446030330062445"/>
    <n v="184"/>
    <s v="US"/>
    <s v="USD"/>
    <n v="1479880800"/>
    <n v="1480485600"/>
    <b v="0"/>
    <b v="0"/>
    <s v="theater/plays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2.0973015873015872"/>
    <n v="176"/>
    <s v="US"/>
    <s v="USD"/>
    <n v="1430197200"/>
    <n v="1430197200"/>
    <b v="0"/>
    <b v="0"/>
    <s v="music/electric music"/>
    <n v="75.07386363636364"/>
    <x v="1"/>
    <s v="electric music"/>
    <x v="277"/>
    <d v="2015-04-28T05:00:00"/>
  </r>
  <r>
    <n v="288"/>
    <s v="Garcia Ltd"/>
    <s v="Secured global success"/>
    <n v="5600"/>
    <n v="5476"/>
    <x v="0"/>
    <n v="0.97785714285714287"/>
    <n v="137"/>
    <s v="DK"/>
    <s v="DKK"/>
    <n v="1331701200"/>
    <n v="1331787600"/>
    <b v="0"/>
    <b v="1"/>
    <s v="music/metal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16.842500000000001"/>
    <n v="337"/>
    <s v="CA"/>
    <s v="CAD"/>
    <n v="1438578000"/>
    <n v="1438837200"/>
    <b v="0"/>
    <b v="0"/>
    <s v="theater/plays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0.54402135231316728"/>
    <n v="908"/>
    <s v="US"/>
    <s v="USD"/>
    <n v="1368162000"/>
    <n v="1370926800"/>
    <b v="0"/>
    <b v="1"/>
    <s v="film &amp; video/documentary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4.5661111111111108"/>
    <n v="107"/>
    <s v="US"/>
    <s v="USD"/>
    <n v="1318654800"/>
    <n v="1319000400"/>
    <b v="1"/>
    <b v="0"/>
    <s v="technology/web"/>
    <n v="76.813084112149539"/>
    <x v="2"/>
    <s v="web"/>
    <x v="281"/>
    <d v="2011-10-19T05:00:00"/>
  </r>
  <r>
    <n v="292"/>
    <s v="Ho-Harris"/>
    <s v="Versatile cohesive encoding"/>
    <n v="7300"/>
    <n v="717"/>
    <x v="0"/>
    <n v="9.8219178082191785E-2"/>
    <n v="10"/>
    <s v="US"/>
    <s v="USD"/>
    <n v="1331874000"/>
    <n v="1333429200"/>
    <b v="0"/>
    <b v="0"/>
    <s v="food/food trucks"/>
    <n v="71.7"/>
    <x v="0"/>
    <s v="food trucks"/>
    <x v="282"/>
    <d v="2012-04-03T05:00:00"/>
  </r>
  <r>
    <n v="293"/>
    <s v="Ross Group"/>
    <s v="Organized executive solution"/>
    <n v="6500"/>
    <n v="1065"/>
    <x v="3"/>
    <n v="0.16384615384615384"/>
    <n v="32"/>
    <s v="IT"/>
    <s v="EUR"/>
    <n v="1286254800"/>
    <n v="1287032400"/>
    <b v="0"/>
    <b v="0"/>
    <s v="theater/plays"/>
    <n v="33.28125"/>
    <x v="3"/>
    <s v="plays"/>
    <x v="283"/>
    <d v="2010-10-14T05:00:00"/>
  </r>
  <r>
    <n v="294"/>
    <s v="Turner-Davis"/>
    <s v="Automated local emulation"/>
    <n v="600"/>
    <n v="8038"/>
    <x v="1"/>
    <n v="13.396666666666667"/>
    <n v="183"/>
    <s v="US"/>
    <s v="USD"/>
    <n v="1540530000"/>
    <n v="1541570400"/>
    <b v="0"/>
    <b v="0"/>
    <s v="theater/plays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0.35650077760497667"/>
    <n v="1910"/>
    <s v="CH"/>
    <s v="CHF"/>
    <n v="1381813200"/>
    <n v="1383976800"/>
    <b v="0"/>
    <b v="0"/>
    <s v="theater/plays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0.54950819672131146"/>
    <n v="38"/>
    <s v="AU"/>
    <s v="AUD"/>
    <n v="1548655200"/>
    <n v="1550556000"/>
    <b v="0"/>
    <b v="0"/>
    <s v="theater/plays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0.94236111111111109"/>
    <n v="104"/>
    <s v="AU"/>
    <s v="AUD"/>
    <n v="1389679200"/>
    <n v="1390456800"/>
    <b v="0"/>
    <b v="1"/>
    <s v="theater/plays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1.4391428571428571"/>
    <n v="72"/>
    <s v="US"/>
    <s v="USD"/>
    <n v="1456466400"/>
    <n v="1458018000"/>
    <b v="0"/>
    <b v="1"/>
    <s v="music/rock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0.51421052631578945"/>
    <n v="49"/>
    <s v="US"/>
    <s v="USD"/>
    <n v="1456984800"/>
    <n v="1461819600"/>
    <b v="0"/>
    <b v="0"/>
    <s v="food/food trucks"/>
    <n v="39.877551020408163"/>
    <x v="0"/>
    <s v="food trucks"/>
    <x v="289"/>
    <d v="2016-04-28T05:00:00"/>
  </r>
  <r>
    <n v="300"/>
    <s v="Cooke PLC"/>
    <s v="Focused executive core"/>
    <n v="100"/>
    <n v="5"/>
    <x v="0"/>
    <n v="0.05"/>
    <n v="1"/>
    <s v="DK"/>
    <s v="DKK"/>
    <n v="1504069200"/>
    <n v="1504155600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x v="1"/>
    <n v="13.446666666666667"/>
    <n v="295"/>
    <s v="US"/>
    <s v="USD"/>
    <n v="1424930400"/>
    <n v="1426395600"/>
    <b v="0"/>
    <b v="0"/>
    <s v="film &amp; video/documentary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0.31844940867279897"/>
    <n v="245"/>
    <s v="US"/>
    <s v="USD"/>
    <n v="1535864400"/>
    <n v="1537074000"/>
    <b v="0"/>
    <b v="0"/>
    <s v="theater/plays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0.82617647058823529"/>
    <n v="32"/>
    <s v="US"/>
    <s v="USD"/>
    <n v="1452146400"/>
    <n v="1452578400"/>
    <b v="0"/>
    <b v="0"/>
    <s v="music/indie rock"/>
    <n v="87.78125"/>
    <x v="1"/>
    <s v="indie rock"/>
    <x v="293"/>
    <d v="2016-01-12T06:00:00"/>
  </r>
  <r>
    <n v="304"/>
    <s v="Peterson PLC"/>
    <s v="User-friendly discrete benchmark"/>
    <n v="2100"/>
    <n v="11469"/>
    <x v="1"/>
    <n v="5.4614285714285717"/>
    <n v="142"/>
    <s v="US"/>
    <s v="USD"/>
    <n v="1470546000"/>
    <n v="1474088400"/>
    <b v="0"/>
    <b v="0"/>
    <s v="film &amp; video/documentary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2.8621428571428571"/>
    <n v="85"/>
    <s v="US"/>
    <s v="USD"/>
    <n v="1458363600"/>
    <n v="1461906000"/>
    <b v="0"/>
    <b v="0"/>
    <s v="theater/plays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.9076923076923072E-2"/>
    <n v="7"/>
    <s v="US"/>
    <s v="USD"/>
    <n v="1500008400"/>
    <n v="1500267600"/>
    <b v="0"/>
    <b v="1"/>
    <s v="theater/plays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1.3213677811550153"/>
    <n v="659"/>
    <s v="DK"/>
    <s v="DKK"/>
    <n v="1338958800"/>
    <n v="1340686800"/>
    <b v="0"/>
    <b v="1"/>
    <s v="publishing/fiction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0.74077834179357027"/>
    <n v="803"/>
    <s v="US"/>
    <s v="USD"/>
    <n v="1303102800"/>
    <n v="1303189200"/>
    <b v="0"/>
    <b v="0"/>
    <s v="theater/plays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0.75292682926829269"/>
    <n v="75"/>
    <s v="US"/>
    <s v="USD"/>
    <n v="1316581200"/>
    <n v="1318309200"/>
    <b v="0"/>
    <b v="1"/>
    <s v="music/indie rock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0.20333333333333334"/>
    <n v="16"/>
    <s v="US"/>
    <s v="USD"/>
    <n v="1270789200"/>
    <n v="1272171600"/>
    <b v="0"/>
    <b v="0"/>
    <s v="games/video games"/>
    <n v="99.125"/>
    <x v="6"/>
    <s v="video games"/>
    <x v="300"/>
    <d v="2010-04-25T05:00:00"/>
  </r>
  <r>
    <n v="311"/>
    <s v="Flores PLC"/>
    <s v="Focused real-time help-desk"/>
    <n v="6300"/>
    <n v="12812"/>
    <x v="1"/>
    <n v="2.0336507936507937"/>
    <n v="121"/>
    <s v="US"/>
    <s v="USD"/>
    <n v="1297836000"/>
    <n v="1298872800"/>
    <b v="0"/>
    <b v="0"/>
    <s v="theater/plays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.1022842639593908"/>
    <n v="3742"/>
    <s v="US"/>
    <s v="USD"/>
    <n v="1382677200"/>
    <n v="1383282000"/>
    <b v="0"/>
    <b v="0"/>
    <s v="theater/plays"/>
    <n v="48.996525921966864"/>
    <x v="3"/>
    <s v="plays"/>
    <x v="244"/>
    <d v="2013-11-01T05:00:00"/>
  </r>
  <r>
    <n v="313"/>
    <s v="Miller-Irwin"/>
    <s v="Secured maximized policy"/>
    <n v="2200"/>
    <n v="8697"/>
    <x v="1"/>
    <n v="3.9531818181818181"/>
    <n v="223"/>
    <s v="US"/>
    <s v="USD"/>
    <n v="1330322400"/>
    <n v="1330495200"/>
    <b v="0"/>
    <b v="0"/>
    <s v="music/rock"/>
    <n v="39"/>
    <x v="1"/>
    <s v="rock"/>
    <x v="301"/>
    <d v="2012-02-29T06:00:00"/>
  </r>
  <r>
    <n v="314"/>
    <s v="Sanchez-Morgan"/>
    <s v="Realigned upward-trending strategy"/>
    <n v="1400"/>
    <n v="4126"/>
    <x v="1"/>
    <n v="2.9471428571428571"/>
    <n v="133"/>
    <s v="US"/>
    <s v="USD"/>
    <n v="1552366800"/>
    <n v="1552798800"/>
    <b v="0"/>
    <b v="1"/>
    <s v="film &amp; video/documentary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0.33894736842105261"/>
    <n v="31"/>
    <s v="US"/>
    <s v="USD"/>
    <n v="1400907600"/>
    <n v="1403413200"/>
    <b v="0"/>
    <b v="0"/>
    <s v="theater/plays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0.66677083333333331"/>
    <n v="108"/>
    <s v="IT"/>
    <s v="EUR"/>
    <n v="1574143200"/>
    <n v="1574229600"/>
    <b v="0"/>
    <b v="1"/>
    <s v="food/food trucks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0.19227272727272726"/>
    <n v="30"/>
    <s v="US"/>
    <s v="USD"/>
    <n v="1494738000"/>
    <n v="1495861200"/>
    <b v="0"/>
    <b v="0"/>
    <s v="theater/plays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0.15842105263157893"/>
    <n v="17"/>
    <s v="US"/>
    <s v="USD"/>
    <n v="1392357600"/>
    <n v="1392530400"/>
    <b v="0"/>
    <b v="0"/>
    <s v="music/rock"/>
    <n v="53.117647058823529"/>
    <x v="1"/>
    <s v="rock"/>
    <x v="305"/>
    <d v="2014-02-16T06:00:00"/>
  </r>
  <r>
    <n v="319"/>
    <s v="Mills Group"/>
    <s v="Advanced empowering matrix"/>
    <n v="8400"/>
    <n v="3251"/>
    <x v="3"/>
    <n v="0.38702380952380955"/>
    <n v="64"/>
    <s v="US"/>
    <s v="USD"/>
    <n v="1281589200"/>
    <n v="1283662800"/>
    <b v="0"/>
    <b v="0"/>
    <s v="technology/web"/>
    <n v="50.796875"/>
    <x v="2"/>
    <s v="web"/>
    <x v="306"/>
    <d v="2010-09-05T05:00:00"/>
  </r>
  <r>
    <n v="320"/>
    <s v="Sandoval-Powell"/>
    <s v="Phased holistic implementation"/>
    <n v="84400"/>
    <n v="8092"/>
    <x v="0"/>
    <n v="9.5876777251184833E-2"/>
    <n v="80"/>
    <s v="US"/>
    <s v="USD"/>
    <n v="1305003600"/>
    <n v="1305781200"/>
    <b v="0"/>
    <b v="0"/>
    <s v="publishing/fiction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0.94144366197183094"/>
    <n v="2468"/>
    <s v="US"/>
    <s v="USD"/>
    <n v="1301634000"/>
    <n v="1302325200"/>
    <b v="0"/>
    <b v="0"/>
    <s v="film &amp; video/shorts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1.6656234096692113"/>
    <n v="5168"/>
    <s v="US"/>
    <s v="USD"/>
    <n v="1290664800"/>
    <n v="1291788000"/>
    <b v="0"/>
    <b v="0"/>
    <s v="theater/plays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0.24134831460674158"/>
    <n v="26"/>
    <s v="GB"/>
    <s v="GBP"/>
    <n v="1395896400"/>
    <n v="1396069200"/>
    <b v="0"/>
    <b v="0"/>
    <s v="film &amp; video/documentary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1.6405633802816901"/>
    <n v="307"/>
    <s v="US"/>
    <s v="USD"/>
    <n v="1434862800"/>
    <n v="1435899600"/>
    <b v="0"/>
    <b v="1"/>
    <s v="theater/plays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0.90723076923076929"/>
    <n v="73"/>
    <s v="US"/>
    <s v="USD"/>
    <n v="1529125200"/>
    <n v="1531112400"/>
    <b v="0"/>
    <b v="1"/>
    <s v="theater/plays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0.46194444444444444"/>
    <n v="128"/>
    <s v="US"/>
    <s v="USD"/>
    <n v="1451109600"/>
    <n v="1451628000"/>
    <b v="0"/>
    <b v="0"/>
    <s v="film &amp; video/animation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0.38538461538461538"/>
    <n v="33"/>
    <s v="US"/>
    <s v="USD"/>
    <n v="1566968400"/>
    <n v="1567314000"/>
    <b v="0"/>
    <b v="1"/>
    <s v="theater/plays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1.3356231003039514"/>
    <n v="2441"/>
    <s v="US"/>
    <s v="USD"/>
    <n v="1543557600"/>
    <n v="1544508000"/>
    <b v="0"/>
    <b v="0"/>
    <s v="music/rock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0.22896588486140726"/>
    <n v="211"/>
    <s v="US"/>
    <s v="USD"/>
    <n v="1481522400"/>
    <n v="1482472800"/>
    <b v="0"/>
    <b v="0"/>
    <s v="games/video games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.8495548961424333"/>
    <n v="1385"/>
    <s v="GB"/>
    <s v="GBP"/>
    <n v="1512712800"/>
    <n v="1512799200"/>
    <b v="0"/>
    <b v="0"/>
    <s v="film &amp; video/documentary"/>
    <n v="45.003610108303249"/>
    <x v="4"/>
    <s v="documentary"/>
    <x v="316"/>
    <d v="2017-12-09T06:00:00"/>
  </r>
  <r>
    <n v="331"/>
    <s v="Rose-Silva"/>
    <s v="Intuitive static portal"/>
    <n v="3300"/>
    <n v="14643"/>
    <x v="1"/>
    <n v="4.4372727272727275"/>
    <n v="190"/>
    <s v="US"/>
    <s v="USD"/>
    <n v="1324274400"/>
    <n v="1324360800"/>
    <b v="0"/>
    <b v="0"/>
    <s v="food/food trucks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1.999806763285024"/>
    <n v="470"/>
    <s v="US"/>
    <s v="USD"/>
    <n v="1364446800"/>
    <n v="1364533200"/>
    <b v="0"/>
    <b v="0"/>
    <s v="technology/wearables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1.2395833333333333"/>
    <n v="253"/>
    <s v="US"/>
    <s v="USD"/>
    <n v="1542693600"/>
    <n v="1545112800"/>
    <b v="0"/>
    <b v="0"/>
    <s v="theater/plays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.8661329305135952"/>
    <n v="1113"/>
    <s v="US"/>
    <s v="USD"/>
    <n v="1515564000"/>
    <n v="1516168800"/>
    <b v="0"/>
    <b v="0"/>
    <s v="music/rock"/>
    <n v="110.99550763701707"/>
    <x v="1"/>
    <s v="rock"/>
    <x v="32"/>
    <d v="2018-01-17T06:00:00"/>
  </r>
  <r>
    <n v="335"/>
    <s v="Jordan-Acosta"/>
    <s v="Operative uniform hub"/>
    <n v="173800"/>
    <n v="198628"/>
    <x v="1"/>
    <n v="1.1428538550057536"/>
    <n v="2283"/>
    <s v="US"/>
    <s v="USD"/>
    <n v="1573797600"/>
    <n v="1574920800"/>
    <b v="0"/>
    <b v="0"/>
    <s v="music/rock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0.97032531824611035"/>
    <n v="1072"/>
    <s v="US"/>
    <s v="USD"/>
    <n v="1292392800"/>
    <n v="1292479200"/>
    <b v="0"/>
    <b v="1"/>
    <s v="music/rock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.2281904761904763"/>
    <n v="1095"/>
    <s v="US"/>
    <s v="USD"/>
    <n v="1573452000"/>
    <n v="1573538400"/>
    <b v="0"/>
    <b v="0"/>
    <s v="theater/plays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.7914326647564469"/>
    <n v="1690"/>
    <s v="US"/>
    <s v="USD"/>
    <n v="1317790800"/>
    <n v="1320382800"/>
    <b v="0"/>
    <b v="0"/>
    <s v="theater/plays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0.79951577402787966"/>
    <n v="1297"/>
    <s v="CA"/>
    <s v="CAD"/>
    <n v="1501650000"/>
    <n v="1502859600"/>
    <b v="0"/>
    <b v="0"/>
    <s v="theater/plays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0.94242587601078165"/>
    <n v="393"/>
    <s v="US"/>
    <s v="USD"/>
    <n v="1323669600"/>
    <n v="1323756000"/>
    <b v="0"/>
    <b v="0"/>
    <s v="photography/photography books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0.84669291338582675"/>
    <n v="1257"/>
    <s v="US"/>
    <s v="USD"/>
    <n v="1440738000"/>
    <n v="1441342800"/>
    <b v="0"/>
    <b v="0"/>
    <s v="music/indie rock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0.66521920668058454"/>
    <n v="328"/>
    <s v="US"/>
    <s v="USD"/>
    <n v="1374296400"/>
    <n v="1375333200"/>
    <b v="0"/>
    <b v="0"/>
    <s v="theater/plays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0.53922222222222227"/>
    <n v="147"/>
    <s v="US"/>
    <s v="USD"/>
    <n v="1384840800"/>
    <n v="1389420000"/>
    <b v="0"/>
    <b v="0"/>
    <s v="theater/plays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0.41983299595141699"/>
    <n v="830"/>
    <s v="US"/>
    <s v="USD"/>
    <n v="1516600800"/>
    <n v="1520056800"/>
    <b v="0"/>
    <b v="0"/>
    <s v="games/video games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0.14694796954314721"/>
    <n v="331"/>
    <s v="GB"/>
    <s v="GBP"/>
    <n v="1436418000"/>
    <n v="1436504400"/>
    <b v="0"/>
    <b v="0"/>
    <s v="film &amp; video/drama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0.34475"/>
    <n v="25"/>
    <s v="US"/>
    <s v="USD"/>
    <n v="1503550800"/>
    <n v="1508302800"/>
    <b v="0"/>
    <b v="1"/>
    <s v="music/indie rock"/>
    <n v="110.32"/>
    <x v="1"/>
    <s v="indie rock"/>
    <x v="331"/>
    <d v="2017-10-18T05:00:00"/>
  </r>
  <r>
    <n v="347"/>
    <s v="Petersen and Sons"/>
    <s v="Open-source full-range portal"/>
    <n v="900"/>
    <n v="12607"/>
    <x v="1"/>
    <n v="14.007777777777777"/>
    <n v="191"/>
    <s v="US"/>
    <s v="USD"/>
    <n v="1423634400"/>
    <n v="1425708000"/>
    <b v="0"/>
    <b v="0"/>
    <s v="technology/web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0.71770351758793971"/>
    <n v="3483"/>
    <s v="US"/>
    <s v="USD"/>
    <n v="1487224800"/>
    <n v="1488348000"/>
    <b v="0"/>
    <b v="0"/>
    <s v="food/food trucks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0.53074115044247783"/>
    <n v="923"/>
    <s v="US"/>
    <s v="USD"/>
    <n v="1500008400"/>
    <n v="1502600400"/>
    <b v="0"/>
    <b v="0"/>
    <s v="theater/plays"/>
    <n v="103.96316359696641"/>
    <x v="3"/>
    <s v="plays"/>
    <x v="296"/>
    <d v="2017-08-13T05:00:00"/>
  </r>
  <r>
    <n v="350"/>
    <s v="Shannon Ltd"/>
    <s v="Pre-emptive neutral capacity"/>
    <n v="100"/>
    <n v="5"/>
    <x v="0"/>
    <n v="0.05"/>
    <n v="1"/>
    <s v="US"/>
    <s v="USD"/>
    <n v="1432098000"/>
    <n v="1433653200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x v="1"/>
    <n v="1.2770715249662619"/>
    <n v="2013"/>
    <s v="US"/>
    <s v="USD"/>
    <n v="1440392400"/>
    <n v="1441602000"/>
    <b v="0"/>
    <b v="0"/>
    <s v="music/rock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0.34892857142857142"/>
    <n v="33"/>
    <s v="CA"/>
    <s v="CAD"/>
    <n v="1446876000"/>
    <n v="1447567200"/>
    <b v="0"/>
    <b v="0"/>
    <s v="theater/plays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4.105982142857143"/>
    <n v="1703"/>
    <s v="US"/>
    <s v="USD"/>
    <n v="1562302800"/>
    <n v="1562389200"/>
    <b v="0"/>
    <b v="0"/>
    <s v="theater/plays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1.2373770491803278"/>
    <n v="80"/>
    <s v="DK"/>
    <s v="DKK"/>
    <n v="1378184400"/>
    <n v="1378789200"/>
    <b v="0"/>
    <b v="0"/>
    <s v="film &amp; video/documentary"/>
    <n v="94.35"/>
    <x v="4"/>
    <s v="documentary"/>
    <x v="338"/>
    <d v="2013-09-10T05:00:00"/>
  </r>
  <r>
    <n v="355"/>
    <s v="Burns-Burnett"/>
    <s v="Front-line scalable definition"/>
    <n v="3800"/>
    <n v="2241"/>
    <x v="2"/>
    <n v="0.58973684210526311"/>
    <n v="86"/>
    <s v="US"/>
    <s v="USD"/>
    <n v="1485064800"/>
    <n v="1488520800"/>
    <b v="0"/>
    <b v="0"/>
    <s v="technology/wearables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0.36892473118279567"/>
    <n v="40"/>
    <s v="IT"/>
    <s v="EUR"/>
    <n v="1326520800"/>
    <n v="1327298400"/>
    <b v="0"/>
    <b v="0"/>
    <s v="theater/plays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1.8491304347826087"/>
    <n v="41"/>
    <s v="US"/>
    <s v="USD"/>
    <n v="1441256400"/>
    <n v="1443416400"/>
    <b v="0"/>
    <b v="0"/>
    <s v="games/video games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0.11814432989690722"/>
    <n v="23"/>
    <s v="CA"/>
    <s v="CAD"/>
    <n v="1533877200"/>
    <n v="1534136400"/>
    <b v="1"/>
    <b v="0"/>
    <s v="photography/photography books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2.9870000000000001"/>
    <n v="187"/>
    <s v="US"/>
    <s v="USD"/>
    <n v="1314421200"/>
    <n v="1315026000"/>
    <b v="0"/>
    <b v="0"/>
    <s v="film &amp; video/animation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.2635175879396985"/>
    <n v="2875"/>
    <s v="GB"/>
    <s v="GBP"/>
    <n v="1293861600"/>
    <n v="1295071200"/>
    <b v="0"/>
    <b v="1"/>
    <s v="theater/plays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1.7356363636363636"/>
    <n v="88"/>
    <s v="US"/>
    <s v="USD"/>
    <n v="1507352400"/>
    <n v="1509426000"/>
    <b v="0"/>
    <b v="0"/>
    <s v="theater/plays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3.7175675675675675"/>
    <n v="191"/>
    <s v="US"/>
    <s v="USD"/>
    <n v="1296108000"/>
    <n v="1299391200"/>
    <b v="0"/>
    <b v="0"/>
    <s v="music/rock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.601923076923077"/>
    <n v="139"/>
    <s v="US"/>
    <s v="USD"/>
    <n v="1324965600"/>
    <n v="1325052000"/>
    <b v="0"/>
    <b v="0"/>
    <s v="music/rock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6.163333333333334"/>
    <n v="186"/>
    <s v="US"/>
    <s v="USD"/>
    <n v="1520229600"/>
    <n v="1522818000"/>
    <b v="0"/>
    <b v="0"/>
    <s v="music/indie rock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7.3343749999999996"/>
    <n v="112"/>
    <s v="AU"/>
    <s v="AUD"/>
    <n v="1482991200"/>
    <n v="1485324000"/>
    <b v="0"/>
    <b v="0"/>
    <s v="theater/plays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5.9211111111111112"/>
    <n v="101"/>
    <s v="US"/>
    <s v="USD"/>
    <n v="1294034400"/>
    <n v="1294120800"/>
    <b v="0"/>
    <b v="1"/>
    <s v="theater/plays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0.18888888888888888"/>
    <n v="75"/>
    <s v="US"/>
    <s v="USD"/>
    <n v="1413608400"/>
    <n v="1415685600"/>
    <b v="0"/>
    <b v="1"/>
    <s v="theater/plays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.7680769230769231"/>
    <n v="206"/>
    <s v="GB"/>
    <s v="GBP"/>
    <n v="1286946000"/>
    <n v="1288933200"/>
    <b v="0"/>
    <b v="1"/>
    <s v="film &amp; video/documentary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2.730185185185185"/>
    <n v="154"/>
    <s v="US"/>
    <s v="USD"/>
    <n v="1359871200"/>
    <n v="1363237200"/>
    <b v="0"/>
    <b v="1"/>
    <s v="film &amp; video/television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1.593633125556545"/>
    <n v="5966"/>
    <s v="US"/>
    <s v="USD"/>
    <n v="1555304400"/>
    <n v="1555822800"/>
    <b v="0"/>
    <b v="0"/>
    <s v="theater/plays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0.67869978858350954"/>
    <n v="2176"/>
    <s v="US"/>
    <s v="USD"/>
    <n v="1423375200"/>
    <n v="1427778000"/>
    <b v="0"/>
    <b v="0"/>
    <s v="theater/plays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5.915555555555555"/>
    <n v="169"/>
    <s v="US"/>
    <s v="USD"/>
    <n v="1420696800"/>
    <n v="1422424800"/>
    <b v="0"/>
    <b v="1"/>
    <s v="film &amp; video/documentary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7.3018222222222224"/>
    <n v="2106"/>
    <s v="US"/>
    <s v="USD"/>
    <n v="1502946000"/>
    <n v="1503637200"/>
    <b v="0"/>
    <b v="0"/>
    <s v="theater/plays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0.13185782556750297"/>
    <n v="441"/>
    <s v="US"/>
    <s v="USD"/>
    <n v="1547186400"/>
    <n v="1547618400"/>
    <b v="0"/>
    <b v="1"/>
    <s v="film &amp; video/documentary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0.54777777777777781"/>
    <n v="25"/>
    <s v="US"/>
    <s v="USD"/>
    <n v="1444971600"/>
    <n v="1449900000"/>
    <b v="0"/>
    <b v="0"/>
    <s v="music/indie rock"/>
    <n v="59.16"/>
    <x v="1"/>
    <s v="indie rock"/>
    <x v="358"/>
    <d v="2015-12-12T06:00:00"/>
  </r>
  <r>
    <n v="376"/>
    <s v="Perry PLC"/>
    <s v="Mandatory uniform matrix"/>
    <n v="3400"/>
    <n v="12275"/>
    <x v="1"/>
    <n v="3.6102941176470589"/>
    <n v="131"/>
    <s v="US"/>
    <s v="USD"/>
    <n v="1404622800"/>
    <n v="1405141200"/>
    <b v="0"/>
    <b v="0"/>
    <s v="music/rock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0.10257545271629778"/>
    <n v="127"/>
    <s v="US"/>
    <s v="USD"/>
    <n v="1571720400"/>
    <n v="1572933600"/>
    <b v="0"/>
    <b v="0"/>
    <s v="theater/plays"/>
    <n v="40.14173228346457"/>
    <x v="3"/>
    <s v="plays"/>
    <x v="12"/>
    <d v="2019-11-05T06:00:00"/>
  </r>
  <r>
    <n v="378"/>
    <s v="Fleming-Oliver"/>
    <s v="Managed stable function"/>
    <n v="178200"/>
    <n v="24882"/>
    <x v="0"/>
    <n v="0.13962962962962963"/>
    <n v="355"/>
    <s v="US"/>
    <s v="USD"/>
    <n v="1526878800"/>
    <n v="1530162000"/>
    <b v="0"/>
    <b v="0"/>
    <s v="film &amp; video/documentary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0.40444444444444444"/>
    <n v="44"/>
    <s v="GB"/>
    <s v="GBP"/>
    <n v="1319691600"/>
    <n v="1320904800"/>
    <b v="0"/>
    <b v="0"/>
    <s v="theater/plays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1.6032"/>
    <n v="84"/>
    <s v="US"/>
    <s v="USD"/>
    <n v="1371963600"/>
    <n v="1372395600"/>
    <b v="0"/>
    <b v="0"/>
    <s v="theater/plays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.8394339622641509"/>
    <n v="155"/>
    <s v="US"/>
    <s v="USD"/>
    <n v="1433739600"/>
    <n v="1437714000"/>
    <b v="0"/>
    <b v="0"/>
    <s v="theater/plays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0.63769230769230767"/>
    <n v="67"/>
    <s v="US"/>
    <s v="USD"/>
    <n v="1508130000"/>
    <n v="1509771600"/>
    <b v="0"/>
    <b v="0"/>
    <s v="photography/photography books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2.2538095238095237"/>
    <n v="189"/>
    <s v="US"/>
    <s v="USD"/>
    <n v="1550037600"/>
    <n v="1550556000"/>
    <b v="0"/>
    <b v="1"/>
    <s v="food/food trucks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1.7200961538461539"/>
    <n v="4799"/>
    <s v="US"/>
    <s v="USD"/>
    <n v="1486706400"/>
    <n v="1489039200"/>
    <b v="1"/>
    <b v="1"/>
    <s v="film &amp; video/documentary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.4616709511568124"/>
    <n v="1137"/>
    <s v="US"/>
    <s v="USD"/>
    <n v="1553835600"/>
    <n v="1556600400"/>
    <b v="0"/>
    <b v="0"/>
    <s v="publishing/nonfiction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0.76423616236162362"/>
    <n v="1068"/>
    <s v="US"/>
    <s v="USD"/>
    <n v="1277528400"/>
    <n v="1278565200"/>
    <b v="0"/>
    <b v="0"/>
    <s v="theater/plays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0.39261467889908258"/>
    <n v="424"/>
    <s v="US"/>
    <s v="USD"/>
    <n v="1339477200"/>
    <n v="1339909200"/>
    <b v="0"/>
    <b v="0"/>
    <s v="technology/wearables"/>
    <n v="100.93160377358491"/>
    <x v="2"/>
    <s v="wearables"/>
    <x v="368"/>
    <d v="2012-06-17T05:00:00"/>
  </r>
  <r>
    <n v="388"/>
    <s v="Cruz Ltd"/>
    <s v="Exclusive dynamic adapter"/>
    <n v="114800"/>
    <n v="12938"/>
    <x v="3"/>
    <n v="0.11270034843205574"/>
    <n v="145"/>
    <s v="CH"/>
    <s v="CHF"/>
    <n v="1325656800"/>
    <n v="1325829600"/>
    <b v="0"/>
    <b v="0"/>
    <s v="music/indie rock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.2211084337349398"/>
    <n v="1152"/>
    <s v="US"/>
    <s v="USD"/>
    <n v="1288242000"/>
    <n v="1290578400"/>
    <b v="0"/>
    <b v="0"/>
    <s v="theater/plays"/>
    <n v="87.979166666666671"/>
    <x v="3"/>
    <s v="plays"/>
    <x v="370"/>
    <d v="2010-11-24T06:00:00"/>
  </r>
  <r>
    <n v="390"/>
    <s v="Davis-Allen"/>
    <s v="Digitized eco-centric core"/>
    <n v="2400"/>
    <n v="4477"/>
    <x v="1"/>
    <n v="1.8654166666666667"/>
    <n v="50"/>
    <s v="US"/>
    <s v="USD"/>
    <n v="1379048400"/>
    <n v="1380344400"/>
    <b v="0"/>
    <b v="0"/>
    <s v="photography/photography books"/>
    <n v="89.54"/>
    <x v="7"/>
    <s v="photography books"/>
    <x v="371"/>
    <d v="2013-09-28T05:00:00"/>
  </r>
  <r>
    <n v="391"/>
    <s v="Miller-Patel"/>
    <s v="Mandatory uniform strategy"/>
    <n v="60400"/>
    <n v="4393"/>
    <x v="0"/>
    <n v="7.27317880794702E-2"/>
    <n v="151"/>
    <s v="US"/>
    <s v="USD"/>
    <n v="1389679200"/>
    <n v="1389852000"/>
    <b v="0"/>
    <b v="0"/>
    <s v="publishing/nonfiction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0.65642371234207963"/>
    <n v="1608"/>
    <s v="US"/>
    <s v="USD"/>
    <n v="1294293600"/>
    <n v="1294466400"/>
    <b v="0"/>
    <b v="0"/>
    <s v="technology/wearables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2.2896178343949045"/>
    <n v="3059"/>
    <s v="CA"/>
    <s v="CAD"/>
    <n v="1500267600"/>
    <n v="1500354000"/>
    <b v="0"/>
    <b v="0"/>
    <s v="music/jazz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4.6937499999999996"/>
    <n v="34"/>
    <s v="US"/>
    <s v="USD"/>
    <n v="1375074000"/>
    <n v="1375938000"/>
    <b v="0"/>
    <b v="1"/>
    <s v="film &amp; video/documentary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1.3011267605633803"/>
    <n v="220"/>
    <s v="US"/>
    <s v="USD"/>
    <n v="1323324000"/>
    <n v="1323410400"/>
    <b v="1"/>
    <b v="0"/>
    <s v="theater/plays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.6705422993492407"/>
    <n v="1604"/>
    <s v="AU"/>
    <s v="AUD"/>
    <n v="1538715600"/>
    <n v="1539406800"/>
    <b v="0"/>
    <b v="0"/>
    <s v="film &amp; video/drama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1.738641975308642"/>
    <n v="454"/>
    <s v="US"/>
    <s v="USD"/>
    <n v="1369285200"/>
    <n v="1369803600"/>
    <b v="0"/>
    <b v="0"/>
    <s v="music/rock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7.1776470588235295"/>
    <n v="123"/>
    <s v="IT"/>
    <s v="EUR"/>
    <n v="1525755600"/>
    <n v="1525928400"/>
    <b v="0"/>
    <b v="1"/>
    <s v="film &amp; video/animation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0.63850976361767731"/>
    <n v="941"/>
    <s v="US"/>
    <s v="USD"/>
    <n v="1296626400"/>
    <n v="1297231200"/>
    <b v="0"/>
    <b v="0"/>
    <s v="music/indie rock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0.02"/>
    <n v="1"/>
    <s v="US"/>
    <s v="USD"/>
    <n v="1376629200"/>
    <n v="1378530000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x v="1"/>
    <n v="15.302222222222222"/>
    <n v="299"/>
    <s v="US"/>
    <s v="USD"/>
    <n v="1572152400"/>
    <n v="1572152400"/>
    <b v="0"/>
    <b v="0"/>
    <s v="theater/plays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0.40356164383561643"/>
    <n v="40"/>
    <s v="US"/>
    <s v="USD"/>
    <n v="1325829600"/>
    <n v="1329890400"/>
    <b v="0"/>
    <b v="1"/>
    <s v="film &amp; video/shorts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0.86220633299284988"/>
    <n v="3015"/>
    <s v="CA"/>
    <s v="CAD"/>
    <n v="1273640400"/>
    <n v="1276750800"/>
    <b v="0"/>
    <b v="1"/>
    <s v="theater/plays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3.1558486707566464"/>
    <n v="2237"/>
    <s v="US"/>
    <s v="USD"/>
    <n v="1510639200"/>
    <n v="1510898400"/>
    <b v="0"/>
    <b v="0"/>
    <s v="theater/plays"/>
    <n v="68.985695127402778"/>
    <x v="3"/>
    <s v="plays"/>
    <x v="383"/>
    <d v="2017-11-17T06:00:00"/>
  </r>
  <r>
    <n v="405"/>
    <s v="Lee LLC"/>
    <s v="Synchronized secondary analyzer"/>
    <n v="29600"/>
    <n v="26527"/>
    <x v="0"/>
    <n v="0.89618243243243245"/>
    <n v="435"/>
    <s v="US"/>
    <s v="USD"/>
    <n v="1528088400"/>
    <n v="1532408400"/>
    <b v="0"/>
    <b v="0"/>
    <s v="theater/plays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1.8214503816793892"/>
    <n v="645"/>
    <s v="US"/>
    <s v="USD"/>
    <n v="1359525600"/>
    <n v="1360562400"/>
    <b v="1"/>
    <b v="0"/>
    <s v="film &amp; video/documentary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3.5588235294117645"/>
    <n v="484"/>
    <s v="DK"/>
    <s v="DKK"/>
    <n v="1570942800"/>
    <n v="1571547600"/>
    <b v="0"/>
    <b v="0"/>
    <s v="theater/plays"/>
    <n v="25"/>
    <x v="3"/>
    <s v="plays"/>
    <x v="386"/>
    <d v="2019-10-20T05:00:00"/>
  </r>
  <r>
    <n v="408"/>
    <s v="Mahoney, Adams and Lucas"/>
    <s v="Cloned leadingedge utilization"/>
    <n v="9200"/>
    <n v="12129"/>
    <x v="1"/>
    <n v="1.3183695652173912"/>
    <n v="154"/>
    <s v="CA"/>
    <s v="CAD"/>
    <n v="1466398800"/>
    <n v="1468126800"/>
    <b v="0"/>
    <b v="0"/>
    <s v="film &amp; video/documentary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0.46315634218289087"/>
    <n v="714"/>
    <s v="US"/>
    <s v="USD"/>
    <n v="1492491600"/>
    <n v="1492837200"/>
    <b v="0"/>
    <b v="0"/>
    <s v="music/rock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0.36132726089785294"/>
    <n v="1111"/>
    <s v="US"/>
    <s v="USD"/>
    <n v="1430197200"/>
    <n v="1430197200"/>
    <b v="0"/>
    <b v="0"/>
    <s v="games/mobile games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1.0462820512820512"/>
    <n v="82"/>
    <s v="US"/>
    <s v="USD"/>
    <n v="1496034000"/>
    <n v="1496206800"/>
    <b v="0"/>
    <b v="0"/>
    <s v="theater/plays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6.6885714285714286"/>
    <n v="134"/>
    <s v="US"/>
    <s v="USD"/>
    <n v="1388728800"/>
    <n v="1389592800"/>
    <b v="0"/>
    <b v="0"/>
    <s v="publishing/fiction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0.62072823218997364"/>
    <n v="1089"/>
    <s v="US"/>
    <s v="USD"/>
    <n v="1543298400"/>
    <n v="1545631200"/>
    <b v="0"/>
    <b v="0"/>
    <s v="film &amp; video/animation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0.84699787460148779"/>
    <n v="5497"/>
    <s v="US"/>
    <s v="USD"/>
    <n v="1271739600"/>
    <n v="1272430800"/>
    <b v="0"/>
    <b v="1"/>
    <s v="food/food trucks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0.11059030837004405"/>
    <n v="418"/>
    <s v="US"/>
    <s v="USD"/>
    <n v="1326434400"/>
    <n v="1327903200"/>
    <b v="0"/>
    <b v="0"/>
    <s v="theater/plays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0.43838781575037145"/>
    <n v="1439"/>
    <s v="US"/>
    <s v="USD"/>
    <n v="1295244000"/>
    <n v="1296021600"/>
    <b v="0"/>
    <b v="1"/>
    <s v="film &amp; video/documentary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0.55470588235294116"/>
    <n v="15"/>
    <s v="US"/>
    <s v="USD"/>
    <n v="1541221200"/>
    <n v="1543298400"/>
    <b v="0"/>
    <b v="0"/>
    <s v="theater/plays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0.57399511301160655"/>
    <n v="1999"/>
    <s v="CA"/>
    <s v="CAD"/>
    <n v="1336280400"/>
    <n v="1336366800"/>
    <b v="0"/>
    <b v="0"/>
    <s v="film &amp; video/documentary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1.2343497363796134"/>
    <n v="5203"/>
    <s v="US"/>
    <s v="USD"/>
    <n v="1324533600"/>
    <n v="1325052000"/>
    <b v="0"/>
    <b v="0"/>
    <s v="technology/web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1.2846"/>
    <n v="94"/>
    <s v="US"/>
    <s v="USD"/>
    <n v="1498366800"/>
    <n v="1499576400"/>
    <b v="0"/>
    <b v="0"/>
    <s v="theater/plays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0.63989361702127656"/>
    <n v="118"/>
    <s v="US"/>
    <s v="USD"/>
    <n v="1498712400"/>
    <n v="1501304400"/>
    <b v="0"/>
    <b v="1"/>
    <s v="technology/wearables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1.2729885057471264"/>
    <n v="205"/>
    <s v="US"/>
    <s v="USD"/>
    <n v="1271480400"/>
    <n v="1273208400"/>
    <b v="0"/>
    <b v="1"/>
    <s v="theater/plays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0.10638024357239513"/>
    <n v="162"/>
    <s v="US"/>
    <s v="USD"/>
    <n v="1316667600"/>
    <n v="1316840400"/>
    <b v="0"/>
    <b v="1"/>
    <s v="food/food trucks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0.40470588235294119"/>
    <n v="83"/>
    <s v="US"/>
    <s v="USD"/>
    <n v="1524027600"/>
    <n v="1524546000"/>
    <b v="0"/>
    <b v="0"/>
    <s v="music/indie rock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2.8766666666666665"/>
    <n v="92"/>
    <s v="US"/>
    <s v="USD"/>
    <n v="1438059600"/>
    <n v="1438578000"/>
    <b v="0"/>
    <b v="0"/>
    <s v="photography/photography books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5.7294444444444448"/>
    <n v="219"/>
    <s v="US"/>
    <s v="USD"/>
    <n v="1361944800"/>
    <n v="1362549600"/>
    <b v="0"/>
    <b v="0"/>
    <s v="theater/plays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1.1290429799426933"/>
    <n v="2526"/>
    <s v="US"/>
    <s v="USD"/>
    <n v="1410584400"/>
    <n v="1413349200"/>
    <b v="0"/>
    <b v="1"/>
    <s v="theater/plays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0.46387573964497042"/>
    <n v="747"/>
    <s v="US"/>
    <s v="USD"/>
    <n v="1297404000"/>
    <n v="1298008800"/>
    <b v="0"/>
    <b v="0"/>
    <s v="film &amp; video/animation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0.90675916230366493"/>
    <n v="2138"/>
    <s v="US"/>
    <s v="USD"/>
    <n v="1392012000"/>
    <n v="1394427600"/>
    <b v="0"/>
    <b v="1"/>
    <s v="photography/photography books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0.67740740740740746"/>
    <n v="84"/>
    <s v="US"/>
    <s v="USD"/>
    <n v="1569733200"/>
    <n v="1572670800"/>
    <b v="0"/>
    <b v="0"/>
    <s v="theater/plays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1.9249019607843136"/>
    <n v="94"/>
    <s v="US"/>
    <s v="USD"/>
    <n v="1529643600"/>
    <n v="1531112400"/>
    <b v="1"/>
    <b v="0"/>
    <s v="theater/plays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0.82714285714285718"/>
    <n v="91"/>
    <s v="US"/>
    <s v="USD"/>
    <n v="1399006800"/>
    <n v="1400734800"/>
    <b v="0"/>
    <b v="0"/>
    <s v="theater/plays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0.54163920922570019"/>
    <n v="792"/>
    <s v="US"/>
    <s v="USD"/>
    <n v="1385359200"/>
    <n v="1386741600"/>
    <b v="0"/>
    <b v="1"/>
    <s v="film &amp; video/documentary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0.16722222222222222"/>
    <n v="10"/>
    <s v="CA"/>
    <s v="CAD"/>
    <n v="1480572000"/>
    <n v="1481781600"/>
    <b v="1"/>
    <b v="0"/>
    <s v="theater/plays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.168766404199475"/>
    <n v="1713"/>
    <s v="IT"/>
    <s v="EUR"/>
    <n v="1418623200"/>
    <n v="1419660000"/>
    <b v="0"/>
    <b v="1"/>
    <s v="theater/plays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10.521538461538462"/>
    <n v="249"/>
    <s v="US"/>
    <s v="USD"/>
    <n v="1555736400"/>
    <n v="1555822800"/>
    <b v="0"/>
    <b v="0"/>
    <s v="music/jazz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.2307407407407407"/>
    <n v="192"/>
    <s v="US"/>
    <s v="USD"/>
    <n v="1442120400"/>
    <n v="1442379600"/>
    <b v="0"/>
    <b v="1"/>
    <s v="film &amp; video/animation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1.7863855421686747"/>
    <n v="247"/>
    <s v="US"/>
    <s v="USD"/>
    <n v="1362376800"/>
    <n v="1364965200"/>
    <b v="0"/>
    <b v="0"/>
    <s v="theater/plays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3.5528169014084505"/>
    <n v="2293"/>
    <s v="US"/>
    <s v="USD"/>
    <n v="1478408400"/>
    <n v="1479016800"/>
    <b v="0"/>
    <b v="0"/>
    <s v="film &amp; video/science fiction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1.6190634146341463"/>
    <n v="3131"/>
    <s v="US"/>
    <s v="USD"/>
    <n v="1498798800"/>
    <n v="1499662800"/>
    <b v="0"/>
    <b v="0"/>
    <s v="film &amp; video/television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0.24914285714285714"/>
    <n v="32"/>
    <s v="US"/>
    <s v="USD"/>
    <n v="1335416400"/>
    <n v="1337835600"/>
    <b v="0"/>
    <b v="0"/>
    <s v="technology/wearables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.9872222222222222"/>
    <n v="143"/>
    <s v="IT"/>
    <s v="EUR"/>
    <n v="1504328400"/>
    <n v="1505710800"/>
    <b v="0"/>
    <b v="0"/>
    <s v="theater/plays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0.34752688172043011"/>
    <n v="90"/>
    <s v="US"/>
    <s v="USD"/>
    <n v="1285822800"/>
    <n v="1287464400"/>
    <b v="0"/>
    <b v="0"/>
    <s v="theater/plays"/>
    <n v="35.911111111111111"/>
    <x v="3"/>
    <s v="plays"/>
    <x v="420"/>
    <d v="2010-10-19T05:00:00"/>
  </r>
  <r>
    <n v="444"/>
    <s v="Hensley Ltd"/>
    <s v="Versatile global attitude"/>
    <n v="6200"/>
    <n v="10938"/>
    <x v="1"/>
    <n v="1.7641935483870967"/>
    <n v="296"/>
    <s v="US"/>
    <s v="USD"/>
    <n v="1311483600"/>
    <n v="1311656400"/>
    <b v="0"/>
    <b v="1"/>
    <s v="music/indie rock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5.1138095238095236"/>
    <n v="170"/>
    <s v="US"/>
    <s v="USD"/>
    <n v="1291356000"/>
    <n v="1293170400"/>
    <b v="0"/>
    <b v="1"/>
    <s v="theater/plays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0.82044117647058823"/>
    <n v="186"/>
    <s v="US"/>
    <s v="USD"/>
    <n v="1355810400"/>
    <n v="1355983200"/>
    <b v="0"/>
    <b v="0"/>
    <s v="technology/wearables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0.24326030927835052"/>
    <n v="439"/>
    <s v="GB"/>
    <s v="GBP"/>
    <n v="1513663200"/>
    <n v="1515045600"/>
    <b v="0"/>
    <b v="0"/>
    <s v="film &amp; video/television"/>
    <n v="86"/>
    <x v="4"/>
    <s v="television"/>
    <x v="424"/>
    <d v="2018-01-04T06:00:00"/>
  </r>
  <r>
    <n v="448"/>
    <s v="Price and Sons"/>
    <s v="Object-based demand-driven strategy"/>
    <n v="89900"/>
    <n v="45384"/>
    <x v="0"/>
    <n v="0.50482758620689661"/>
    <n v="605"/>
    <s v="US"/>
    <s v="USD"/>
    <n v="1365915600"/>
    <n v="1366088400"/>
    <b v="0"/>
    <b v="1"/>
    <s v="games/video games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9.67"/>
    <n v="86"/>
    <s v="DK"/>
    <s v="DKK"/>
    <n v="1551852000"/>
    <n v="1553317200"/>
    <b v="0"/>
    <b v="0"/>
    <s v="games/video games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0.04"/>
    <n v="1"/>
    <s v="CA"/>
    <s v="CAD"/>
    <n v="1540098000"/>
    <n v="1542088800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x v="1"/>
    <n v="1.2284501347708894"/>
    <n v="6286"/>
    <s v="US"/>
    <s v="USD"/>
    <n v="1500440400"/>
    <n v="1503118800"/>
    <b v="0"/>
    <b v="0"/>
    <s v="music/rock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0.63437500000000002"/>
    <n v="31"/>
    <s v="US"/>
    <s v="USD"/>
    <n v="1278392400"/>
    <n v="1278478800"/>
    <b v="0"/>
    <b v="0"/>
    <s v="film &amp; video/drama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0.56331688596491225"/>
    <n v="1181"/>
    <s v="US"/>
    <s v="USD"/>
    <n v="1480572000"/>
    <n v="1484114400"/>
    <b v="0"/>
    <b v="0"/>
    <s v="film &amp; video/science fiction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0.44074999999999998"/>
    <n v="39"/>
    <s v="US"/>
    <s v="USD"/>
    <n v="1382331600"/>
    <n v="1385445600"/>
    <b v="0"/>
    <b v="1"/>
    <s v="film &amp; video/drama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1.1837253218884121"/>
    <n v="3727"/>
    <s v="US"/>
    <s v="USD"/>
    <n v="1316754000"/>
    <n v="1318741200"/>
    <b v="0"/>
    <b v="0"/>
    <s v="theater/plays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.041243169398907"/>
    <n v="1605"/>
    <s v="US"/>
    <s v="USD"/>
    <n v="1518242400"/>
    <n v="1518242400"/>
    <b v="0"/>
    <b v="1"/>
    <s v="music/indie rock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0.26640000000000003"/>
    <n v="46"/>
    <s v="US"/>
    <s v="USD"/>
    <n v="1476421200"/>
    <n v="1476594000"/>
    <b v="0"/>
    <b v="0"/>
    <s v="theater/plays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3.5120118343195266"/>
    <n v="2120"/>
    <s v="US"/>
    <s v="USD"/>
    <n v="1269752400"/>
    <n v="1273554000"/>
    <b v="0"/>
    <b v="0"/>
    <s v="theater/plays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0.90063492063492068"/>
    <n v="105"/>
    <s v="US"/>
    <s v="USD"/>
    <n v="1419746400"/>
    <n v="1421906400"/>
    <b v="0"/>
    <b v="0"/>
    <s v="film &amp; video/documentary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1.7162500000000001"/>
    <n v="50"/>
    <s v="US"/>
    <s v="USD"/>
    <n v="1281330000"/>
    <n v="1281589200"/>
    <b v="0"/>
    <b v="0"/>
    <s v="theater/plays"/>
    <n v="82.38"/>
    <x v="3"/>
    <s v="plays"/>
    <x v="8"/>
    <d v="2010-08-12T05:00:00"/>
  </r>
  <r>
    <n v="461"/>
    <s v="Terry-Salinas"/>
    <s v="Networked secondary structure"/>
    <n v="98800"/>
    <n v="139354"/>
    <x v="1"/>
    <n v="1.4104655870445344"/>
    <n v="2080"/>
    <s v="US"/>
    <s v="USD"/>
    <n v="1398661200"/>
    <n v="1400389200"/>
    <b v="0"/>
    <b v="0"/>
    <s v="film &amp; video/drama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0.30579449152542371"/>
    <n v="535"/>
    <s v="US"/>
    <s v="USD"/>
    <n v="1359525600"/>
    <n v="1362808800"/>
    <b v="0"/>
    <b v="0"/>
    <s v="games/mobile games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1.0816455696202532"/>
    <n v="2105"/>
    <s v="US"/>
    <s v="USD"/>
    <n v="1388469600"/>
    <n v="1388815200"/>
    <b v="0"/>
    <b v="0"/>
    <s v="film &amp; video/animation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1.3345505617977529"/>
    <n v="2436"/>
    <s v="US"/>
    <s v="USD"/>
    <n v="1518328800"/>
    <n v="1519538400"/>
    <b v="0"/>
    <b v="0"/>
    <s v="theater/plays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1.8785106382978722"/>
    <n v="80"/>
    <s v="US"/>
    <s v="USD"/>
    <n v="1517032800"/>
    <n v="1517810400"/>
    <b v="0"/>
    <b v="0"/>
    <s v="publishing/translations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3.32"/>
    <n v="42"/>
    <s v="US"/>
    <s v="USD"/>
    <n v="1368594000"/>
    <n v="1370581200"/>
    <b v="0"/>
    <b v="1"/>
    <s v="technology/wearables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5.7521428571428572"/>
    <n v="139"/>
    <s v="CA"/>
    <s v="CAD"/>
    <n v="1448258400"/>
    <n v="1448863200"/>
    <b v="0"/>
    <b v="1"/>
    <s v="technology/web"/>
    <n v="57.935251798561154"/>
    <x v="2"/>
    <s v="web"/>
    <x v="441"/>
    <d v="2015-11-30T06:00:00"/>
  </r>
  <r>
    <n v="468"/>
    <s v="Hughes Inc"/>
    <s v="Streamlined neutral analyzer"/>
    <n v="4000"/>
    <n v="1620"/>
    <x v="0"/>
    <n v="0.40500000000000003"/>
    <n v="16"/>
    <s v="US"/>
    <s v="USD"/>
    <n v="1555218000"/>
    <n v="1556600400"/>
    <b v="0"/>
    <b v="0"/>
    <s v="theater/plays"/>
    <n v="101.25"/>
    <x v="3"/>
    <s v="plays"/>
    <x v="442"/>
    <d v="2019-04-30T05:00:00"/>
  </r>
  <r>
    <n v="469"/>
    <s v="Olsen-Ryan"/>
    <s v="Assimilated neutral utilization"/>
    <n v="5600"/>
    <n v="10328"/>
    <x v="1"/>
    <n v="1.8442857142857143"/>
    <n v="159"/>
    <s v="US"/>
    <s v="USD"/>
    <n v="1431925200"/>
    <n v="1432098000"/>
    <b v="0"/>
    <b v="0"/>
    <s v="film &amp; video/drama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2.8580555555555556"/>
    <n v="381"/>
    <s v="US"/>
    <s v="USD"/>
    <n v="1481522400"/>
    <n v="1482127200"/>
    <b v="0"/>
    <b v="0"/>
    <s v="technology/wearables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3.19"/>
    <n v="194"/>
    <s v="GB"/>
    <s v="GBP"/>
    <n v="1335934800"/>
    <n v="1335934800"/>
    <b v="0"/>
    <b v="1"/>
    <s v="food/food trucks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0.39234070221066319"/>
    <n v="575"/>
    <s v="US"/>
    <s v="USD"/>
    <n v="1552280400"/>
    <n v="1556946000"/>
    <b v="0"/>
    <b v="0"/>
    <s v="music/rock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.7814000000000001"/>
    <n v="106"/>
    <s v="US"/>
    <s v="USD"/>
    <n v="1529989200"/>
    <n v="1530075600"/>
    <b v="0"/>
    <b v="0"/>
    <s v="music/electric music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3.6515"/>
    <n v="142"/>
    <s v="US"/>
    <s v="USD"/>
    <n v="1418709600"/>
    <n v="1418796000"/>
    <b v="0"/>
    <b v="0"/>
    <s v="film &amp; video/television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1.1394594594594594"/>
    <n v="211"/>
    <s v="US"/>
    <s v="USD"/>
    <n v="1372136400"/>
    <n v="1372482000"/>
    <b v="0"/>
    <b v="1"/>
    <s v="publishing/translations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0.29828720626631855"/>
    <n v="1120"/>
    <s v="US"/>
    <s v="USD"/>
    <n v="1533877200"/>
    <n v="1534395600"/>
    <b v="0"/>
    <b v="0"/>
    <s v="publishing/fiction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0.54270588235294115"/>
    <n v="113"/>
    <s v="US"/>
    <s v="USD"/>
    <n v="1309064400"/>
    <n v="1311397200"/>
    <b v="0"/>
    <b v="0"/>
    <s v="film &amp; video/science fiction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.3634156976744185"/>
    <n v="2756"/>
    <s v="US"/>
    <s v="USD"/>
    <n v="1425877200"/>
    <n v="1426914000"/>
    <b v="0"/>
    <b v="0"/>
    <s v="technology/wearables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5.1291666666666664"/>
    <n v="173"/>
    <s v="GB"/>
    <s v="GBP"/>
    <n v="1501304400"/>
    <n v="1501477200"/>
    <b v="0"/>
    <b v="0"/>
    <s v="food/food trucks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1.0065116279069768"/>
    <n v="87"/>
    <s v="US"/>
    <s v="USD"/>
    <n v="1268287200"/>
    <n v="1269061200"/>
    <b v="0"/>
    <b v="1"/>
    <s v="photography/photography books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0.81348423194303154"/>
    <n v="1538"/>
    <s v="US"/>
    <s v="USD"/>
    <n v="1412139600"/>
    <n v="1415772000"/>
    <b v="0"/>
    <b v="1"/>
    <s v="theater/plays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0.16404761904761905"/>
    <n v="9"/>
    <s v="US"/>
    <s v="USD"/>
    <n v="1330063200"/>
    <n v="1331013600"/>
    <b v="0"/>
    <b v="1"/>
    <s v="publishing/fiction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0.52774617067833696"/>
    <n v="554"/>
    <s v="US"/>
    <s v="USD"/>
    <n v="1576130400"/>
    <n v="1576735200"/>
    <b v="0"/>
    <b v="0"/>
    <s v="theater/plays"/>
    <n v="87.068592057761734"/>
    <x v="3"/>
    <s v="plays"/>
    <x v="455"/>
    <d v="2019-12-19T06:00:00"/>
  </r>
  <r>
    <n v="484"/>
    <s v="Landry Inc"/>
    <s v="Synergistic cohesive adapter"/>
    <n v="29600"/>
    <n v="77021"/>
    <x v="1"/>
    <n v="2.6020608108108108"/>
    <n v="1572"/>
    <s v="GB"/>
    <s v="GBP"/>
    <n v="1407128400"/>
    <n v="1411362000"/>
    <b v="0"/>
    <b v="1"/>
    <s v="food/food trucks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0.30732891832229581"/>
    <n v="648"/>
    <s v="GB"/>
    <s v="GBP"/>
    <n v="1560142800"/>
    <n v="1563685200"/>
    <b v="0"/>
    <b v="0"/>
    <s v="theater/plays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0.13500000000000001"/>
    <n v="21"/>
    <s v="GB"/>
    <s v="GBP"/>
    <n v="1520575200"/>
    <n v="1521867600"/>
    <b v="0"/>
    <b v="1"/>
    <s v="publishing/translations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1.7862556663644606"/>
    <n v="2346"/>
    <s v="US"/>
    <s v="USD"/>
    <n v="1492664400"/>
    <n v="1495515600"/>
    <b v="0"/>
    <b v="0"/>
    <s v="theater/plays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2.2005660377358489"/>
    <n v="115"/>
    <s v="US"/>
    <s v="USD"/>
    <n v="1454479200"/>
    <n v="1455948000"/>
    <b v="0"/>
    <b v="0"/>
    <s v="theater/plays"/>
    <n v="101.41739130434783"/>
    <x v="3"/>
    <s v="plays"/>
    <x v="460"/>
    <d v="2016-02-20T06:00:00"/>
  </r>
  <r>
    <n v="489"/>
    <s v="Clark Inc"/>
    <s v="Down-sized mobile time-frame"/>
    <n v="9200"/>
    <n v="9339"/>
    <x v="1"/>
    <n v="1.015108695652174"/>
    <n v="85"/>
    <s v="IT"/>
    <s v="EUR"/>
    <n v="1281934800"/>
    <n v="1282366800"/>
    <b v="0"/>
    <b v="0"/>
    <s v="technology/wearables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.915"/>
    <n v="144"/>
    <s v="US"/>
    <s v="USD"/>
    <n v="1573970400"/>
    <n v="1574575200"/>
    <b v="0"/>
    <b v="0"/>
    <s v="journalism/audio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3.0534683098591549"/>
    <n v="2443"/>
    <s v="US"/>
    <s v="USD"/>
    <n v="1372654800"/>
    <n v="1374901200"/>
    <b v="0"/>
    <b v="1"/>
    <s v="food/food trucks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0.23995287958115183"/>
    <n v="595"/>
    <s v="US"/>
    <s v="USD"/>
    <n v="1275886800"/>
    <n v="1278910800"/>
    <b v="1"/>
    <b v="1"/>
    <s v="film &amp; video/shorts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7.2377777777777776"/>
    <n v="64"/>
    <s v="US"/>
    <s v="USD"/>
    <n v="1561784400"/>
    <n v="1562907600"/>
    <b v="0"/>
    <b v="0"/>
    <s v="photography/photography books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5.4736000000000002"/>
    <n v="268"/>
    <s v="US"/>
    <s v="USD"/>
    <n v="1332392400"/>
    <n v="1332478800"/>
    <b v="0"/>
    <b v="0"/>
    <s v="technology/wearables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4.1449999999999996"/>
    <n v="195"/>
    <s v="DK"/>
    <s v="DKK"/>
    <n v="1402376400"/>
    <n v="1402722000"/>
    <b v="0"/>
    <b v="0"/>
    <s v="theater/plays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9.0696409140369975E-3"/>
    <n v="54"/>
    <s v="US"/>
    <s v="USD"/>
    <n v="1495342800"/>
    <n v="1496811600"/>
    <b v="0"/>
    <b v="0"/>
    <s v="film &amp; video/animation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0.34173469387755101"/>
    <n v="120"/>
    <s v="US"/>
    <s v="USD"/>
    <n v="1482213600"/>
    <n v="1482213600"/>
    <b v="0"/>
    <b v="1"/>
    <s v="technology/wearables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0.239488107549121"/>
    <n v="579"/>
    <s v="DK"/>
    <s v="DKK"/>
    <n v="1420092000"/>
    <n v="1420264800"/>
    <b v="0"/>
    <b v="0"/>
    <s v="technology/web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0.48072649572649573"/>
    <n v="2072"/>
    <s v="US"/>
    <s v="USD"/>
    <n v="1458018000"/>
    <n v="1458450000"/>
    <b v="0"/>
    <b v="1"/>
    <s v="film &amp; video/documentary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n v="0"/>
    <s v="US"/>
    <s v="USD"/>
    <n v="1367384400"/>
    <n v="1369803600"/>
    <b v="0"/>
    <b v="1"/>
    <s v="theater/plays"/>
    <n v="0"/>
    <x v="3"/>
    <s v="plays"/>
    <x v="472"/>
    <d v="2013-05-29T05:00:00"/>
  </r>
  <r>
    <n v="501"/>
    <s v="Mccann-Le"/>
    <s v="Focused coherent methodology"/>
    <n v="153600"/>
    <n v="107743"/>
    <x v="0"/>
    <n v="0.70145182291666663"/>
    <n v="1796"/>
    <s v="US"/>
    <s v="USD"/>
    <n v="1363064400"/>
    <n v="1363237200"/>
    <b v="0"/>
    <b v="0"/>
    <s v="film &amp; video/documentary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5.2992307692307694"/>
    <n v="186"/>
    <s v="AU"/>
    <s v="AUD"/>
    <n v="1343365200"/>
    <n v="1345870800"/>
    <b v="0"/>
    <b v="1"/>
    <s v="games/video games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1.8032549019607844"/>
    <n v="460"/>
    <s v="US"/>
    <s v="USD"/>
    <n v="1435726800"/>
    <n v="1437454800"/>
    <b v="0"/>
    <b v="0"/>
    <s v="film &amp; video/drama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0.92320000000000002"/>
    <n v="62"/>
    <s v="IT"/>
    <s v="EUR"/>
    <n v="1431925200"/>
    <n v="1432011600"/>
    <b v="0"/>
    <b v="0"/>
    <s v="music/rock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0.13901001112347053"/>
    <n v="347"/>
    <s v="US"/>
    <s v="USD"/>
    <n v="1362722400"/>
    <n v="1366347600"/>
    <b v="0"/>
    <b v="1"/>
    <s v="publishing/radio &amp; podcasts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9.2707777777777771"/>
    <n v="2528"/>
    <s v="US"/>
    <s v="USD"/>
    <n v="1511416800"/>
    <n v="1512885600"/>
    <b v="0"/>
    <b v="1"/>
    <s v="theater/plays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0.39857142857142858"/>
    <n v="19"/>
    <s v="US"/>
    <s v="USD"/>
    <n v="1365483600"/>
    <n v="1369717200"/>
    <b v="0"/>
    <b v="1"/>
    <s v="technology/web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1.1222929936305732"/>
    <n v="3657"/>
    <s v="US"/>
    <s v="USD"/>
    <n v="1532840400"/>
    <n v="1534654800"/>
    <b v="0"/>
    <b v="0"/>
    <s v="theater/plays"/>
    <n v="52.999726551818434"/>
    <x v="3"/>
    <s v="plays"/>
    <x v="192"/>
    <d v="2018-08-19T05:00:00"/>
  </r>
  <r>
    <n v="509"/>
    <s v="White LLC"/>
    <s v="Robust zero-defect project"/>
    <n v="168500"/>
    <n v="119510"/>
    <x v="0"/>
    <n v="0.70925816023738875"/>
    <n v="1258"/>
    <s v="US"/>
    <s v="USD"/>
    <n v="1336194000"/>
    <n v="1337058000"/>
    <b v="0"/>
    <b v="0"/>
    <s v="theater/plays"/>
    <n v="95"/>
    <x v="3"/>
    <s v="plays"/>
    <x v="477"/>
    <d v="2012-05-15T05:00:00"/>
  </r>
  <r>
    <n v="510"/>
    <s v="Best, Miller and Thomas"/>
    <s v="Re-engineered mobile task-force"/>
    <n v="7800"/>
    <n v="9289"/>
    <x v="1"/>
    <n v="1.1908974358974358"/>
    <n v="131"/>
    <s v="AU"/>
    <s v="AUD"/>
    <n v="1527742800"/>
    <n v="1529816400"/>
    <b v="0"/>
    <b v="0"/>
    <s v="film &amp; video/drama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0.24017591339648173"/>
    <n v="362"/>
    <s v="US"/>
    <s v="USD"/>
    <n v="1564030800"/>
    <n v="1564894800"/>
    <b v="0"/>
    <b v="0"/>
    <s v="theater/plays"/>
    <n v="98.060773480662988"/>
    <x v="3"/>
    <s v="plays"/>
    <x v="479"/>
    <d v="2019-08-04T05:00:00"/>
  </r>
  <r>
    <n v="512"/>
    <s v="Williams-Walsh"/>
    <s v="Organized explicit core"/>
    <n v="9100"/>
    <n v="12678"/>
    <x v="1"/>
    <n v="1.3931868131868133"/>
    <n v="239"/>
    <s v="US"/>
    <s v="USD"/>
    <n v="1404536400"/>
    <n v="1404622800"/>
    <b v="0"/>
    <b v="1"/>
    <s v="games/video games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0.39277108433734942"/>
    <n v="35"/>
    <s v="US"/>
    <s v="USD"/>
    <n v="1284008400"/>
    <n v="1284181200"/>
    <b v="0"/>
    <b v="0"/>
    <s v="film &amp; video/television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0.22439077144917088"/>
    <n v="528"/>
    <s v="CH"/>
    <s v="CHF"/>
    <n v="1386309600"/>
    <n v="1386741600"/>
    <b v="0"/>
    <b v="1"/>
    <s v="music/rock"/>
    <n v="58.945075757575758"/>
    <x v="1"/>
    <s v="rock"/>
    <x v="481"/>
    <d v="2013-12-11T06:00:00"/>
  </r>
  <r>
    <n v="515"/>
    <s v="Cox LLC"/>
    <s v="Phased 24hour flexibility"/>
    <n v="8600"/>
    <n v="4797"/>
    <x v="0"/>
    <n v="0.55779069767441858"/>
    <n v="133"/>
    <s v="CA"/>
    <s v="CAD"/>
    <n v="1324620000"/>
    <n v="1324792800"/>
    <b v="0"/>
    <b v="1"/>
    <s v="theater/plays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0.42523125996810207"/>
    <n v="846"/>
    <s v="US"/>
    <s v="USD"/>
    <n v="1281070800"/>
    <n v="1284354000"/>
    <b v="0"/>
    <b v="0"/>
    <s v="publishing/nonfiction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1.1200000000000001"/>
    <n v="78"/>
    <s v="US"/>
    <s v="USD"/>
    <n v="1493960400"/>
    <n v="1494392400"/>
    <b v="0"/>
    <b v="0"/>
    <s v="food/food trucks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7.0681818181818179E-2"/>
    <n v="10"/>
    <s v="US"/>
    <s v="USD"/>
    <n v="1519365600"/>
    <n v="1519538400"/>
    <b v="0"/>
    <b v="1"/>
    <s v="film &amp; video/animation"/>
    <n v="62.2"/>
    <x v="4"/>
    <s v="animation"/>
    <x v="484"/>
    <d v="2018-02-25T06:00:00"/>
  </r>
  <r>
    <n v="519"/>
    <s v="Marsh-Coleman"/>
    <s v="Exclusive asymmetric analyzer"/>
    <n v="177700"/>
    <n v="180802"/>
    <x v="1"/>
    <n v="1.0174563871693867"/>
    <n v="1773"/>
    <s v="US"/>
    <s v="USD"/>
    <n v="1420696800"/>
    <n v="1421906400"/>
    <b v="0"/>
    <b v="1"/>
    <s v="music/rock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4.2575000000000003"/>
    <n v="32"/>
    <s v="US"/>
    <s v="USD"/>
    <n v="1555650000"/>
    <n v="1555909200"/>
    <b v="0"/>
    <b v="0"/>
    <s v="theater/plays"/>
    <n v="106.4375"/>
    <x v="3"/>
    <s v="plays"/>
    <x v="485"/>
    <d v="2019-04-22T05:00:00"/>
  </r>
  <r>
    <n v="521"/>
    <s v="Wilson Ltd"/>
    <s v="Function-based multi-state software"/>
    <n v="7600"/>
    <n v="11061"/>
    <x v="1"/>
    <n v="1.4553947368421052"/>
    <n v="369"/>
    <s v="US"/>
    <s v="USD"/>
    <n v="1471928400"/>
    <n v="1472446800"/>
    <b v="0"/>
    <b v="1"/>
    <s v="film &amp; video/drama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0.32453465346534655"/>
    <n v="191"/>
    <s v="US"/>
    <s v="USD"/>
    <n v="1341291600"/>
    <n v="1342328400"/>
    <b v="0"/>
    <b v="0"/>
    <s v="film &amp; video/shorts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7.003333333333333"/>
    <n v="89"/>
    <s v="US"/>
    <s v="USD"/>
    <n v="1267682400"/>
    <n v="1268114400"/>
    <b v="0"/>
    <b v="0"/>
    <s v="film &amp; video/shorts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0.83904860392967939"/>
    <n v="1979"/>
    <s v="US"/>
    <s v="USD"/>
    <n v="1272258000"/>
    <n v="1273381200"/>
    <b v="0"/>
    <b v="0"/>
    <s v="theater/plays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0.84190476190476193"/>
    <n v="63"/>
    <s v="US"/>
    <s v="USD"/>
    <n v="1290492000"/>
    <n v="1290837600"/>
    <b v="0"/>
    <b v="0"/>
    <s v="technology/wearables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.5595180722891566"/>
    <n v="147"/>
    <s v="US"/>
    <s v="USD"/>
    <n v="1451109600"/>
    <n v="1454306400"/>
    <b v="0"/>
    <b v="1"/>
    <s v="theater/plays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0.99619450317124736"/>
    <n v="6080"/>
    <s v="CA"/>
    <s v="CAD"/>
    <n v="1454652000"/>
    <n v="1457762400"/>
    <b v="0"/>
    <b v="0"/>
    <s v="film &amp; video/animation"/>
    <n v="31"/>
    <x v="4"/>
    <s v="animation"/>
    <x v="491"/>
    <d v="2016-03-12T06:00:00"/>
  </r>
  <r>
    <n v="528"/>
    <s v="Avila, Ford and Welch"/>
    <s v="Focused leadingedge matrix"/>
    <n v="9000"/>
    <n v="7227"/>
    <x v="0"/>
    <n v="0.80300000000000005"/>
    <n v="80"/>
    <s v="GB"/>
    <s v="GBP"/>
    <n v="1385186400"/>
    <n v="1389074400"/>
    <b v="0"/>
    <b v="0"/>
    <s v="music/indie rock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0.11254901960784314"/>
    <n v="9"/>
    <s v="US"/>
    <s v="USD"/>
    <n v="1399698000"/>
    <n v="1402117200"/>
    <b v="0"/>
    <b v="0"/>
    <s v="games/video games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0.91740952380952379"/>
    <n v="1784"/>
    <s v="US"/>
    <s v="USD"/>
    <n v="1283230800"/>
    <n v="1284440400"/>
    <b v="0"/>
    <b v="1"/>
    <s v="publishing/fiction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0.95521156936261387"/>
    <n v="3640"/>
    <s v="CH"/>
    <s v="CHF"/>
    <n v="1384149600"/>
    <n v="1388988000"/>
    <b v="0"/>
    <b v="0"/>
    <s v="games/video games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5.0287499999999996"/>
    <n v="126"/>
    <s v="CA"/>
    <s v="CAD"/>
    <n v="1516860000"/>
    <n v="1516946400"/>
    <b v="0"/>
    <b v="0"/>
    <s v="theater/plays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1.5924394463667819"/>
    <n v="2218"/>
    <s v="GB"/>
    <s v="GBP"/>
    <n v="1374642000"/>
    <n v="1377752400"/>
    <b v="0"/>
    <b v="0"/>
    <s v="music/indie rock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0.15022446689113356"/>
    <n v="243"/>
    <s v="US"/>
    <s v="USD"/>
    <n v="1534482000"/>
    <n v="1534568400"/>
    <b v="0"/>
    <b v="1"/>
    <s v="film &amp; video/drama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4.820384615384615"/>
    <n v="202"/>
    <s v="IT"/>
    <s v="EUR"/>
    <n v="1528434000"/>
    <n v="1528606800"/>
    <b v="0"/>
    <b v="1"/>
    <s v="theater/plays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.4996938775510205"/>
    <n v="140"/>
    <s v="IT"/>
    <s v="EUR"/>
    <n v="1282626000"/>
    <n v="1284872400"/>
    <b v="0"/>
    <b v="0"/>
    <s v="publishing/fiction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.1722156398104266"/>
    <n v="1052"/>
    <s v="DK"/>
    <s v="DKK"/>
    <n v="1535605200"/>
    <n v="1537592400"/>
    <b v="1"/>
    <b v="1"/>
    <s v="film &amp; video/documentary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0.37695968274950431"/>
    <n v="1296"/>
    <s v="US"/>
    <s v="USD"/>
    <n v="1379826000"/>
    <n v="1381208400"/>
    <b v="0"/>
    <b v="0"/>
    <s v="games/mobile games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0.72653061224489801"/>
    <n v="77"/>
    <s v="US"/>
    <s v="USD"/>
    <n v="1561957200"/>
    <n v="1562475600"/>
    <b v="0"/>
    <b v="1"/>
    <s v="food/food trucks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.6598113207547169"/>
    <n v="247"/>
    <s v="US"/>
    <s v="USD"/>
    <n v="1525496400"/>
    <n v="1527397200"/>
    <b v="0"/>
    <b v="0"/>
    <s v="photography/photography books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0.24205617977528091"/>
    <n v="395"/>
    <s v="IT"/>
    <s v="EUR"/>
    <n v="1433912400"/>
    <n v="1436158800"/>
    <b v="0"/>
    <b v="0"/>
    <s v="games/mobile games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2.5064935064935064E-2"/>
    <n v="49"/>
    <s v="GB"/>
    <s v="GBP"/>
    <n v="1453442400"/>
    <n v="1456034400"/>
    <b v="0"/>
    <b v="0"/>
    <s v="music/indie rock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0.1632979976442874"/>
    <n v="180"/>
    <s v="US"/>
    <s v="USD"/>
    <n v="1378875600"/>
    <n v="1380171600"/>
    <b v="0"/>
    <b v="0"/>
    <s v="games/video games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2.7650000000000001"/>
    <n v="84"/>
    <s v="US"/>
    <s v="USD"/>
    <n v="1452232800"/>
    <n v="1453356000"/>
    <b v="0"/>
    <b v="0"/>
    <s v="music/rock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0.88803571428571426"/>
    <n v="2690"/>
    <s v="US"/>
    <s v="USD"/>
    <n v="1577253600"/>
    <n v="1578981600"/>
    <b v="0"/>
    <b v="0"/>
    <s v="theater/plays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1.6357142857142857"/>
    <n v="88"/>
    <s v="US"/>
    <s v="USD"/>
    <n v="1537160400"/>
    <n v="1537419600"/>
    <b v="0"/>
    <b v="1"/>
    <s v="theater/plays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9.69"/>
    <n v="156"/>
    <s v="US"/>
    <s v="USD"/>
    <n v="1422165600"/>
    <n v="1423202400"/>
    <b v="0"/>
    <b v="0"/>
    <s v="film &amp; video/drama"/>
    <n v="80.75"/>
    <x v="4"/>
    <s v="drama"/>
    <x v="511"/>
    <d v="2015-02-06T06:00:00"/>
  </r>
  <r>
    <n v="548"/>
    <s v="York-Pitts"/>
    <s v="Monitored discrete toolset"/>
    <n v="66100"/>
    <n v="179074"/>
    <x v="1"/>
    <n v="2.7091376701966716"/>
    <n v="2985"/>
    <s v="US"/>
    <s v="USD"/>
    <n v="1459486800"/>
    <n v="1460610000"/>
    <b v="0"/>
    <b v="0"/>
    <s v="theater/plays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2.8421355932203389"/>
    <n v="762"/>
    <s v="US"/>
    <s v="USD"/>
    <n v="1369717200"/>
    <n v="1370494800"/>
    <b v="0"/>
    <b v="0"/>
    <s v="technology/wearables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0.04"/>
    <n v="1"/>
    <s v="CH"/>
    <s v="CHF"/>
    <n v="1330495200"/>
    <n v="1332306000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x v="0"/>
    <n v="0.58632981676846196"/>
    <n v="2779"/>
    <s v="AU"/>
    <s v="AUD"/>
    <n v="1419055200"/>
    <n v="1422511200"/>
    <b v="0"/>
    <b v="1"/>
    <s v="technology/web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0.98511111111111116"/>
    <n v="92"/>
    <s v="US"/>
    <s v="USD"/>
    <n v="1480140000"/>
    <n v="1480312800"/>
    <b v="0"/>
    <b v="0"/>
    <s v="theater/plays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0.43975381008206332"/>
    <n v="1028"/>
    <s v="US"/>
    <s v="USD"/>
    <n v="1293948000"/>
    <n v="1294034400"/>
    <b v="0"/>
    <b v="0"/>
    <s v="music/rock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1.5166315789473683"/>
    <n v="554"/>
    <s v="CA"/>
    <s v="CAD"/>
    <n v="1482127200"/>
    <n v="1482645600"/>
    <b v="0"/>
    <b v="0"/>
    <s v="music/indie rock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2.2363492063492063"/>
    <n v="135"/>
    <s v="DK"/>
    <s v="DKK"/>
    <n v="1396414800"/>
    <n v="1399093200"/>
    <b v="0"/>
    <b v="0"/>
    <s v="music/rock"/>
    <n v="104.36296296296297"/>
    <x v="1"/>
    <s v="rock"/>
    <x v="519"/>
    <d v="2014-05-03T05:00:00"/>
  </r>
  <r>
    <n v="556"/>
    <s v="Smith and Sons"/>
    <s v="Grass-roots 24/7 attitude"/>
    <n v="5200"/>
    <n v="12467"/>
    <x v="1"/>
    <n v="2.3975"/>
    <n v="122"/>
    <s v="US"/>
    <s v="USD"/>
    <n v="1315285200"/>
    <n v="1315890000"/>
    <b v="0"/>
    <b v="1"/>
    <s v="publishing/translations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1.9933333333333334"/>
    <n v="221"/>
    <s v="US"/>
    <s v="USD"/>
    <n v="1443762000"/>
    <n v="1444021200"/>
    <b v="0"/>
    <b v="1"/>
    <s v="film &amp; video/science fiction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.373448275862069"/>
    <n v="126"/>
    <s v="US"/>
    <s v="USD"/>
    <n v="1456293600"/>
    <n v="1460005200"/>
    <b v="0"/>
    <b v="0"/>
    <s v="theater/plays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.009696106362773"/>
    <n v="1022"/>
    <s v="US"/>
    <s v="USD"/>
    <n v="1470114000"/>
    <n v="1470718800"/>
    <b v="0"/>
    <b v="0"/>
    <s v="theater/plays"/>
    <n v="104.03228962818004"/>
    <x v="3"/>
    <s v="plays"/>
    <x v="523"/>
    <d v="2016-08-09T05:00:00"/>
  </r>
  <r>
    <n v="560"/>
    <s v="Hunt LLC"/>
    <s v="Re-engineered radical policy"/>
    <n v="20000"/>
    <n v="158832"/>
    <x v="1"/>
    <n v="7.9416000000000002"/>
    <n v="3177"/>
    <s v="US"/>
    <s v="USD"/>
    <n v="1321596000"/>
    <n v="1325052000"/>
    <b v="0"/>
    <b v="0"/>
    <s v="film &amp; video/animation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3.6970000000000001"/>
    <n v="198"/>
    <s v="CH"/>
    <s v="CHF"/>
    <n v="1318827600"/>
    <n v="1319000400"/>
    <b v="0"/>
    <b v="0"/>
    <s v="theater/plays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0.12818181818181817"/>
    <n v="26"/>
    <s v="CH"/>
    <s v="CHF"/>
    <n v="1552366800"/>
    <n v="1552539600"/>
    <b v="0"/>
    <b v="0"/>
    <s v="music/rock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1.3802702702702703"/>
    <n v="85"/>
    <s v="AU"/>
    <s v="AUD"/>
    <n v="1542088800"/>
    <n v="1543816800"/>
    <b v="0"/>
    <b v="0"/>
    <s v="film &amp; video/documentary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0.83813278008298753"/>
    <n v="1790"/>
    <s v="US"/>
    <s v="USD"/>
    <n v="1426395600"/>
    <n v="1427086800"/>
    <b v="0"/>
    <b v="0"/>
    <s v="theater/plays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2.0460063224446787"/>
    <n v="3596"/>
    <s v="US"/>
    <s v="USD"/>
    <n v="1321336800"/>
    <n v="1323064800"/>
    <b v="0"/>
    <b v="0"/>
    <s v="theater/plays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0.44344086021505374"/>
    <n v="37"/>
    <s v="US"/>
    <s v="USD"/>
    <n v="1456293600"/>
    <n v="1458277200"/>
    <b v="0"/>
    <b v="1"/>
    <s v="music/electric music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.1860294117647059"/>
    <n v="244"/>
    <s v="US"/>
    <s v="USD"/>
    <n v="1404968400"/>
    <n v="1405141200"/>
    <b v="0"/>
    <b v="0"/>
    <s v="music/rock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1.8603314917127072"/>
    <n v="5180"/>
    <s v="US"/>
    <s v="USD"/>
    <n v="1279170000"/>
    <n v="1283058000"/>
    <b v="0"/>
    <b v="0"/>
    <s v="theater/plays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2.3733830845771142"/>
    <n v="589"/>
    <s v="IT"/>
    <s v="EUR"/>
    <n v="1294725600"/>
    <n v="1295762400"/>
    <b v="0"/>
    <b v="0"/>
    <s v="film &amp; video/animation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3.0565384615384614"/>
    <n v="2725"/>
    <s v="US"/>
    <s v="USD"/>
    <n v="1419055200"/>
    <n v="1419573600"/>
    <b v="0"/>
    <b v="1"/>
    <s v="music/rock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0.94142857142857139"/>
    <n v="35"/>
    <s v="IT"/>
    <s v="EUR"/>
    <n v="1434690000"/>
    <n v="1438750800"/>
    <b v="0"/>
    <b v="0"/>
    <s v="film &amp; video/shorts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0.54400000000000004"/>
    <n v="94"/>
    <s v="US"/>
    <s v="USD"/>
    <n v="1443416400"/>
    <n v="1444798800"/>
    <b v="0"/>
    <b v="1"/>
    <s v="music/rock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1.1188059701492536"/>
    <n v="300"/>
    <s v="US"/>
    <s v="USD"/>
    <n v="1399006800"/>
    <n v="1399179600"/>
    <b v="0"/>
    <b v="0"/>
    <s v="journalism/audio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3.6914814814814814"/>
    <n v="144"/>
    <s v="US"/>
    <s v="USD"/>
    <n v="1575698400"/>
    <n v="1576562400"/>
    <b v="0"/>
    <b v="1"/>
    <s v="food/food trucks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0.62930372148859548"/>
    <n v="558"/>
    <s v="US"/>
    <s v="USD"/>
    <n v="1400562000"/>
    <n v="1400821200"/>
    <b v="0"/>
    <b v="1"/>
    <s v="theater/plays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0.6492783505154639"/>
    <n v="64"/>
    <s v="US"/>
    <s v="USD"/>
    <n v="1509512400"/>
    <n v="1510984800"/>
    <b v="0"/>
    <b v="0"/>
    <s v="theater/plays"/>
    <n v="98.40625"/>
    <x v="3"/>
    <s v="plays"/>
    <x v="535"/>
    <d v="2017-11-18T06:00:00"/>
  </r>
  <r>
    <n v="577"/>
    <s v="Stevens Inc"/>
    <s v="Adaptive 24hour projection"/>
    <n v="8200"/>
    <n v="1546"/>
    <x v="3"/>
    <n v="0.18853658536585366"/>
    <n v="37"/>
    <s v="US"/>
    <s v="USD"/>
    <n v="1299823200"/>
    <n v="1302066000"/>
    <b v="0"/>
    <b v="0"/>
    <s v="music/jazz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0.1675440414507772"/>
    <n v="245"/>
    <s v="US"/>
    <s v="USD"/>
    <n v="1322719200"/>
    <n v="1322978400"/>
    <b v="0"/>
    <b v="0"/>
    <s v="film &amp; video/science fiction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1.0111290322580646"/>
    <n v="87"/>
    <s v="US"/>
    <s v="USD"/>
    <n v="1312693200"/>
    <n v="1313730000"/>
    <b v="0"/>
    <b v="0"/>
    <s v="music/jazz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.4150228310502282"/>
    <n v="3116"/>
    <s v="US"/>
    <s v="USD"/>
    <n v="1393394400"/>
    <n v="1394085600"/>
    <b v="0"/>
    <b v="0"/>
    <s v="theater/plays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0.64016666666666666"/>
    <n v="71"/>
    <s v="US"/>
    <s v="USD"/>
    <n v="1304053200"/>
    <n v="1305349200"/>
    <b v="0"/>
    <b v="0"/>
    <s v="technology/web"/>
    <n v="54.098591549295776"/>
    <x v="2"/>
    <s v="web"/>
    <x v="540"/>
    <d v="2011-05-14T05:00:00"/>
  </r>
  <r>
    <n v="582"/>
    <s v="Pineda Ltd"/>
    <s v="Cross-group global system engine"/>
    <n v="8700"/>
    <n v="4531"/>
    <x v="0"/>
    <n v="0.5208045977011494"/>
    <n v="42"/>
    <s v="US"/>
    <s v="USD"/>
    <n v="1433912400"/>
    <n v="1434344400"/>
    <b v="0"/>
    <b v="1"/>
    <s v="games/video games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3.2240211640211642"/>
    <n v="909"/>
    <s v="US"/>
    <s v="USD"/>
    <n v="1329717600"/>
    <n v="1331186400"/>
    <b v="0"/>
    <b v="0"/>
    <s v="film &amp; video/documentary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.1950810185185186"/>
    <n v="1613"/>
    <s v="US"/>
    <s v="USD"/>
    <n v="1335330000"/>
    <n v="1336539600"/>
    <b v="0"/>
    <b v="0"/>
    <s v="technology/web"/>
    <n v="64.01425914445133"/>
    <x v="2"/>
    <s v="web"/>
    <x v="542"/>
    <d v="2012-05-09T05:00:00"/>
  </r>
  <r>
    <n v="585"/>
    <s v="Pugh LLC"/>
    <s v="Reactive analyzing function"/>
    <n v="8900"/>
    <n v="13065"/>
    <x v="1"/>
    <n v="1.4679775280898877"/>
    <n v="136"/>
    <s v="US"/>
    <s v="USD"/>
    <n v="1268888400"/>
    <n v="1269752400"/>
    <b v="0"/>
    <b v="0"/>
    <s v="publishing/translations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9.5057142857142853"/>
    <n v="130"/>
    <s v="US"/>
    <s v="USD"/>
    <n v="1289973600"/>
    <n v="1291615200"/>
    <b v="0"/>
    <b v="0"/>
    <s v="music/rock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0.72893617021276591"/>
    <n v="156"/>
    <s v="CA"/>
    <s v="CAD"/>
    <n v="1547877600"/>
    <n v="1552366800"/>
    <b v="0"/>
    <b v="1"/>
    <s v="food/food trucks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0.7900824873096447"/>
    <n v="1368"/>
    <s v="GB"/>
    <s v="GBP"/>
    <n v="1269493200"/>
    <n v="1272171600"/>
    <b v="0"/>
    <b v="0"/>
    <s v="theater/plays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0.64721518987341775"/>
    <n v="102"/>
    <s v="US"/>
    <s v="USD"/>
    <n v="1436072400"/>
    <n v="1436677200"/>
    <b v="0"/>
    <b v="0"/>
    <s v="film &amp; video/documentary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0.82028169014084507"/>
    <n v="86"/>
    <s v="AU"/>
    <s v="AUD"/>
    <n v="1419141600"/>
    <n v="1420092000"/>
    <b v="0"/>
    <b v="0"/>
    <s v="publishing/radio &amp; podcasts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.376666666666667"/>
    <n v="102"/>
    <s v="US"/>
    <s v="USD"/>
    <n v="1279083600"/>
    <n v="1279947600"/>
    <b v="0"/>
    <b v="0"/>
    <s v="games/video games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0.12910076530612244"/>
    <n v="253"/>
    <s v="US"/>
    <s v="USD"/>
    <n v="1401426000"/>
    <n v="1402203600"/>
    <b v="0"/>
    <b v="0"/>
    <s v="theater/plays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1.5484210526315789"/>
    <n v="4006"/>
    <s v="US"/>
    <s v="USD"/>
    <n v="1395810000"/>
    <n v="1396933200"/>
    <b v="0"/>
    <b v="0"/>
    <s v="film &amp; video/animation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7.0991735537190084E-2"/>
    <n v="157"/>
    <s v="US"/>
    <s v="USD"/>
    <n v="1467003600"/>
    <n v="1467262800"/>
    <b v="0"/>
    <b v="1"/>
    <s v="theater/plays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2.0852773826458035"/>
    <n v="1629"/>
    <s v="US"/>
    <s v="USD"/>
    <n v="1268715600"/>
    <n v="1270530000"/>
    <b v="0"/>
    <b v="1"/>
    <s v="theater/plays"/>
    <n v="89.99079189686924"/>
    <x v="3"/>
    <s v="plays"/>
    <x v="551"/>
    <d v="2010-04-06T05:00:00"/>
  </r>
  <r>
    <n v="596"/>
    <s v="Becker-Scott"/>
    <s v="Managed optimizing archive"/>
    <n v="7900"/>
    <n v="7875"/>
    <x v="0"/>
    <n v="0.99683544303797467"/>
    <n v="183"/>
    <s v="US"/>
    <s v="USD"/>
    <n v="1457157600"/>
    <n v="1457762400"/>
    <b v="0"/>
    <b v="1"/>
    <s v="film &amp; video/drama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.0159756097560977"/>
    <n v="2188"/>
    <s v="US"/>
    <s v="USD"/>
    <n v="1573970400"/>
    <n v="1575525600"/>
    <b v="0"/>
    <b v="0"/>
    <s v="theater/plays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1.6209032258064515"/>
    <n v="2409"/>
    <s v="IT"/>
    <s v="EUR"/>
    <n v="1276578000"/>
    <n v="1279083600"/>
    <b v="0"/>
    <b v="0"/>
    <s v="music/rock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3.6436208125445471E-2"/>
    <n v="82"/>
    <s v="DK"/>
    <s v="DKK"/>
    <n v="1423720800"/>
    <n v="1424412000"/>
    <b v="0"/>
    <b v="0"/>
    <s v="film &amp; video/documentary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0.05"/>
    <n v="1"/>
    <s v="GB"/>
    <s v="GBP"/>
    <n v="1375160400"/>
    <n v="1376197200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x v="1"/>
    <n v="2.0663492063492064"/>
    <n v="194"/>
    <s v="US"/>
    <s v="USD"/>
    <n v="1401426000"/>
    <n v="1402894800"/>
    <b v="1"/>
    <b v="0"/>
    <s v="technology/wearables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.2823628691983122"/>
    <n v="1140"/>
    <s v="US"/>
    <s v="USD"/>
    <n v="1433480400"/>
    <n v="1434430800"/>
    <b v="0"/>
    <b v="0"/>
    <s v="theater/plays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.1966037735849056"/>
    <n v="102"/>
    <s v="US"/>
    <s v="USD"/>
    <n v="1555563600"/>
    <n v="1557896400"/>
    <b v="0"/>
    <b v="0"/>
    <s v="theater/plays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1.7073055242390078"/>
    <n v="2857"/>
    <s v="US"/>
    <s v="USD"/>
    <n v="1295676000"/>
    <n v="1297490400"/>
    <b v="0"/>
    <b v="0"/>
    <s v="theater/plays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.8721212121212121"/>
    <n v="107"/>
    <s v="US"/>
    <s v="USD"/>
    <n v="1443848400"/>
    <n v="1447394400"/>
    <b v="0"/>
    <b v="0"/>
    <s v="publishing/nonfiction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.8838235294117647"/>
    <n v="160"/>
    <s v="GB"/>
    <s v="GBP"/>
    <n v="1457330400"/>
    <n v="1458277200"/>
    <b v="0"/>
    <b v="0"/>
    <s v="music/rock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1.3129869186046512"/>
    <n v="2230"/>
    <s v="US"/>
    <s v="USD"/>
    <n v="1395550800"/>
    <n v="1395723600"/>
    <b v="0"/>
    <b v="0"/>
    <s v="food/food trucks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2.8397435897435899"/>
    <n v="316"/>
    <s v="US"/>
    <s v="USD"/>
    <n v="1551852000"/>
    <n v="1552197600"/>
    <b v="0"/>
    <b v="1"/>
    <s v="music/jazz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.2041999999999999"/>
    <n v="117"/>
    <s v="US"/>
    <s v="USD"/>
    <n v="1547618400"/>
    <n v="1549087200"/>
    <b v="0"/>
    <b v="0"/>
    <s v="film &amp; video/science fiction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4.1905607476635511"/>
    <n v="6406"/>
    <s v="US"/>
    <s v="USD"/>
    <n v="1355637600"/>
    <n v="1356847200"/>
    <b v="0"/>
    <b v="0"/>
    <s v="theater/plays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0.13853658536585367"/>
    <n v="15"/>
    <s v="US"/>
    <s v="USD"/>
    <n v="1374728400"/>
    <n v="1375765200"/>
    <b v="0"/>
    <b v="0"/>
    <s v="theater/plays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.3943548387096774"/>
    <n v="192"/>
    <s v="US"/>
    <s v="USD"/>
    <n v="1287810000"/>
    <n v="1289800800"/>
    <b v="0"/>
    <b v="0"/>
    <s v="music/electric music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1.74"/>
    <n v="26"/>
    <s v="CA"/>
    <s v="CAD"/>
    <n v="1503723600"/>
    <n v="1504501200"/>
    <b v="0"/>
    <b v="0"/>
    <s v="theater/plays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1.5549056603773586"/>
    <n v="723"/>
    <s v="US"/>
    <s v="USD"/>
    <n v="1484114400"/>
    <n v="1485669600"/>
    <b v="0"/>
    <b v="0"/>
    <s v="theater/plays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.7044705882352942"/>
    <n v="170"/>
    <s v="IT"/>
    <s v="EUR"/>
    <n v="1461906000"/>
    <n v="1462770000"/>
    <b v="0"/>
    <b v="0"/>
    <s v="theater/plays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1.8951562500000001"/>
    <n v="238"/>
    <s v="GB"/>
    <s v="GBP"/>
    <n v="1379653200"/>
    <n v="1379739600"/>
    <b v="0"/>
    <b v="1"/>
    <s v="music/indie rock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2.4971428571428573"/>
    <n v="55"/>
    <s v="US"/>
    <s v="USD"/>
    <n v="1401858000"/>
    <n v="1402722000"/>
    <b v="0"/>
    <b v="0"/>
    <s v="theater/plays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0.48860523665659616"/>
    <n v="1198"/>
    <s v="US"/>
    <s v="USD"/>
    <n v="1367470800"/>
    <n v="1369285200"/>
    <b v="0"/>
    <b v="0"/>
    <s v="publishing/nonfiction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0.28461970393057684"/>
    <n v="648"/>
    <s v="US"/>
    <s v="USD"/>
    <n v="1304658000"/>
    <n v="1304744400"/>
    <b v="1"/>
    <b v="1"/>
    <s v="theater/plays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2.6802325581395348"/>
    <n v="128"/>
    <s v="AU"/>
    <s v="AUD"/>
    <n v="1467954000"/>
    <n v="1468299600"/>
    <b v="0"/>
    <b v="0"/>
    <s v="photography/photography books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6.1980078125000002"/>
    <n v="2144"/>
    <s v="US"/>
    <s v="USD"/>
    <n v="1473742800"/>
    <n v="1474174800"/>
    <b v="0"/>
    <b v="0"/>
    <s v="theater/plays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3.1301587301587303E-2"/>
    <n v="64"/>
    <s v="US"/>
    <s v="USD"/>
    <n v="1523768400"/>
    <n v="1526014800"/>
    <b v="0"/>
    <b v="0"/>
    <s v="music/indie rock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1.5992152704135738"/>
    <n v="2693"/>
    <s v="GB"/>
    <s v="GBP"/>
    <n v="1437022800"/>
    <n v="1437454800"/>
    <b v="0"/>
    <b v="0"/>
    <s v="theater/plays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2.793921568627451"/>
    <n v="432"/>
    <s v="US"/>
    <s v="USD"/>
    <n v="1422165600"/>
    <n v="1422684000"/>
    <b v="0"/>
    <b v="0"/>
    <s v="photography/photography books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0.77373333333333338"/>
    <n v="62"/>
    <s v="US"/>
    <s v="USD"/>
    <n v="1580104800"/>
    <n v="1581314400"/>
    <b v="0"/>
    <b v="0"/>
    <s v="theater/plays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2.0632812500000002"/>
    <n v="189"/>
    <s v="US"/>
    <s v="USD"/>
    <n v="1285650000"/>
    <n v="1286427600"/>
    <b v="0"/>
    <b v="1"/>
    <s v="theater/plays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6.9424999999999999"/>
    <n v="154"/>
    <s v="GB"/>
    <s v="GBP"/>
    <n v="1276664400"/>
    <n v="1278738000"/>
    <b v="1"/>
    <b v="0"/>
    <s v="food/food trucks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1.5178947368421052"/>
    <n v="96"/>
    <s v="US"/>
    <s v="USD"/>
    <n v="1286168400"/>
    <n v="1286427600"/>
    <b v="0"/>
    <b v="0"/>
    <s v="music/indie rock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0.64582072176949945"/>
    <n v="750"/>
    <s v="US"/>
    <s v="USD"/>
    <n v="1467781200"/>
    <n v="1467954000"/>
    <b v="0"/>
    <b v="1"/>
    <s v="theater/plays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0.62873684210526315"/>
    <n v="87"/>
    <s v="US"/>
    <s v="USD"/>
    <n v="1556686800"/>
    <n v="1557637200"/>
    <b v="0"/>
    <b v="1"/>
    <s v="theater/plays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.1039864864864866"/>
    <n v="3063"/>
    <s v="US"/>
    <s v="USD"/>
    <n v="1553576400"/>
    <n v="1553922000"/>
    <b v="0"/>
    <b v="0"/>
    <s v="theater/plays"/>
    <n v="59.992164544564154"/>
    <x v="3"/>
    <s v="plays"/>
    <x v="581"/>
    <d v="2019-03-30T05:00:00"/>
  </r>
  <r>
    <n v="632"/>
    <s v="Parker PLC"/>
    <s v="Reduced interactive matrix"/>
    <n v="72100"/>
    <n v="30902"/>
    <x v="2"/>
    <n v="0.42859916782246882"/>
    <n v="278"/>
    <s v="US"/>
    <s v="USD"/>
    <n v="1414904400"/>
    <n v="1416463200"/>
    <b v="0"/>
    <b v="0"/>
    <s v="theater/plays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0.83119402985074631"/>
    <n v="105"/>
    <s v="US"/>
    <s v="USD"/>
    <n v="1446876000"/>
    <n v="1447221600"/>
    <b v="0"/>
    <b v="0"/>
    <s v="film &amp; video/animation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0.78531302876480547"/>
    <n v="1658"/>
    <s v="US"/>
    <s v="USD"/>
    <n v="1490418000"/>
    <n v="1491627600"/>
    <b v="0"/>
    <b v="0"/>
    <s v="film &amp; video/television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1.1409352517985611"/>
    <n v="2266"/>
    <s v="US"/>
    <s v="USD"/>
    <n v="1360389600"/>
    <n v="1363150800"/>
    <b v="0"/>
    <b v="0"/>
    <s v="film &amp; video/television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0.64537683358624176"/>
    <n v="2604"/>
    <s v="DK"/>
    <s v="DKK"/>
    <n v="1326866400"/>
    <n v="1330754400"/>
    <b v="0"/>
    <b v="1"/>
    <s v="film &amp; video/animation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0.79411764705882348"/>
    <n v="65"/>
    <s v="US"/>
    <s v="USD"/>
    <n v="1479103200"/>
    <n v="1479794400"/>
    <b v="0"/>
    <b v="0"/>
    <s v="theater/plays"/>
    <n v="103.84615384615384"/>
    <x v="3"/>
    <s v="plays"/>
    <x v="586"/>
    <d v="2016-11-22T06:00:00"/>
  </r>
  <r>
    <n v="638"/>
    <s v="Weaver Ltd"/>
    <s v="Monitored 24/7 approach"/>
    <n v="81600"/>
    <n v="9318"/>
    <x v="0"/>
    <n v="0.11419117647058824"/>
    <n v="94"/>
    <s v="US"/>
    <s v="USD"/>
    <n v="1280206800"/>
    <n v="1281243600"/>
    <b v="0"/>
    <b v="1"/>
    <s v="theater/plays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0.56186046511627907"/>
    <n v="45"/>
    <s v="US"/>
    <s v="USD"/>
    <n v="1532754000"/>
    <n v="1532754000"/>
    <b v="0"/>
    <b v="1"/>
    <s v="film &amp; video/drama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0.16501669449081802"/>
    <n v="257"/>
    <s v="US"/>
    <s v="USD"/>
    <n v="1453096800"/>
    <n v="1453356000"/>
    <b v="0"/>
    <b v="0"/>
    <s v="theater/plays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.1996808510638297"/>
    <n v="194"/>
    <s v="CH"/>
    <s v="CHF"/>
    <n v="1487570400"/>
    <n v="1489986000"/>
    <b v="0"/>
    <b v="0"/>
    <s v="theater/plays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.4545652173913044"/>
    <n v="129"/>
    <s v="CA"/>
    <s v="CAD"/>
    <n v="1545026400"/>
    <n v="1545804000"/>
    <b v="0"/>
    <b v="0"/>
    <s v="technology/wearables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2.2138255033557046"/>
    <n v="375"/>
    <s v="US"/>
    <s v="USD"/>
    <n v="1488348000"/>
    <n v="1489899600"/>
    <b v="0"/>
    <b v="0"/>
    <s v="theater/plays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0.48396694214876035"/>
    <n v="2928"/>
    <s v="CA"/>
    <s v="CAD"/>
    <n v="1545112800"/>
    <n v="1546495200"/>
    <b v="0"/>
    <b v="0"/>
    <s v="theater/plays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0.92911504424778757"/>
    <n v="4697"/>
    <s v="US"/>
    <s v="USD"/>
    <n v="1537938000"/>
    <n v="1539752400"/>
    <b v="0"/>
    <b v="1"/>
    <s v="music/rock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0.88599797365754818"/>
    <n v="2915"/>
    <s v="US"/>
    <s v="USD"/>
    <n v="1363150800"/>
    <n v="1364101200"/>
    <b v="0"/>
    <b v="0"/>
    <s v="games/video games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0.41399999999999998"/>
    <n v="18"/>
    <s v="US"/>
    <s v="USD"/>
    <n v="1523250000"/>
    <n v="1525323600"/>
    <b v="0"/>
    <b v="0"/>
    <s v="publishing/translations"/>
    <n v="103.5"/>
    <x v="5"/>
    <s v="translations"/>
    <x v="596"/>
    <d v="2018-05-03T05:00:00"/>
  </r>
  <r>
    <n v="648"/>
    <s v="Vargas-Cox"/>
    <s v="Vision-oriented local contingency"/>
    <n v="98600"/>
    <n v="62174"/>
    <x v="3"/>
    <n v="0.63056795131845844"/>
    <n v="723"/>
    <s v="US"/>
    <s v="USD"/>
    <n v="1499317200"/>
    <n v="1500872400"/>
    <b v="1"/>
    <b v="0"/>
    <s v="food/food trucks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0.48482333607230893"/>
    <n v="602"/>
    <s v="CH"/>
    <s v="CHF"/>
    <n v="1287550800"/>
    <n v="1288501200"/>
    <b v="1"/>
    <b v="1"/>
    <s v="theater/plays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0.02"/>
    <n v="1"/>
    <s v="US"/>
    <s v="USD"/>
    <n v="1404795600"/>
    <n v="1407128400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x v="0"/>
    <n v="0.88479410269445857"/>
    <n v="3868"/>
    <s v="IT"/>
    <s v="EUR"/>
    <n v="1393048800"/>
    <n v="1394344800"/>
    <b v="0"/>
    <b v="0"/>
    <s v="film &amp; video/shorts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1.2684"/>
    <n v="409"/>
    <s v="US"/>
    <s v="USD"/>
    <n v="1470373200"/>
    <n v="1474088400"/>
    <b v="0"/>
    <b v="0"/>
    <s v="technology/web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.388333333333332"/>
    <n v="234"/>
    <s v="US"/>
    <s v="USD"/>
    <n v="1460091600"/>
    <n v="1460264400"/>
    <b v="0"/>
    <b v="0"/>
    <s v="technology/web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5.0838857142857146"/>
    <n v="3016"/>
    <s v="US"/>
    <s v="USD"/>
    <n v="1440392400"/>
    <n v="1440824400"/>
    <b v="0"/>
    <b v="0"/>
    <s v="music/metal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1.9147826086956521"/>
    <n v="264"/>
    <s v="US"/>
    <s v="USD"/>
    <n v="1488434400"/>
    <n v="1489554000"/>
    <b v="1"/>
    <b v="0"/>
    <s v="photography/photography books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0.42127533783783783"/>
    <n v="504"/>
    <s v="AU"/>
    <s v="AUD"/>
    <n v="1514440800"/>
    <n v="1514872800"/>
    <b v="0"/>
    <b v="0"/>
    <s v="food/food trucks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8.2400000000000001E-2"/>
    <n v="14"/>
    <s v="US"/>
    <s v="USD"/>
    <n v="1514354400"/>
    <n v="1515736800"/>
    <b v="0"/>
    <b v="0"/>
    <s v="film &amp; video/science fiction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0.60064638783269964"/>
    <n v="390"/>
    <s v="US"/>
    <s v="USD"/>
    <n v="1440910800"/>
    <n v="1442898000"/>
    <b v="0"/>
    <b v="0"/>
    <s v="music/rock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0.47232808616404309"/>
    <n v="750"/>
    <s v="GB"/>
    <s v="GBP"/>
    <n v="1296108000"/>
    <n v="1296194400"/>
    <b v="0"/>
    <b v="0"/>
    <s v="film &amp; video/documentary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0.81736263736263737"/>
    <n v="77"/>
    <s v="US"/>
    <s v="USD"/>
    <n v="1440133200"/>
    <n v="1440910800"/>
    <b v="1"/>
    <b v="0"/>
    <s v="theater/plays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0.54187265917603"/>
    <n v="752"/>
    <s v="DK"/>
    <s v="DKK"/>
    <n v="1332910800"/>
    <n v="1335502800"/>
    <b v="0"/>
    <b v="0"/>
    <s v="music/jazz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0.97868131868131869"/>
    <n v="131"/>
    <s v="US"/>
    <s v="USD"/>
    <n v="1544335200"/>
    <n v="1544680800"/>
    <b v="0"/>
    <b v="0"/>
    <s v="theater/plays"/>
    <n v="67.984732824427482"/>
    <x v="3"/>
    <s v="plays"/>
    <x v="609"/>
    <d v="2018-12-13T06:00:00"/>
  </r>
  <r>
    <n v="663"/>
    <s v="Everett-Wolfe"/>
    <s v="Total optimizing software"/>
    <n v="10000"/>
    <n v="7724"/>
    <x v="0"/>
    <n v="0.77239999999999998"/>
    <n v="87"/>
    <s v="US"/>
    <s v="USD"/>
    <n v="1286427600"/>
    <n v="1288414800"/>
    <b v="0"/>
    <b v="0"/>
    <s v="theater/plays"/>
    <n v="88.781609195402297"/>
    <x v="3"/>
    <s v="plays"/>
    <x v="610"/>
    <d v="2010-10-30T05:00:00"/>
  </r>
  <r>
    <n v="664"/>
    <s v="Young PLC"/>
    <s v="Optional maximized attitude"/>
    <n v="79400"/>
    <n v="26571"/>
    <x v="0"/>
    <n v="0.33464735516372796"/>
    <n v="1063"/>
    <s v="US"/>
    <s v="USD"/>
    <n v="1329717600"/>
    <n v="1330581600"/>
    <b v="0"/>
    <b v="0"/>
    <s v="music/jazz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.3958823529411766"/>
    <n v="272"/>
    <s v="US"/>
    <s v="USD"/>
    <n v="1310187600"/>
    <n v="1311397200"/>
    <b v="0"/>
    <b v="1"/>
    <s v="film &amp; video/documentary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0.64032258064516134"/>
    <n v="25"/>
    <s v="US"/>
    <s v="USD"/>
    <n v="1377838800"/>
    <n v="1378357200"/>
    <b v="0"/>
    <b v="1"/>
    <s v="theater/plays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1.7615942028985507"/>
    <n v="419"/>
    <s v="US"/>
    <s v="USD"/>
    <n v="1410325200"/>
    <n v="1411102800"/>
    <b v="0"/>
    <b v="0"/>
    <s v="journalism/audio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0.20338181818181819"/>
    <n v="76"/>
    <s v="US"/>
    <s v="USD"/>
    <n v="1343797200"/>
    <n v="1344834000"/>
    <b v="0"/>
    <b v="0"/>
    <s v="theater/plays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3.5864754098360656"/>
    <n v="1621"/>
    <s v="IT"/>
    <s v="EUR"/>
    <n v="1498453200"/>
    <n v="1499230800"/>
    <b v="0"/>
    <b v="0"/>
    <s v="theater/plays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4.6885802469135802"/>
    <n v="1101"/>
    <s v="US"/>
    <s v="USD"/>
    <n v="1456380000"/>
    <n v="1457416800"/>
    <b v="0"/>
    <b v="0"/>
    <s v="music/indie rock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.220563524590164"/>
    <n v="1073"/>
    <s v="US"/>
    <s v="USD"/>
    <n v="1280552400"/>
    <n v="1280898000"/>
    <b v="0"/>
    <b v="1"/>
    <s v="theater/plays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0.55931783729156137"/>
    <n v="4428"/>
    <s v="AU"/>
    <s v="AUD"/>
    <n v="1521608400"/>
    <n v="1522472400"/>
    <b v="0"/>
    <b v="0"/>
    <s v="theater/plays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0.43660714285714286"/>
    <n v="58"/>
    <s v="IT"/>
    <s v="EUR"/>
    <n v="1460696400"/>
    <n v="1462510800"/>
    <b v="0"/>
    <b v="0"/>
    <s v="music/indie rock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0.33538371411833628"/>
    <n v="1218"/>
    <s v="US"/>
    <s v="USD"/>
    <n v="1313730000"/>
    <n v="1317790800"/>
    <b v="0"/>
    <b v="0"/>
    <s v="photography/photography books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1.2297938144329896"/>
    <n v="331"/>
    <s v="US"/>
    <s v="USD"/>
    <n v="1568178000"/>
    <n v="1568782800"/>
    <b v="0"/>
    <b v="0"/>
    <s v="journalism/audio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.8974959871589085"/>
    <n v="1170"/>
    <s v="US"/>
    <s v="USD"/>
    <n v="1348635600"/>
    <n v="1349413200"/>
    <b v="0"/>
    <b v="0"/>
    <s v="photography/photography books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0.83622641509433959"/>
    <n v="111"/>
    <s v="US"/>
    <s v="USD"/>
    <n v="1468126800"/>
    <n v="1472446800"/>
    <b v="0"/>
    <b v="0"/>
    <s v="publishing/fiction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0.17968844221105529"/>
    <n v="215"/>
    <s v="US"/>
    <s v="USD"/>
    <n v="1547877600"/>
    <n v="1548050400"/>
    <b v="0"/>
    <b v="0"/>
    <s v="film &amp; video/drama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10.365"/>
    <n v="363"/>
    <s v="US"/>
    <s v="USD"/>
    <n v="1571374800"/>
    <n v="1571806800"/>
    <b v="0"/>
    <b v="1"/>
    <s v="food/food trucks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0.97405219780219776"/>
    <n v="2955"/>
    <s v="US"/>
    <s v="USD"/>
    <n v="1576303200"/>
    <n v="1576476000"/>
    <b v="0"/>
    <b v="1"/>
    <s v="games/mobile games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0.86386203150461705"/>
    <n v="1657"/>
    <s v="US"/>
    <s v="USD"/>
    <n v="1324447200"/>
    <n v="1324965600"/>
    <b v="0"/>
    <b v="0"/>
    <s v="theater/plays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.5016666666666667"/>
    <n v="103"/>
    <s v="US"/>
    <s v="USD"/>
    <n v="1386741600"/>
    <n v="1387519200"/>
    <b v="0"/>
    <b v="0"/>
    <s v="theater/plays"/>
    <n v="78.728155339805824"/>
    <x v="3"/>
    <s v="plays"/>
    <x v="626"/>
    <d v="2013-12-20T06:00:00"/>
  </r>
  <r>
    <n v="683"/>
    <s v="Jones PLC"/>
    <s v="Virtual systemic intranet"/>
    <n v="2300"/>
    <n v="8244"/>
    <x v="1"/>
    <n v="3.5843478260869563"/>
    <n v="147"/>
    <s v="US"/>
    <s v="USD"/>
    <n v="1537074000"/>
    <n v="1537246800"/>
    <b v="0"/>
    <b v="0"/>
    <s v="theater/plays"/>
    <n v="56.081632653061227"/>
    <x v="3"/>
    <s v="plays"/>
    <x v="627"/>
    <d v="2018-09-18T05:00:00"/>
  </r>
  <r>
    <n v="684"/>
    <s v="Gilmore LLC"/>
    <s v="Optimized systemic algorithm"/>
    <n v="1400"/>
    <n v="7600"/>
    <x v="1"/>
    <n v="5.4285714285714288"/>
    <n v="110"/>
    <s v="CA"/>
    <s v="CAD"/>
    <n v="1277787600"/>
    <n v="1279515600"/>
    <b v="0"/>
    <b v="0"/>
    <s v="publishing/nonfiction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0.67500714285714281"/>
    <n v="926"/>
    <s v="CA"/>
    <s v="CAD"/>
    <n v="1440306000"/>
    <n v="1442379600"/>
    <b v="0"/>
    <b v="0"/>
    <s v="theater/plays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.9174666666666667"/>
    <n v="134"/>
    <s v="US"/>
    <s v="USD"/>
    <n v="1522126800"/>
    <n v="1523077200"/>
    <b v="0"/>
    <b v="0"/>
    <s v="technology/wearables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9.32"/>
    <n v="269"/>
    <s v="US"/>
    <s v="USD"/>
    <n v="1489298400"/>
    <n v="1489554000"/>
    <b v="0"/>
    <b v="0"/>
    <s v="theater/plays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4.2927586206896553"/>
    <n v="175"/>
    <s v="US"/>
    <s v="USD"/>
    <n v="1547100000"/>
    <n v="1548482400"/>
    <b v="0"/>
    <b v="1"/>
    <s v="film &amp; video/television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1.0065753424657535"/>
    <n v="69"/>
    <s v="US"/>
    <s v="USD"/>
    <n v="1383022800"/>
    <n v="1384063200"/>
    <b v="0"/>
    <b v="0"/>
    <s v="technology/web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2.266111111111111"/>
    <n v="190"/>
    <s v="US"/>
    <s v="USD"/>
    <n v="1322373600"/>
    <n v="1322892000"/>
    <b v="0"/>
    <b v="1"/>
    <s v="film &amp; video/documentary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1.4238"/>
    <n v="237"/>
    <s v="US"/>
    <s v="USD"/>
    <n v="1349240400"/>
    <n v="1350709200"/>
    <b v="1"/>
    <b v="1"/>
    <s v="film &amp; video/documentary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0.90633333333333332"/>
    <n v="77"/>
    <s v="GB"/>
    <s v="GBP"/>
    <n v="1562648400"/>
    <n v="1564203600"/>
    <b v="0"/>
    <b v="0"/>
    <s v="music/rock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0.63966740576496672"/>
    <n v="1748"/>
    <s v="US"/>
    <s v="USD"/>
    <n v="1508216400"/>
    <n v="1509685200"/>
    <b v="0"/>
    <b v="0"/>
    <s v="theater/plays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0.84131868131868137"/>
    <n v="79"/>
    <s v="US"/>
    <s v="USD"/>
    <n v="1511762400"/>
    <n v="1514959200"/>
    <b v="0"/>
    <b v="0"/>
    <s v="theater/plays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.3393478260869565"/>
    <n v="196"/>
    <s v="IT"/>
    <s v="EUR"/>
    <n v="1447480800"/>
    <n v="1448863200"/>
    <b v="1"/>
    <b v="0"/>
    <s v="music/rock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0.59042047531992692"/>
    <n v="889"/>
    <s v="US"/>
    <s v="USD"/>
    <n v="1429506000"/>
    <n v="1429592400"/>
    <b v="0"/>
    <b v="1"/>
    <s v="theater/plays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1.5280062063615205"/>
    <n v="7295"/>
    <s v="US"/>
    <s v="USD"/>
    <n v="1522472400"/>
    <n v="1522645200"/>
    <b v="0"/>
    <b v="0"/>
    <s v="music/electric music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4.466912114014252"/>
    <n v="2893"/>
    <s v="CA"/>
    <s v="CAD"/>
    <n v="1322114400"/>
    <n v="1323324000"/>
    <b v="0"/>
    <b v="0"/>
    <s v="technology/wearables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0.8439189189189189"/>
    <n v="56"/>
    <s v="US"/>
    <s v="USD"/>
    <n v="1561438800"/>
    <n v="1561525200"/>
    <b v="0"/>
    <b v="0"/>
    <s v="film &amp; video/drama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0.03"/>
    <n v="1"/>
    <s v="US"/>
    <s v="USD"/>
    <n v="1264399200"/>
    <n v="1265695200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x v="1"/>
    <n v="1.7502692307692307"/>
    <n v="820"/>
    <s v="US"/>
    <s v="USD"/>
    <n v="1301202000"/>
    <n v="1301806800"/>
    <b v="1"/>
    <b v="0"/>
    <s v="theater/plays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0.54137931034482756"/>
    <n v="83"/>
    <s v="US"/>
    <s v="USD"/>
    <n v="1374469200"/>
    <n v="1374901200"/>
    <b v="0"/>
    <b v="0"/>
    <s v="technology/wearables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3.1187381703470032"/>
    <n v="2038"/>
    <s v="US"/>
    <s v="USD"/>
    <n v="1334984400"/>
    <n v="1336453200"/>
    <b v="1"/>
    <b v="1"/>
    <s v="publishing/translations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.2278160919540231"/>
    <n v="116"/>
    <s v="US"/>
    <s v="USD"/>
    <n v="1467608400"/>
    <n v="1468904400"/>
    <b v="0"/>
    <b v="0"/>
    <s v="film &amp; video/animation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0.99026517383618151"/>
    <n v="2025"/>
    <s v="GB"/>
    <s v="GBP"/>
    <n v="1386741600"/>
    <n v="1387087200"/>
    <b v="0"/>
    <b v="0"/>
    <s v="publishing/nonfiction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.278468634686347"/>
    <n v="1345"/>
    <s v="AU"/>
    <s v="AUD"/>
    <n v="1546754400"/>
    <n v="1547445600"/>
    <b v="0"/>
    <b v="1"/>
    <s v="technology/web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.5861643835616439"/>
    <n v="168"/>
    <s v="US"/>
    <s v="USD"/>
    <n v="1544248800"/>
    <n v="1547359200"/>
    <b v="0"/>
    <b v="0"/>
    <s v="film &amp; video/drama"/>
    <n v="68.922619047619051"/>
    <x v="4"/>
    <s v="drama"/>
    <x v="159"/>
    <d v="2019-01-13T06:00:00"/>
  </r>
  <r>
    <n v="708"/>
    <s v="Ortega LLC"/>
    <s v="Secured bifurcated intranet"/>
    <n v="1700"/>
    <n v="12020"/>
    <x v="1"/>
    <n v="7.0705882352941174"/>
    <n v="137"/>
    <s v="CH"/>
    <s v="CHF"/>
    <n v="1495429200"/>
    <n v="1496293200"/>
    <b v="0"/>
    <b v="0"/>
    <s v="theater/plays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.4238775510204082"/>
    <n v="186"/>
    <s v="IT"/>
    <s v="EUR"/>
    <n v="1334811600"/>
    <n v="1335416400"/>
    <b v="0"/>
    <b v="0"/>
    <s v="theater/plays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.4786046511627906"/>
    <n v="125"/>
    <s v="US"/>
    <s v="USD"/>
    <n v="1531544400"/>
    <n v="1532149200"/>
    <b v="0"/>
    <b v="1"/>
    <s v="theater/plays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0.20322580645161289"/>
    <n v="14"/>
    <s v="IT"/>
    <s v="EUR"/>
    <n v="1453615200"/>
    <n v="1453788000"/>
    <b v="1"/>
    <b v="1"/>
    <s v="theater/plays"/>
    <n v="90"/>
    <x v="3"/>
    <s v="plays"/>
    <x v="248"/>
    <d v="2016-01-26T06:00:00"/>
  </r>
  <r>
    <n v="712"/>
    <s v="Garza-Bryant"/>
    <s v="Programmable leadingedge contingency"/>
    <n v="800"/>
    <n v="14725"/>
    <x v="1"/>
    <n v="18.40625"/>
    <n v="202"/>
    <s v="US"/>
    <s v="USD"/>
    <n v="1467954000"/>
    <n v="1471496400"/>
    <b v="0"/>
    <b v="0"/>
    <s v="theater/plays"/>
    <n v="72.896039603960389"/>
    <x v="3"/>
    <s v="plays"/>
    <x v="571"/>
    <d v="2016-08-18T05:00:00"/>
  </r>
  <r>
    <n v="713"/>
    <s v="Mays LLC"/>
    <s v="Multi-layered global groupware"/>
    <n v="6900"/>
    <n v="11174"/>
    <x v="1"/>
    <n v="1.6194202898550725"/>
    <n v="103"/>
    <s v="US"/>
    <s v="USD"/>
    <n v="1471842000"/>
    <n v="1472878800"/>
    <b v="0"/>
    <b v="0"/>
    <s v="publishing/radio &amp; podcasts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4.7282077922077921"/>
    <n v="1785"/>
    <s v="US"/>
    <s v="USD"/>
    <n v="1408424400"/>
    <n v="1408510800"/>
    <b v="0"/>
    <b v="0"/>
    <s v="music/rock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0.24466101694915254"/>
    <n v="656"/>
    <s v="US"/>
    <s v="USD"/>
    <n v="1281157200"/>
    <n v="1281589200"/>
    <b v="0"/>
    <b v="0"/>
    <s v="games/mobile games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5.1764999999999999"/>
    <n v="157"/>
    <s v="US"/>
    <s v="USD"/>
    <n v="1373432400"/>
    <n v="1375851600"/>
    <b v="0"/>
    <b v="1"/>
    <s v="theater/plays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2.4764285714285714"/>
    <n v="555"/>
    <s v="US"/>
    <s v="USD"/>
    <n v="1313989200"/>
    <n v="1315803600"/>
    <b v="0"/>
    <b v="0"/>
    <s v="film &amp; video/documentary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1.0020481927710843"/>
    <n v="297"/>
    <s v="US"/>
    <s v="USD"/>
    <n v="1371445200"/>
    <n v="1373691600"/>
    <b v="0"/>
    <b v="0"/>
    <s v="technology/wearables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.53"/>
    <n v="123"/>
    <s v="US"/>
    <s v="USD"/>
    <n v="1338267600"/>
    <n v="1339218000"/>
    <b v="0"/>
    <b v="0"/>
    <s v="publishing/fiction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0.37091954022988505"/>
    <n v="38"/>
    <s v="DK"/>
    <s v="DKK"/>
    <n v="1519192800"/>
    <n v="1520402400"/>
    <b v="0"/>
    <b v="1"/>
    <s v="theater/plays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4.3923948220064728E-2"/>
    <n v="60"/>
    <s v="US"/>
    <s v="USD"/>
    <n v="1522818000"/>
    <n v="1523336400"/>
    <b v="0"/>
    <b v="0"/>
    <s v="music/rock"/>
    <n v="90.483333333333334"/>
    <x v="1"/>
    <s v="rock"/>
    <x v="657"/>
    <d v="2018-04-10T05:00:00"/>
  </r>
  <r>
    <n v="722"/>
    <s v="Thomas-Simmons"/>
    <s v="Proactive 24hour frame"/>
    <n v="48500"/>
    <n v="75906"/>
    <x v="1"/>
    <n v="1.5650721649484536"/>
    <n v="3036"/>
    <s v="US"/>
    <s v="USD"/>
    <n v="1509948000"/>
    <n v="1512280800"/>
    <b v="0"/>
    <b v="0"/>
    <s v="film &amp; video/documentary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2.704081632653061"/>
    <n v="144"/>
    <s v="AU"/>
    <s v="AUD"/>
    <n v="1456898400"/>
    <n v="1458709200"/>
    <b v="0"/>
    <b v="0"/>
    <s v="theater/plays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.3405952380952382"/>
    <n v="121"/>
    <s v="GB"/>
    <s v="GBP"/>
    <n v="1413954000"/>
    <n v="1414126800"/>
    <b v="0"/>
    <b v="1"/>
    <s v="theater/plays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0.50398033126293995"/>
    <n v="1596"/>
    <s v="US"/>
    <s v="USD"/>
    <n v="1416031200"/>
    <n v="1416204000"/>
    <b v="0"/>
    <b v="0"/>
    <s v="games/mobile games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0.88815837937384901"/>
    <n v="524"/>
    <s v="US"/>
    <s v="USD"/>
    <n v="1287982800"/>
    <n v="1288501200"/>
    <b v="0"/>
    <b v="1"/>
    <s v="theater/plays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.65"/>
    <n v="181"/>
    <s v="US"/>
    <s v="USD"/>
    <n v="1547964000"/>
    <n v="1552971600"/>
    <b v="0"/>
    <b v="0"/>
    <s v="technology/web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0.17499999999999999"/>
    <n v="10"/>
    <s v="US"/>
    <s v="USD"/>
    <n v="1464152400"/>
    <n v="1465102800"/>
    <b v="0"/>
    <b v="0"/>
    <s v="theater/plays"/>
    <n v="73.5"/>
    <x v="3"/>
    <s v="plays"/>
    <x v="662"/>
    <d v="2016-06-05T05:00:00"/>
  </r>
  <r>
    <n v="729"/>
    <s v="Moore Group"/>
    <s v="Multi-lateral object-oriented open system"/>
    <n v="5600"/>
    <n v="10397"/>
    <x v="1"/>
    <n v="1.8566071428571429"/>
    <n v="122"/>
    <s v="US"/>
    <s v="USD"/>
    <n v="1359957600"/>
    <n v="1360130400"/>
    <b v="0"/>
    <b v="0"/>
    <s v="film &amp; video/drama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4.1266319444444441"/>
    <n v="1071"/>
    <s v="CA"/>
    <s v="CAD"/>
    <n v="1432357200"/>
    <n v="1432875600"/>
    <b v="0"/>
    <b v="0"/>
    <s v="technology/wearables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0.90249999999999997"/>
    <n v="219"/>
    <s v="US"/>
    <s v="USD"/>
    <n v="1500786000"/>
    <n v="1500872400"/>
    <b v="0"/>
    <b v="0"/>
    <s v="technology/web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0.91984615384615387"/>
    <n v="1121"/>
    <s v="US"/>
    <s v="USD"/>
    <n v="1490158800"/>
    <n v="1492146000"/>
    <b v="0"/>
    <b v="1"/>
    <s v="music/rock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5.2700632911392402"/>
    <n v="980"/>
    <s v="US"/>
    <s v="USD"/>
    <n v="1406178000"/>
    <n v="1407301200"/>
    <b v="0"/>
    <b v="0"/>
    <s v="music/metal"/>
    <n v="84.96632653061225"/>
    <x v="1"/>
    <s v="metal"/>
    <x v="43"/>
    <d v="2014-08-06T05:00:00"/>
  </r>
  <r>
    <n v="734"/>
    <s v="Stone PLC"/>
    <s v="Exclusive 5thgeneration leverage"/>
    <n v="4200"/>
    <n v="13404"/>
    <x v="1"/>
    <n v="3.1914285714285713"/>
    <n v="536"/>
    <s v="US"/>
    <s v="USD"/>
    <n v="1485583200"/>
    <n v="1486620000"/>
    <b v="0"/>
    <b v="1"/>
    <s v="theater/plays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3.5418867924528303"/>
    <n v="1991"/>
    <s v="US"/>
    <s v="USD"/>
    <n v="1459314000"/>
    <n v="1459918800"/>
    <b v="0"/>
    <b v="0"/>
    <s v="photography/photography books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0.32896103896103895"/>
    <n v="29"/>
    <s v="US"/>
    <s v="USD"/>
    <n v="1424412000"/>
    <n v="1424757600"/>
    <b v="0"/>
    <b v="0"/>
    <s v="publishing/nonfiction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.358918918918919"/>
    <n v="180"/>
    <s v="US"/>
    <s v="USD"/>
    <n v="1478844000"/>
    <n v="1479880800"/>
    <b v="0"/>
    <b v="0"/>
    <s v="music/indie rock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2.0843373493975904E-2"/>
    <n v="15"/>
    <s v="US"/>
    <s v="USD"/>
    <n v="1416117600"/>
    <n v="1418018400"/>
    <b v="0"/>
    <b v="1"/>
    <s v="theater/plays"/>
    <n v="103.8"/>
    <x v="3"/>
    <s v="plays"/>
    <x v="671"/>
    <d v="2014-12-08T06:00:00"/>
  </r>
  <r>
    <n v="739"/>
    <s v="Meyer-Avila"/>
    <s v="Multi-tiered discrete support"/>
    <n v="10000"/>
    <n v="6100"/>
    <x v="0"/>
    <n v="0.61"/>
    <n v="191"/>
    <s v="US"/>
    <s v="USD"/>
    <n v="1340946000"/>
    <n v="1341032400"/>
    <b v="0"/>
    <b v="0"/>
    <s v="music/indie rock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0.30037735849056602"/>
    <n v="16"/>
    <s v="US"/>
    <s v="USD"/>
    <n v="1486101600"/>
    <n v="1486360800"/>
    <b v="0"/>
    <b v="0"/>
    <s v="theater/plays"/>
    <n v="99.5"/>
    <x v="3"/>
    <s v="plays"/>
    <x v="673"/>
    <d v="2017-02-06T06:00:00"/>
  </r>
  <r>
    <n v="741"/>
    <s v="Garcia Ltd"/>
    <s v="Balanced mobile alliance"/>
    <n v="1200"/>
    <n v="14150"/>
    <x v="1"/>
    <n v="11.791666666666666"/>
    <n v="130"/>
    <s v="US"/>
    <s v="USD"/>
    <n v="1274590800"/>
    <n v="1274677200"/>
    <b v="0"/>
    <b v="0"/>
    <s v="theater/plays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1.260833333333334"/>
    <n v="122"/>
    <s v="US"/>
    <s v="USD"/>
    <n v="1263880800"/>
    <n v="1267509600"/>
    <b v="0"/>
    <b v="0"/>
    <s v="music/electric music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0.12923076923076923"/>
    <n v="17"/>
    <s v="US"/>
    <s v="USD"/>
    <n v="1445403600"/>
    <n v="1445922000"/>
    <b v="0"/>
    <b v="1"/>
    <s v="theater/plays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7.12"/>
    <n v="140"/>
    <s v="US"/>
    <s v="USD"/>
    <n v="1533877200"/>
    <n v="1534050000"/>
    <b v="0"/>
    <b v="1"/>
    <s v="theater/plays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0.30304347826086958"/>
    <n v="34"/>
    <s v="US"/>
    <s v="USD"/>
    <n v="1275195600"/>
    <n v="1277528400"/>
    <b v="0"/>
    <b v="0"/>
    <s v="technology/wearables"/>
    <n v="61.5"/>
    <x v="2"/>
    <s v="wearables"/>
    <x v="677"/>
    <d v="2010-06-26T05:00:00"/>
  </r>
  <r>
    <n v="746"/>
    <s v="Edwards LLC"/>
    <s v="Automated system-worthy structure"/>
    <n v="55800"/>
    <n v="118580"/>
    <x v="1"/>
    <n v="2.1250896057347672"/>
    <n v="3388"/>
    <s v="US"/>
    <s v="USD"/>
    <n v="1318136400"/>
    <n v="1318568400"/>
    <b v="0"/>
    <b v="0"/>
    <s v="technology/web"/>
    <n v="35"/>
    <x v="2"/>
    <s v="web"/>
    <x v="678"/>
    <d v="2011-10-14T05:00:00"/>
  </r>
  <r>
    <n v="747"/>
    <s v="Greer and Sons"/>
    <s v="Secured clear-thinking intranet"/>
    <n v="4900"/>
    <n v="11214"/>
    <x v="1"/>
    <n v="2.2885714285714287"/>
    <n v="280"/>
    <s v="US"/>
    <s v="USD"/>
    <n v="1283403600"/>
    <n v="1284354000"/>
    <b v="0"/>
    <b v="0"/>
    <s v="theater/plays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0.34959979476654696"/>
    <n v="614"/>
    <s v="US"/>
    <s v="USD"/>
    <n v="1267423200"/>
    <n v="1269579600"/>
    <b v="0"/>
    <b v="1"/>
    <s v="film &amp; video/animation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1.5729069767441861"/>
    <n v="366"/>
    <s v="IT"/>
    <s v="EUR"/>
    <n v="1412744400"/>
    <n v="1413781200"/>
    <b v="0"/>
    <b v="1"/>
    <s v="technology/wearables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0.01"/>
    <n v="1"/>
    <s v="GB"/>
    <s v="GBP"/>
    <n v="1277960400"/>
    <n v="1280120400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x v="1"/>
    <n v="2.3230555555555554"/>
    <n v="270"/>
    <s v="US"/>
    <s v="USD"/>
    <n v="1458190800"/>
    <n v="1459486800"/>
    <b v="1"/>
    <b v="1"/>
    <s v="publishing/nonfiction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0.92448275862068963"/>
    <n v="114"/>
    <s v="US"/>
    <s v="USD"/>
    <n v="1280984400"/>
    <n v="1282539600"/>
    <b v="0"/>
    <b v="1"/>
    <s v="theater/plays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2.5670212765957445"/>
    <n v="137"/>
    <s v="US"/>
    <s v="USD"/>
    <n v="1274590800"/>
    <n v="1275886800"/>
    <b v="0"/>
    <b v="0"/>
    <s v="photography/photography books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1.6847017045454546"/>
    <n v="3205"/>
    <s v="US"/>
    <s v="USD"/>
    <n v="1351400400"/>
    <n v="1355983200"/>
    <b v="0"/>
    <b v="0"/>
    <s v="theater/plays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1.6657777777777778"/>
    <n v="288"/>
    <s v="DK"/>
    <s v="DKK"/>
    <n v="1514354400"/>
    <n v="1515391200"/>
    <b v="0"/>
    <b v="1"/>
    <s v="theater/plays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7.7207692307692311"/>
    <n v="148"/>
    <s v="US"/>
    <s v="USD"/>
    <n v="1421733600"/>
    <n v="1422252000"/>
    <b v="0"/>
    <b v="0"/>
    <s v="theater/plays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4.0685714285714285"/>
    <n v="114"/>
    <s v="US"/>
    <s v="USD"/>
    <n v="1305176400"/>
    <n v="1305522000"/>
    <b v="0"/>
    <b v="0"/>
    <s v="film &amp; video/drama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5.6420608108108112"/>
    <n v="1518"/>
    <s v="CA"/>
    <s v="CAD"/>
    <n v="1414126800"/>
    <n v="1414904400"/>
    <b v="0"/>
    <b v="0"/>
    <s v="music/rock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0.6842686567164179"/>
    <n v="1274"/>
    <s v="US"/>
    <s v="USD"/>
    <n v="1517810400"/>
    <n v="1520402400"/>
    <b v="0"/>
    <b v="0"/>
    <s v="music/electric music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0.34351966873706002"/>
    <n v="210"/>
    <s v="IT"/>
    <s v="EUR"/>
    <n v="1564635600"/>
    <n v="1567141200"/>
    <b v="0"/>
    <b v="1"/>
    <s v="games/video games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6.5545454545454547"/>
    <n v="166"/>
    <s v="US"/>
    <s v="USD"/>
    <n v="1500699600"/>
    <n v="1501131600"/>
    <b v="0"/>
    <b v="0"/>
    <s v="music/rock"/>
    <n v="86.867469879518069"/>
    <x v="1"/>
    <s v="rock"/>
    <x v="691"/>
    <d v="2017-07-27T05:00:00"/>
  </r>
  <r>
    <n v="762"/>
    <s v="Davis Ltd"/>
    <s v="Upgradable uniform service-desk"/>
    <n v="3500"/>
    <n v="6204"/>
    <x v="1"/>
    <n v="1.7725714285714285"/>
    <n v="100"/>
    <s v="AU"/>
    <s v="AUD"/>
    <n v="1354082400"/>
    <n v="1355032800"/>
    <b v="0"/>
    <b v="0"/>
    <s v="music/jazz"/>
    <n v="62.04"/>
    <x v="1"/>
    <s v="jazz"/>
    <x v="692"/>
    <d v="2012-12-09T06:00:00"/>
  </r>
  <r>
    <n v="763"/>
    <s v="Rowland PLC"/>
    <s v="Inverse client-driven product"/>
    <n v="5600"/>
    <n v="6338"/>
    <x v="1"/>
    <n v="1.1317857142857144"/>
    <n v="235"/>
    <s v="US"/>
    <s v="USD"/>
    <n v="1336453200"/>
    <n v="1339477200"/>
    <b v="0"/>
    <b v="1"/>
    <s v="theater/plays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7.2818181818181822"/>
    <n v="148"/>
    <s v="US"/>
    <s v="USD"/>
    <n v="1305262800"/>
    <n v="1305954000"/>
    <b v="0"/>
    <b v="0"/>
    <s v="music/rock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2.0833333333333335"/>
    <n v="198"/>
    <s v="US"/>
    <s v="USD"/>
    <n v="1492232400"/>
    <n v="1494392400"/>
    <b v="1"/>
    <b v="1"/>
    <s v="music/indie rock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0.31171232876712329"/>
    <n v="248"/>
    <s v="AU"/>
    <s v="AUD"/>
    <n v="1537333200"/>
    <n v="1537419600"/>
    <b v="0"/>
    <b v="0"/>
    <s v="film &amp; video/science fiction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0.56967078189300413"/>
    <n v="513"/>
    <s v="US"/>
    <s v="USD"/>
    <n v="1444107600"/>
    <n v="1447999200"/>
    <b v="0"/>
    <b v="0"/>
    <s v="publishing/translations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2.31"/>
    <n v="150"/>
    <s v="US"/>
    <s v="USD"/>
    <n v="1386741600"/>
    <n v="1388037600"/>
    <b v="0"/>
    <b v="0"/>
    <s v="theater/plays"/>
    <n v="73.92"/>
    <x v="3"/>
    <s v="plays"/>
    <x v="626"/>
    <d v="2013-12-26T06:00:00"/>
  </r>
  <r>
    <n v="769"/>
    <s v="Johnson-Morales"/>
    <s v="Devolved 24hour forecast"/>
    <n v="125600"/>
    <n v="109106"/>
    <x v="0"/>
    <n v="0.86867834394904464"/>
    <n v="3410"/>
    <s v="US"/>
    <s v="USD"/>
    <n v="1376542800"/>
    <n v="1378789200"/>
    <b v="0"/>
    <b v="0"/>
    <s v="games/video games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.7074418604651163"/>
    <n v="216"/>
    <s v="IT"/>
    <s v="EUR"/>
    <n v="1397451600"/>
    <n v="1398056400"/>
    <b v="0"/>
    <b v="1"/>
    <s v="theater/plays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0.49446428571428569"/>
    <n v="26"/>
    <s v="US"/>
    <s v="USD"/>
    <n v="1548482400"/>
    <n v="1550815200"/>
    <b v="0"/>
    <b v="0"/>
    <s v="theater/plays"/>
    <n v="106.5"/>
    <x v="3"/>
    <s v="plays"/>
    <x v="699"/>
    <d v="2019-02-22T06:00:00"/>
  </r>
  <r>
    <n v="772"/>
    <s v="Johnson-Pace"/>
    <s v="Persistent 3rdgeneration moratorium"/>
    <n v="149600"/>
    <n v="169586"/>
    <x v="1"/>
    <n v="1.1335962566844919"/>
    <n v="5139"/>
    <s v="US"/>
    <s v="USD"/>
    <n v="1549692000"/>
    <n v="1550037600"/>
    <b v="0"/>
    <b v="0"/>
    <s v="music/indie rock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1.9055555555555554"/>
    <n v="2353"/>
    <s v="US"/>
    <s v="USD"/>
    <n v="1492059600"/>
    <n v="1492923600"/>
    <b v="0"/>
    <b v="0"/>
    <s v="theater/plays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1.355"/>
    <n v="78"/>
    <s v="IT"/>
    <s v="EUR"/>
    <n v="1463979600"/>
    <n v="1467522000"/>
    <b v="0"/>
    <b v="0"/>
    <s v="technology/web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0.10297872340425532"/>
    <n v="10"/>
    <s v="US"/>
    <s v="USD"/>
    <n v="1415253600"/>
    <n v="1416117600"/>
    <b v="0"/>
    <b v="0"/>
    <s v="music/rock"/>
    <n v="96.8"/>
    <x v="1"/>
    <s v="rock"/>
    <x v="703"/>
    <d v="2014-11-16T06:00:00"/>
  </r>
  <r>
    <n v="776"/>
    <s v="Taylor-Rowe"/>
    <s v="Synchronized multimedia frame"/>
    <n v="110800"/>
    <n v="72623"/>
    <x v="0"/>
    <n v="0.65544223826714798"/>
    <n v="2201"/>
    <s v="US"/>
    <s v="USD"/>
    <n v="1562216400"/>
    <n v="1563771600"/>
    <b v="0"/>
    <b v="0"/>
    <s v="theater/plays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0.49026652452025588"/>
    <n v="676"/>
    <s v="US"/>
    <s v="USD"/>
    <n v="1316754000"/>
    <n v="1319259600"/>
    <b v="0"/>
    <b v="0"/>
    <s v="theater/plays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7.8792307692307695"/>
    <n v="174"/>
    <s v="CH"/>
    <s v="CHF"/>
    <n v="1313211600"/>
    <n v="1313643600"/>
    <b v="0"/>
    <b v="0"/>
    <s v="film &amp; video/animation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0.80306347746090156"/>
    <n v="831"/>
    <s v="US"/>
    <s v="USD"/>
    <n v="1439528400"/>
    <n v="1440306000"/>
    <b v="0"/>
    <b v="1"/>
    <s v="theater/plays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.0629411764705883"/>
    <n v="164"/>
    <s v="US"/>
    <s v="USD"/>
    <n v="1469163600"/>
    <n v="1470805200"/>
    <b v="0"/>
    <b v="1"/>
    <s v="film &amp; video/drama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0.50735632183908042"/>
    <n v="56"/>
    <s v="CH"/>
    <s v="CHF"/>
    <n v="1288501200"/>
    <n v="1292911200"/>
    <b v="0"/>
    <b v="0"/>
    <s v="theater/plays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2.153137254901961"/>
    <n v="161"/>
    <s v="US"/>
    <s v="USD"/>
    <n v="1298959200"/>
    <n v="1301374800"/>
    <b v="0"/>
    <b v="1"/>
    <s v="film &amp; video/animation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.4122972972972974"/>
    <n v="138"/>
    <s v="US"/>
    <s v="USD"/>
    <n v="1387260000"/>
    <n v="1387864800"/>
    <b v="0"/>
    <b v="0"/>
    <s v="music/rock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1.1533745781777278"/>
    <n v="3308"/>
    <s v="US"/>
    <s v="USD"/>
    <n v="1457244000"/>
    <n v="1458190800"/>
    <b v="0"/>
    <b v="0"/>
    <s v="technology/web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.9311940298507462"/>
    <n v="127"/>
    <s v="AU"/>
    <s v="AUD"/>
    <n v="1556341200"/>
    <n v="1559278800"/>
    <b v="0"/>
    <b v="1"/>
    <s v="film &amp; video/animation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7.2973333333333334"/>
    <n v="207"/>
    <s v="IT"/>
    <s v="EUR"/>
    <n v="1522126800"/>
    <n v="1522731600"/>
    <b v="0"/>
    <b v="1"/>
    <s v="music/jazz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0.99663398692810456"/>
    <n v="859"/>
    <s v="CA"/>
    <s v="CAD"/>
    <n v="1305954000"/>
    <n v="1306731600"/>
    <b v="0"/>
    <b v="0"/>
    <s v="music/rock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0.88166666666666671"/>
    <n v="31"/>
    <s v="US"/>
    <s v="USD"/>
    <n v="1350709200"/>
    <n v="1352527200"/>
    <b v="0"/>
    <b v="0"/>
    <s v="film &amp; video/animation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0.37233333333333335"/>
    <n v="45"/>
    <s v="US"/>
    <s v="USD"/>
    <n v="1401166800"/>
    <n v="1404363600"/>
    <b v="0"/>
    <b v="0"/>
    <s v="theater/plays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0.30540075309306081"/>
    <n v="1113"/>
    <s v="US"/>
    <s v="USD"/>
    <n v="1266127200"/>
    <n v="1266645600"/>
    <b v="0"/>
    <b v="0"/>
    <s v="theater/plays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0.25714285714285712"/>
    <n v="6"/>
    <s v="US"/>
    <s v="USD"/>
    <n v="1481436000"/>
    <n v="1482818400"/>
    <b v="0"/>
    <b v="0"/>
    <s v="food/food trucks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0.34"/>
    <n v="7"/>
    <s v="US"/>
    <s v="USD"/>
    <n v="1372222800"/>
    <n v="1374642000"/>
    <b v="0"/>
    <b v="1"/>
    <s v="theater/plays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1.859090909090909"/>
    <n v="181"/>
    <s v="CH"/>
    <s v="CHF"/>
    <n v="1372136400"/>
    <n v="1372482000"/>
    <b v="0"/>
    <b v="0"/>
    <s v="publishing/nonfiction"/>
    <n v="72.071823204419886"/>
    <x v="5"/>
    <s v="nonfiction"/>
    <x v="448"/>
    <d v="2013-06-29T05:00:00"/>
  </r>
  <r>
    <n v="794"/>
    <s v="Welch Inc"/>
    <s v="Optional optimal website"/>
    <n v="6600"/>
    <n v="8276"/>
    <x v="1"/>
    <n v="1.2539393939393939"/>
    <n v="110"/>
    <s v="US"/>
    <s v="USD"/>
    <n v="1513922400"/>
    <n v="1514959200"/>
    <b v="0"/>
    <b v="0"/>
    <s v="music/rock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0.14394366197183098"/>
    <n v="31"/>
    <s v="US"/>
    <s v="USD"/>
    <n v="1477976400"/>
    <n v="1478235600"/>
    <b v="0"/>
    <b v="0"/>
    <s v="film &amp; video/drama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0.54807692307692313"/>
    <n v="78"/>
    <s v="US"/>
    <s v="USD"/>
    <n v="1407474000"/>
    <n v="1408078800"/>
    <b v="0"/>
    <b v="1"/>
    <s v="games/mobile games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.0963157894736841"/>
    <n v="185"/>
    <s v="US"/>
    <s v="USD"/>
    <n v="1546149600"/>
    <n v="1548136800"/>
    <b v="0"/>
    <b v="0"/>
    <s v="technology/web"/>
    <n v="45.037837837837834"/>
    <x v="2"/>
    <s v="web"/>
    <x v="720"/>
    <d v="2019-01-22T06:00:00"/>
  </r>
  <r>
    <n v="798"/>
    <s v="Small-Fuentes"/>
    <s v="Seamless maximized product"/>
    <n v="3400"/>
    <n v="6408"/>
    <x v="1"/>
    <n v="1.8847058823529412"/>
    <n v="121"/>
    <s v="US"/>
    <s v="USD"/>
    <n v="1338440400"/>
    <n v="1340859600"/>
    <b v="0"/>
    <b v="1"/>
    <s v="theater/plays"/>
    <n v="52.958677685950413"/>
    <x v="3"/>
    <s v="plays"/>
    <x v="721"/>
    <d v="2012-06-28T05:00:00"/>
  </r>
  <r>
    <n v="799"/>
    <s v="Reid-Day"/>
    <s v="Devolved tertiary time-frame"/>
    <n v="84500"/>
    <n v="73522"/>
    <x v="0"/>
    <n v="0.87008284023668636"/>
    <n v="1225"/>
    <s v="GB"/>
    <s v="GBP"/>
    <n v="1454133600"/>
    <n v="1454479200"/>
    <b v="0"/>
    <b v="0"/>
    <s v="theater/plays"/>
    <n v="60.017959183673469"/>
    <x v="3"/>
    <s v="plays"/>
    <x v="722"/>
    <d v="2016-02-03T06:00:00"/>
  </r>
  <r>
    <n v="800"/>
    <s v="Wallace LLC"/>
    <s v="Centralized regional function"/>
    <n v="100"/>
    <n v="1"/>
    <x v="0"/>
    <n v="0.01"/>
    <n v="1"/>
    <s v="CH"/>
    <s v="CHF"/>
    <n v="1434085200"/>
    <n v="143443080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x v="1"/>
    <n v="2.0291304347826089"/>
    <n v="106"/>
    <s v="US"/>
    <s v="USD"/>
    <n v="1577772000"/>
    <n v="1579672800"/>
    <b v="0"/>
    <b v="1"/>
    <s v="photography/photography books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.9703225806451612"/>
    <n v="142"/>
    <s v="US"/>
    <s v="USD"/>
    <n v="1562216400"/>
    <n v="1562389200"/>
    <b v="0"/>
    <b v="0"/>
    <s v="photography/photography books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1.07"/>
    <n v="233"/>
    <s v="US"/>
    <s v="USD"/>
    <n v="1548568800"/>
    <n v="1551506400"/>
    <b v="0"/>
    <b v="0"/>
    <s v="theater/plays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.6873076923076922"/>
    <n v="218"/>
    <s v="US"/>
    <s v="USD"/>
    <n v="1514872800"/>
    <n v="1516600800"/>
    <b v="0"/>
    <b v="0"/>
    <s v="music/rock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0.50845360824742269"/>
    <n v="67"/>
    <s v="AU"/>
    <s v="AUD"/>
    <n v="1416031200"/>
    <n v="1420437600"/>
    <b v="0"/>
    <b v="0"/>
    <s v="film &amp; video/documentary"/>
    <n v="73.611940298507463"/>
    <x v="4"/>
    <s v="documentary"/>
    <x v="660"/>
    <d v="2015-01-05T06:00:00"/>
  </r>
  <r>
    <n v="806"/>
    <s v="Harmon-Madden"/>
    <s v="Adaptive holistic hub"/>
    <n v="700"/>
    <n v="8262"/>
    <x v="1"/>
    <n v="11.802857142857142"/>
    <n v="76"/>
    <s v="US"/>
    <s v="USD"/>
    <n v="1330927200"/>
    <n v="1332997200"/>
    <b v="0"/>
    <b v="1"/>
    <s v="film &amp; video/drama"/>
    <n v="108.71052631578948"/>
    <x v="4"/>
    <s v="drama"/>
    <x v="726"/>
    <d v="2012-03-29T05:00:00"/>
  </r>
  <r>
    <n v="807"/>
    <s v="Walker-Taylor"/>
    <s v="Automated uniform concept"/>
    <n v="700"/>
    <n v="1848"/>
    <x v="1"/>
    <n v="2.64"/>
    <n v="43"/>
    <s v="US"/>
    <s v="USD"/>
    <n v="1571115600"/>
    <n v="1574920800"/>
    <b v="0"/>
    <b v="1"/>
    <s v="theater/plays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0.30442307692307691"/>
    <n v="19"/>
    <s v="US"/>
    <s v="USD"/>
    <n v="1463461200"/>
    <n v="1464930000"/>
    <b v="0"/>
    <b v="0"/>
    <s v="food/food trucks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0.62880681818181816"/>
    <n v="2108"/>
    <s v="CH"/>
    <s v="CHF"/>
    <n v="1344920400"/>
    <n v="1345006800"/>
    <b v="0"/>
    <b v="0"/>
    <s v="film &amp; video/documentary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1.9312499999999999"/>
    <n v="221"/>
    <s v="US"/>
    <s v="USD"/>
    <n v="1511848800"/>
    <n v="1512712800"/>
    <b v="0"/>
    <b v="1"/>
    <s v="theater/plays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0.77102702702702708"/>
    <n v="679"/>
    <s v="US"/>
    <s v="USD"/>
    <n v="1452319200"/>
    <n v="1452492000"/>
    <b v="0"/>
    <b v="1"/>
    <s v="games/video games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.2552763819095478"/>
    <n v="2805"/>
    <s v="CA"/>
    <s v="CAD"/>
    <n v="1523854800"/>
    <n v="1524286800"/>
    <b v="0"/>
    <b v="0"/>
    <s v="publishing/nonfiction"/>
    <n v="48"/>
    <x v="5"/>
    <s v="nonfiction"/>
    <x v="78"/>
    <d v="2018-04-21T05:00:00"/>
  </r>
  <r>
    <n v="813"/>
    <s v="Buckley Group"/>
    <s v="Diverse high-level attitude"/>
    <n v="3200"/>
    <n v="7661"/>
    <x v="1"/>
    <n v="2.3940625"/>
    <n v="68"/>
    <s v="US"/>
    <s v="USD"/>
    <n v="1346043600"/>
    <n v="1346907600"/>
    <b v="0"/>
    <b v="0"/>
    <s v="games/video games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0.921875"/>
    <n v="36"/>
    <s v="DK"/>
    <s v="DKK"/>
    <n v="1464325200"/>
    <n v="1464498000"/>
    <b v="0"/>
    <b v="1"/>
    <s v="music/rock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.3023333333333333"/>
    <n v="183"/>
    <s v="CA"/>
    <s v="CAD"/>
    <n v="1511935200"/>
    <n v="1514181600"/>
    <b v="0"/>
    <b v="0"/>
    <s v="music/rock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6.1521739130434785"/>
    <n v="133"/>
    <s v="US"/>
    <s v="USD"/>
    <n v="1392012000"/>
    <n v="1392184800"/>
    <b v="1"/>
    <b v="1"/>
    <s v="theater/plays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3.687953216374269"/>
    <n v="2489"/>
    <s v="IT"/>
    <s v="EUR"/>
    <n v="1556946000"/>
    <n v="1559365200"/>
    <b v="0"/>
    <b v="1"/>
    <s v="publishing/nonfiction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10.948571428571428"/>
    <n v="69"/>
    <s v="US"/>
    <s v="USD"/>
    <n v="1548050400"/>
    <n v="1549173600"/>
    <b v="0"/>
    <b v="1"/>
    <s v="theater/plays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0.50662921348314605"/>
    <n v="47"/>
    <s v="US"/>
    <s v="USD"/>
    <n v="1353736800"/>
    <n v="1355032800"/>
    <b v="1"/>
    <b v="0"/>
    <s v="games/video games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8.0060000000000002"/>
    <n v="279"/>
    <s v="GB"/>
    <s v="GBP"/>
    <n v="1532840400"/>
    <n v="1533963600"/>
    <b v="0"/>
    <b v="1"/>
    <s v="music/rock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.9128571428571428"/>
    <n v="210"/>
    <s v="US"/>
    <s v="USD"/>
    <n v="1488261600"/>
    <n v="1489381200"/>
    <b v="0"/>
    <b v="0"/>
    <s v="film &amp; video/documentary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3.4996666666666667"/>
    <n v="2100"/>
    <s v="US"/>
    <s v="USD"/>
    <n v="1393567200"/>
    <n v="1395032400"/>
    <b v="0"/>
    <b v="0"/>
    <s v="music/rock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3.5707317073170732"/>
    <n v="252"/>
    <s v="US"/>
    <s v="USD"/>
    <n v="1410325200"/>
    <n v="1412485200"/>
    <b v="1"/>
    <b v="1"/>
    <s v="music/rock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.2648941176470587"/>
    <n v="1280"/>
    <s v="US"/>
    <s v="USD"/>
    <n v="1276923600"/>
    <n v="1279688400"/>
    <b v="0"/>
    <b v="1"/>
    <s v="publishing/nonfiction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3.875"/>
    <n v="157"/>
    <s v="GB"/>
    <s v="GBP"/>
    <n v="1500958800"/>
    <n v="1501995600"/>
    <b v="0"/>
    <b v="0"/>
    <s v="film &amp; video/shorts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4.5703571428571426"/>
    <n v="194"/>
    <s v="US"/>
    <s v="USD"/>
    <n v="1292220000"/>
    <n v="1294639200"/>
    <b v="0"/>
    <b v="1"/>
    <s v="theater/plays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2.6669565217391304"/>
    <n v="82"/>
    <s v="AU"/>
    <s v="AUD"/>
    <n v="1304398800"/>
    <n v="1305435600"/>
    <b v="0"/>
    <b v="1"/>
    <s v="film &amp; video/drama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0.69"/>
    <n v="70"/>
    <s v="US"/>
    <s v="USD"/>
    <n v="1535432400"/>
    <n v="1537592400"/>
    <b v="0"/>
    <b v="0"/>
    <s v="theater/plays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0.51343749999999999"/>
    <n v="154"/>
    <s v="US"/>
    <s v="USD"/>
    <n v="1433826000"/>
    <n v="1435122000"/>
    <b v="0"/>
    <b v="0"/>
    <s v="theater/plays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1.1710526315789473E-2"/>
    <n v="22"/>
    <s v="US"/>
    <s v="USD"/>
    <n v="1514959200"/>
    <n v="1520056800"/>
    <b v="0"/>
    <b v="0"/>
    <s v="theater/plays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1.089773429454171"/>
    <n v="4233"/>
    <s v="US"/>
    <s v="USD"/>
    <n v="1332738000"/>
    <n v="1335675600"/>
    <b v="0"/>
    <b v="0"/>
    <s v="photography/photography books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3.1517592592592591"/>
    <n v="1297"/>
    <s v="DK"/>
    <s v="DKK"/>
    <n v="1445490000"/>
    <n v="1448431200"/>
    <b v="1"/>
    <b v="0"/>
    <s v="publishing/translations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.5769117647058823"/>
    <n v="165"/>
    <s v="DK"/>
    <s v="DKK"/>
    <n v="1297663200"/>
    <n v="1298613600"/>
    <b v="0"/>
    <b v="0"/>
    <s v="publishing/translations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.5380821917808218"/>
    <n v="119"/>
    <s v="US"/>
    <s v="USD"/>
    <n v="1371963600"/>
    <n v="1372482000"/>
    <b v="0"/>
    <b v="0"/>
    <s v="theater/plays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0.89738979118329465"/>
    <n v="1758"/>
    <s v="US"/>
    <s v="USD"/>
    <n v="1425103200"/>
    <n v="1425621600"/>
    <b v="0"/>
    <b v="0"/>
    <s v="technology/web"/>
    <n v="44.001706484641637"/>
    <x v="2"/>
    <s v="web"/>
    <x v="748"/>
    <d v="2015-03-06T06:00:00"/>
  </r>
  <r>
    <n v="836"/>
    <s v="Macias Inc"/>
    <s v="Optimized didactic intranet"/>
    <n v="8100"/>
    <n v="6086"/>
    <x v="0"/>
    <n v="0.75135802469135804"/>
    <n v="94"/>
    <s v="US"/>
    <s v="USD"/>
    <n v="1265349600"/>
    <n v="1266300000"/>
    <b v="0"/>
    <b v="0"/>
    <s v="music/indie rock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8.5288135593220336"/>
    <n v="1797"/>
    <s v="US"/>
    <s v="USD"/>
    <n v="1301202000"/>
    <n v="1305867600"/>
    <b v="0"/>
    <b v="0"/>
    <s v="music/jazz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1.3890625000000001"/>
    <n v="261"/>
    <s v="US"/>
    <s v="USD"/>
    <n v="1538024400"/>
    <n v="1538802000"/>
    <b v="0"/>
    <b v="0"/>
    <s v="theater/plays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.9018181818181819"/>
    <n v="157"/>
    <s v="US"/>
    <s v="USD"/>
    <n v="1395032400"/>
    <n v="1398920400"/>
    <b v="0"/>
    <b v="1"/>
    <s v="film &amp; video/documentary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1.0024333619948409"/>
    <n v="3533"/>
    <s v="US"/>
    <s v="USD"/>
    <n v="1405486800"/>
    <n v="1405659600"/>
    <b v="0"/>
    <b v="1"/>
    <s v="theater/plays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.4275824175824177"/>
    <n v="155"/>
    <s v="US"/>
    <s v="USD"/>
    <n v="1455861600"/>
    <n v="1457244000"/>
    <b v="0"/>
    <b v="0"/>
    <s v="technology/web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5.6313333333333331"/>
    <n v="132"/>
    <s v="IT"/>
    <s v="EUR"/>
    <n v="1529038800"/>
    <n v="1529298000"/>
    <b v="0"/>
    <b v="0"/>
    <s v="technology/wearables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0.30715909090909088"/>
    <n v="33"/>
    <s v="US"/>
    <s v="USD"/>
    <n v="1535259600"/>
    <n v="1535778000"/>
    <b v="0"/>
    <b v="0"/>
    <s v="photography/photography books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0.99397727272727276"/>
    <n v="94"/>
    <s v="US"/>
    <s v="USD"/>
    <n v="1327212000"/>
    <n v="1327471200"/>
    <b v="0"/>
    <b v="0"/>
    <s v="film &amp; video/documentary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.9754935622317598"/>
    <n v="1354"/>
    <s v="GB"/>
    <s v="GBP"/>
    <n v="1526360400"/>
    <n v="1529557200"/>
    <b v="0"/>
    <b v="0"/>
    <s v="technology/web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5.085"/>
    <n v="48"/>
    <s v="US"/>
    <s v="USD"/>
    <n v="1532149200"/>
    <n v="1535259600"/>
    <b v="1"/>
    <b v="1"/>
    <s v="technology/web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2.3774468085106384"/>
    <n v="110"/>
    <s v="US"/>
    <s v="USD"/>
    <n v="1515304800"/>
    <n v="1515564000"/>
    <b v="0"/>
    <b v="0"/>
    <s v="food/food trucks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3.3846875000000001"/>
    <n v="172"/>
    <s v="US"/>
    <s v="USD"/>
    <n v="1276318800"/>
    <n v="1277096400"/>
    <b v="0"/>
    <b v="0"/>
    <s v="film &amp; video/drama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1.3308955223880596"/>
    <n v="307"/>
    <s v="US"/>
    <s v="USD"/>
    <n v="1328767200"/>
    <n v="1329026400"/>
    <b v="0"/>
    <b v="1"/>
    <s v="music/indie rock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0.01"/>
    <n v="1"/>
    <s v="US"/>
    <s v="USD"/>
    <n v="1321682400"/>
    <n v="1322978400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x v="1"/>
    <n v="2.0779999999999998"/>
    <n v="160"/>
    <s v="US"/>
    <s v="USD"/>
    <n v="1335934800"/>
    <n v="1338786000"/>
    <b v="0"/>
    <b v="0"/>
    <s v="music/electric music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0.51122448979591839"/>
    <n v="31"/>
    <s v="US"/>
    <s v="USD"/>
    <n v="1310792400"/>
    <n v="1311656400"/>
    <b v="0"/>
    <b v="1"/>
    <s v="games/video games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6.5205847953216374"/>
    <n v="1467"/>
    <s v="CA"/>
    <s v="CAD"/>
    <n v="1308546000"/>
    <n v="1308978000"/>
    <b v="0"/>
    <b v="1"/>
    <s v="music/indie rock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1.1363099415204678"/>
    <n v="2662"/>
    <s v="CA"/>
    <s v="CAD"/>
    <n v="1574056800"/>
    <n v="1576389600"/>
    <b v="0"/>
    <b v="0"/>
    <s v="publishing/fiction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1.0237606837606839"/>
    <n v="452"/>
    <s v="AU"/>
    <s v="AUD"/>
    <n v="1308373200"/>
    <n v="1311051600"/>
    <b v="0"/>
    <b v="0"/>
    <s v="theater/plays"/>
    <n v="53"/>
    <x v="3"/>
    <s v="plays"/>
    <x v="766"/>
    <d v="2011-07-19T05:00:00"/>
  </r>
  <r>
    <n v="856"/>
    <s v="Williams and Sons"/>
    <s v="Profound composite core"/>
    <n v="2400"/>
    <n v="8558"/>
    <x v="1"/>
    <n v="3.5658333333333334"/>
    <n v="158"/>
    <s v="US"/>
    <s v="USD"/>
    <n v="1335243600"/>
    <n v="1336712400"/>
    <b v="0"/>
    <b v="0"/>
    <s v="food/food trucks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1.3986792452830188"/>
    <n v="225"/>
    <s v="CH"/>
    <s v="CHF"/>
    <n v="1328421600"/>
    <n v="1330408800"/>
    <b v="1"/>
    <b v="0"/>
    <s v="film &amp; video/shorts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0.69450000000000001"/>
    <n v="35"/>
    <s v="US"/>
    <s v="USD"/>
    <n v="1524286800"/>
    <n v="1524891600"/>
    <b v="1"/>
    <b v="0"/>
    <s v="food/food trucks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0.35534246575342465"/>
    <n v="63"/>
    <s v="US"/>
    <s v="USD"/>
    <n v="1362117600"/>
    <n v="1363669200"/>
    <b v="0"/>
    <b v="1"/>
    <s v="theater/plays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2.5165000000000002"/>
    <n v="65"/>
    <s v="US"/>
    <s v="USD"/>
    <n v="1550556000"/>
    <n v="1551420000"/>
    <b v="0"/>
    <b v="1"/>
    <s v="technology/wearables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.0587500000000001"/>
    <n v="163"/>
    <s v="US"/>
    <s v="USD"/>
    <n v="1269147600"/>
    <n v="1269838800"/>
    <b v="0"/>
    <b v="0"/>
    <s v="theater/plays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1.8742857142857143"/>
    <n v="85"/>
    <s v="US"/>
    <s v="USD"/>
    <n v="1312174800"/>
    <n v="1312520400"/>
    <b v="0"/>
    <b v="0"/>
    <s v="theater/plays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3.8678571428571429"/>
    <n v="217"/>
    <s v="US"/>
    <s v="USD"/>
    <n v="1434517200"/>
    <n v="1436504400"/>
    <b v="0"/>
    <b v="1"/>
    <s v="film &amp; video/television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3.4707142857142856"/>
    <n v="150"/>
    <s v="US"/>
    <s v="USD"/>
    <n v="1471582800"/>
    <n v="1472014800"/>
    <b v="0"/>
    <b v="0"/>
    <s v="film &amp; video/shorts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1.8582098765432098"/>
    <n v="3272"/>
    <s v="US"/>
    <s v="USD"/>
    <n v="1410757200"/>
    <n v="1411534800"/>
    <b v="0"/>
    <b v="0"/>
    <s v="theater/plays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0.43241247264770238"/>
    <n v="898"/>
    <s v="US"/>
    <s v="USD"/>
    <n v="1304830800"/>
    <n v="1304917200"/>
    <b v="0"/>
    <b v="0"/>
    <s v="photography/photography books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1.6243749999999999"/>
    <n v="300"/>
    <s v="US"/>
    <s v="USD"/>
    <n v="1539061200"/>
    <n v="1539579600"/>
    <b v="0"/>
    <b v="0"/>
    <s v="food/food trucks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.8484285714285715"/>
    <n v="126"/>
    <s v="US"/>
    <s v="USD"/>
    <n v="1381554000"/>
    <n v="1382504400"/>
    <b v="0"/>
    <b v="0"/>
    <s v="theater/plays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0.23703520691785052"/>
    <n v="526"/>
    <s v="US"/>
    <s v="USD"/>
    <n v="1277096400"/>
    <n v="1278306000"/>
    <b v="0"/>
    <b v="0"/>
    <s v="film &amp; video/drama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0.89870129870129867"/>
    <n v="121"/>
    <s v="US"/>
    <s v="USD"/>
    <n v="1440392400"/>
    <n v="1442552400"/>
    <b v="0"/>
    <b v="0"/>
    <s v="theater/plays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.7260419580419581"/>
    <n v="2320"/>
    <s v="US"/>
    <s v="USD"/>
    <n v="1509512400"/>
    <n v="1511071200"/>
    <b v="0"/>
    <b v="1"/>
    <s v="theater/plays"/>
    <n v="84.013793103448279"/>
    <x v="3"/>
    <s v="plays"/>
    <x v="535"/>
    <d v="2017-11-19T06:00:00"/>
  </r>
  <r>
    <n v="872"/>
    <s v="Davis LLC"/>
    <s v="Compatible logistical paradigm"/>
    <n v="4700"/>
    <n v="7992"/>
    <x v="1"/>
    <n v="1.7004255319148935"/>
    <n v="81"/>
    <s v="AU"/>
    <s v="AUD"/>
    <n v="1535950800"/>
    <n v="1536382800"/>
    <b v="0"/>
    <b v="0"/>
    <s v="film &amp; video/science fiction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.8828503562945369"/>
    <n v="1887"/>
    <s v="US"/>
    <s v="USD"/>
    <n v="1389160800"/>
    <n v="1389592800"/>
    <b v="0"/>
    <b v="0"/>
    <s v="photography/photography books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3.4693532338308457"/>
    <n v="4358"/>
    <s v="US"/>
    <s v="USD"/>
    <n v="1271998800"/>
    <n v="1275282000"/>
    <b v="0"/>
    <b v="1"/>
    <s v="photography/photography books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0.6917721518987342"/>
    <n v="67"/>
    <s v="US"/>
    <s v="USD"/>
    <n v="1294898400"/>
    <n v="1294984800"/>
    <b v="0"/>
    <b v="0"/>
    <s v="music/rock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0.25433734939759034"/>
    <n v="57"/>
    <s v="CA"/>
    <s v="CAD"/>
    <n v="1559970000"/>
    <n v="1562043600"/>
    <b v="0"/>
    <b v="0"/>
    <s v="photography/photography books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0.77400977995110021"/>
    <n v="1229"/>
    <s v="US"/>
    <s v="USD"/>
    <n v="1469509200"/>
    <n v="1469595600"/>
    <b v="0"/>
    <b v="0"/>
    <s v="food/food trucks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0.37481481481481482"/>
    <n v="12"/>
    <s v="IT"/>
    <s v="EUR"/>
    <n v="1579068000"/>
    <n v="1581141600"/>
    <b v="0"/>
    <b v="0"/>
    <s v="music/metal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.4379999999999997"/>
    <n v="53"/>
    <s v="US"/>
    <s v="USD"/>
    <n v="1487743200"/>
    <n v="1488520800"/>
    <b v="0"/>
    <b v="0"/>
    <s v="publishing/nonfiction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.2852189349112426"/>
    <n v="2414"/>
    <s v="US"/>
    <s v="USD"/>
    <n v="1563685200"/>
    <n v="1563858000"/>
    <b v="0"/>
    <b v="0"/>
    <s v="music/electric music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0.38948339483394834"/>
    <n v="452"/>
    <s v="US"/>
    <s v="USD"/>
    <n v="1436418000"/>
    <n v="1438923600"/>
    <b v="0"/>
    <b v="1"/>
    <s v="theater/plays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3.7"/>
    <n v="80"/>
    <s v="US"/>
    <s v="USD"/>
    <n v="1421820000"/>
    <n v="1422165600"/>
    <b v="0"/>
    <b v="0"/>
    <s v="theater/plays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2.3791176470588233"/>
    <n v="193"/>
    <s v="US"/>
    <s v="USD"/>
    <n v="1274763600"/>
    <n v="1277874000"/>
    <b v="0"/>
    <b v="0"/>
    <s v="film &amp; video/shorts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0.64036299765807958"/>
    <n v="1886"/>
    <s v="US"/>
    <s v="USD"/>
    <n v="1399179600"/>
    <n v="1399352400"/>
    <b v="0"/>
    <b v="1"/>
    <s v="theater/plays"/>
    <n v="57.992576882290564"/>
    <x v="3"/>
    <s v="plays"/>
    <x v="791"/>
    <d v="2014-05-06T05:00:00"/>
  </r>
  <r>
    <n v="885"/>
    <s v="Lynch Ltd"/>
    <s v="Virtual analyzing collaboration"/>
    <n v="1800"/>
    <n v="2129"/>
    <x v="1"/>
    <n v="1.1827777777777777"/>
    <n v="52"/>
    <s v="US"/>
    <s v="USD"/>
    <n v="1275800400"/>
    <n v="1279083600"/>
    <b v="0"/>
    <b v="0"/>
    <s v="theater/plays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0.84824037184594958"/>
    <n v="1825"/>
    <s v="US"/>
    <s v="USD"/>
    <n v="1282798800"/>
    <n v="1284354000"/>
    <b v="0"/>
    <b v="0"/>
    <s v="music/indie rock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0.29346153846153844"/>
    <n v="31"/>
    <s v="US"/>
    <s v="USD"/>
    <n v="1437109200"/>
    <n v="1441170000"/>
    <b v="0"/>
    <b v="1"/>
    <s v="theater/plays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.0989655172413793"/>
    <n v="290"/>
    <s v="US"/>
    <s v="USD"/>
    <n v="1491886800"/>
    <n v="1493528400"/>
    <b v="0"/>
    <b v="0"/>
    <s v="theater/plays"/>
    <n v="41.979310344827589"/>
    <x v="3"/>
    <s v="plays"/>
    <x v="795"/>
    <d v="2017-04-30T05:00:00"/>
  </r>
  <r>
    <n v="889"/>
    <s v="Santos Group"/>
    <s v="Secured dynamic capacity"/>
    <n v="5600"/>
    <n v="9508"/>
    <x v="1"/>
    <n v="1.697857142857143"/>
    <n v="122"/>
    <s v="US"/>
    <s v="USD"/>
    <n v="1394600400"/>
    <n v="1395205200"/>
    <b v="0"/>
    <b v="1"/>
    <s v="music/electric music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.1595907738095239"/>
    <n v="1470"/>
    <s v="US"/>
    <s v="USD"/>
    <n v="1561352400"/>
    <n v="1561438800"/>
    <b v="0"/>
    <b v="0"/>
    <s v="music/indie rock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2.5859999999999999"/>
    <n v="165"/>
    <s v="CA"/>
    <s v="CAD"/>
    <n v="1322892000"/>
    <n v="1326693600"/>
    <b v="0"/>
    <b v="0"/>
    <s v="film &amp; video/documentary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2.3058333333333332"/>
    <n v="182"/>
    <s v="US"/>
    <s v="USD"/>
    <n v="1274418000"/>
    <n v="1277960400"/>
    <b v="0"/>
    <b v="0"/>
    <s v="publishing/translations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.2821428571428573"/>
    <n v="199"/>
    <s v="IT"/>
    <s v="EUR"/>
    <n v="1434344400"/>
    <n v="1434690000"/>
    <b v="0"/>
    <b v="1"/>
    <s v="film &amp; video/documentary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1.8870588235294117"/>
    <n v="56"/>
    <s v="GB"/>
    <s v="GBP"/>
    <n v="1373518800"/>
    <n v="1376110800"/>
    <b v="0"/>
    <b v="1"/>
    <s v="film &amp; video/television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6.9511889862327911E-2"/>
    <n v="107"/>
    <s v="US"/>
    <s v="USD"/>
    <n v="1517637600"/>
    <n v="1518415200"/>
    <b v="0"/>
    <b v="0"/>
    <s v="theater/plays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7.7443434343434348"/>
    <n v="1460"/>
    <s v="AU"/>
    <s v="AUD"/>
    <n v="1310619600"/>
    <n v="1310878800"/>
    <b v="0"/>
    <b v="1"/>
    <s v="food/food trucks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0.27693181818181817"/>
    <n v="27"/>
    <s v="US"/>
    <s v="USD"/>
    <n v="1556427600"/>
    <n v="1556600400"/>
    <b v="0"/>
    <b v="0"/>
    <s v="theater/plays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0.52479620323841425"/>
    <n v="1221"/>
    <s v="US"/>
    <s v="USD"/>
    <n v="1576476000"/>
    <n v="1576994400"/>
    <b v="0"/>
    <b v="0"/>
    <s v="film &amp; video/documentary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4.0709677419354842"/>
    <n v="123"/>
    <s v="CH"/>
    <s v="CHF"/>
    <n v="1381122000"/>
    <n v="1382677200"/>
    <b v="0"/>
    <b v="0"/>
    <s v="music/jazz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0.02"/>
    <n v="1"/>
    <s v="US"/>
    <s v="USD"/>
    <n v="1411102800"/>
    <n v="1411189200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x v="1"/>
    <n v="1.5617857142857143"/>
    <n v="159"/>
    <s v="US"/>
    <s v="USD"/>
    <n v="1531803600"/>
    <n v="1534654800"/>
    <b v="0"/>
    <b v="1"/>
    <s v="music/rock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2.5242857142857145"/>
    <n v="110"/>
    <s v="US"/>
    <s v="USD"/>
    <n v="1454133600"/>
    <n v="1457762400"/>
    <b v="0"/>
    <b v="0"/>
    <s v="technology/web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.729268292682927E-2"/>
    <n v="14"/>
    <s v="US"/>
    <s v="USD"/>
    <n v="1336194000"/>
    <n v="1337490000"/>
    <b v="0"/>
    <b v="1"/>
    <s v="publishing/nonfiction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0.12230769230769231"/>
    <n v="16"/>
    <s v="US"/>
    <s v="USD"/>
    <n v="1349326800"/>
    <n v="1349672400"/>
    <b v="0"/>
    <b v="0"/>
    <s v="publishing/radio &amp; podcasts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1.6398734177215191"/>
    <n v="236"/>
    <s v="US"/>
    <s v="USD"/>
    <n v="1379566800"/>
    <n v="1379826000"/>
    <b v="0"/>
    <b v="0"/>
    <s v="theater/plays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.6298181818181818"/>
    <n v="191"/>
    <s v="US"/>
    <s v="USD"/>
    <n v="1494651600"/>
    <n v="1497762000"/>
    <b v="1"/>
    <b v="1"/>
    <s v="film &amp; video/documentary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0.20252747252747252"/>
    <n v="41"/>
    <s v="US"/>
    <s v="USD"/>
    <n v="1303880400"/>
    <n v="1304485200"/>
    <b v="0"/>
    <b v="0"/>
    <s v="theater/plays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.1924083769633507"/>
    <n v="3934"/>
    <s v="US"/>
    <s v="USD"/>
    <n v="1335934800"/>
    <n v="1336885200"/>
    <b v="0"/>
    <b v="0"/>
    <s v="games/video games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4.7894444444444444"/>
    <n v="80"/>
    <s v="CA"/>
    <s v="CAD"/>
    <n v="1528088400"/>
    <n v="1530421200"/>
    <b v="0"/>
    <b v="1"/>
    <s v="theater/plays"/>
    <n v="107.7625"/>
    <x v="3"/>
    <s v="plays"/>
    <x v="384"/>
    <d v="2018-07-01T05:00:00"/>
  </r>
  <r>
    <n v="910"/>
    <s v="King-Morris"/>
    <s v="Proactive incremental architecture"/>
    <n v="154500"/>
    <n v="30215"/>
    <x v="3"/>
    <n v="0.19556634304207121"/>
    <n v="296"/>
    <s v="US"/>
    <s v="USD"/>
    <n v="1421906400"/>
    <n v="1421992800"/>
    <b v="0"/>
    <b v="0"/>
    <s v="theater/plays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1.9894827586206896"/>
    <n v="462"/>
    <s v="US"/>
    <s v="USD"/>
    <n v="1568005200"/>
    <n v="1568178000"/>
    <b v="1"/>
    <b v="0"/>
    <s v="technology/web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7.95"/>
    <n v="179"/>
    <s v="US"/>
    <s v="USD"/>
    <n v="1346821200"/>
    <n v="1347944400"/>
    <b v="1"/>
    <b v="0"/>
    <s v="film &amp; video/drama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0.50621082621082625"/>
    <n v="523"/>
    <s v="AU"/>
    <s v="AUD"/>
    <n v="1557637200"/>
    <n v="1558760400"/>
    <b v="0"/>
    <b v="0"/>
    <s v="film &amp; video/drama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0.57437499999999997"/>
    <n v="141"/>
    <s v="GB"/>
    <s v="GBP"/>
    <n v="1375592400"/>
    <n v="1376629200"/>
    <b v="0"/>
    <b v="0"/>
    <s v="theater/plays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.5562827640984909"/>
    <n v="1866"/>
    <s v="GB"/>
    <s v="GBP"/>
    <n v="1503982800"/>
    <n v="1504760400"/>
    <b v="0"/>
    <b v="0"/>
    <s v="film &amp; video/television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0.36297297297297298"/>
    <n v="52"/>
    <s v="US"/>
    <s v="USD"/>
    <n v="1418882400"/>
    <n v="1419660000"/>
    <b v="0"/>
    <b v="0"/>
    <s v="photography/photography books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0.58250000000000002"/>
    <n v="27"/>
    <s v="GB"/>
    <s v="GBP"/>
    <n v="1309237200"/>
    <n v="1311310800"/>
    <b v="0"/>
    <b v="1"/>
    <s v="film &amp; video/shorts"/>
    <n v="77.666666666666671"/>
    <x v="4"/>
    <s v="shorts"/>
    <x v="816"/>
    <d v="2011-07-22T05:00:00"/>
  </r>
  <r>
    <n v="918"/>
    <s v="Jones-Gonzalez"/>
    <s v="Seamless dynamic website"/>
    <n v="3800"/>
    <n v="9021"/>
    <x v="1"/>
    <n v="2.3739473684210526"/>
    <n v="156"/>
    <s v="CH"/>
    <s v="CHF"/>
    <n v="1343365200"/>
    <n v="1344315600"/>
    <b v="0"/>
    <b v="0"/>
    <s v="publishing/radio &amp; podcasts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0.58750000000000002"/>
    <n v="225"/>
    <s v="AU"/>
    <s v="AUD"/>
    <n v="1507957200"/>
    <n v="1510725600"/>
    <b v="0"/>
    <b v="1"/>
    <s v="theater/plays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1.8256603773584905"/>
    <n v="255"/>
    <s v="US"/>
    <s v="USD"/>
    <n v="1549519200"/>
    <n v="1551247200"/>
    <b v="1"/>
    <b v="0"/>
    <s v="film &amp; video/animation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7.5436408977556111E-3"/>
    <n v="38"/>
    <s v="US"/>
    <s v="USD"/>
    <n v="1329026400"/>
    <n v="1330236000"/>
    <b v="0"/>
    <b v="0"/>
    <s v="technology/web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1.7595330739299611"/>
    <n v="2261"/>
    <s v="US"/>
    <s v="USD"/>
    <n v="1544335200"/>
    <n v="1545112800"/>
    <b v="0"/>
    <b v="1"/>
    <s v="music/world music"/>
    <n v="40"/>
    <x v="1"/>
    <s v="world music"/>
    <x v="609"/>
    <d v="2018-12-18T06:00:00"/>
  </r>
  <r>
    <n v="923"/>
    <s v="Wise and Sons"/>
    <s v="Sharable discrete definition"/>
    <n v="1700"/>
    <n v="4044"/>
    <x v="1"/>
    <n v="2.3788235294117648"/>
    <n v="40"/>
    <s v="US"/>
    <s v="USD"/>
    <n v="1279083600"/>
    <n v="1279170000"/>
    <b v="0"/>
    <b v="0"/>
    <s v="theater/plays"/>
    <n v="101.1"/>
    <x v="3"/>
    <s v="plays"/>
    <x v="547"/>
    <d v="2010-07-15T05:00:00"/>
  </r>
  <r>
    <n v="924"/>
    <s v="Butler-Barr"/>
    <s v="User-friendly next generation core"/>
    <n v="39400"/>
    <n v="192292"/>
    <x v="1"/>
    <n v="4.8805076142131982"/>
    <n v="2289"/>
    <s v="IT"/>
    <s v="EUR"/>
    <n v="1572498000"/>
    <n v="1573452000"/>
    <b v="0"/>
    <b v="0"/>
    <s v="theater/plays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2.2406666666666668"/>
    <n v="65"/>
    <s v="US"/>
    <s v="USD"/>
    <n v="1506056400"/>
    <n v="1507093200"/>
    <b v="0"/>
    <b v="0"/>
    <s v="theater/plays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0.18126436781609195"/>
    <n v="15"/>
    <s v="US"/>
    <s v="USD"/>
    <n v="1463029200"/>
    <n v="1463374800"/>
    <b v="0"/>
    <b v="0"/>
    <s v="food/food trucks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0.45847222222222223"/>
    <n v="37"/>
    <s v="US"/>
    <s v="USD"/>
    <n v="1342069200"/>
    <n v="1344574800"/>
    <b v="0"/>
    <b v="0"/>
    <s v="theater/plays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1.1731541218637993"/>
    <n v="3777"/>
    <s v="IT"/>
    <s v="EUR"/>
    <n v="1388296800"/>
    <n v="1389074400"/>
    <b v="0"/>
    <b v="0"/>
    <s v="technology/web"/>
    <n v="51.995234312946785"/>
    <x v="2"/>
    <s v="web"/>
    <x v="823"/>
    <d v="2014-01-07T06:00:00"/>
  </r>
  <r>
    <n v="929"/>
    <s v="Turner-Terrell"/>
    <s v="Polarized tertiary function"/>
    <n v="5500"/>
    <n v="11952"/>
    <x v="1"/>
    <n v="2.173090909090909"/>
    <n v="184"/>
    <s v="GB"/>
    <s v="GBP"/>
    <n v="1493787600"/>
    <n v="1494997200"/>
    <b v="0"/>
    <b v="0"/>
    <s v="theater/plays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1.1228571428571428"/>
    <n v="85"/>
    <s v="US"/>
    <s v="USD"/>
    <n v="1424844000"/>
    <n v="1425448800"/>
    <b v="0"/>
    <b v="1"/>
    <s v="theater/plays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0.72518987341772156"/>
    <n v="112"/>
    <s v="US"/>
    <s v="USD"/>
    <n v="1403931600"/>
    <n v="1404104400"/>
    <b v="0"/>
    <b v="1"/>
    <s v="theater/plays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2.1230434782608696"/>
    <n v="144"/>
    <s v="US"/>
    <s v="USD"/>
    <n v="1394514000"/>
    <n v="1394773200"/>
    <b v="0"/>
    <b v="0"/>
    <s v="music/rock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2.3974657534246577"/>
    <n v="1902"/>
    <s v="US"/>
    <s v="USD"/>
    <n v="1365397200"/>
    <n v="1366520400"/>
    <b v="0"/>
    <b v="0"/>
    <s v="theater/plays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.8193548387096774"/>
    <n v="105"/>
    <s v="US"/>
    <s v="USD"/>
    <n v="1456120800"/>
    <n v="1456639200"/>
    <b v="0"/>
    <b v="0"/>
    <s v="theater/plays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.6413114754098361"/>
    <n v="132"/>
    <s v="US"/>
    <s v="USD"/>
    <n v="1437714000"/>
    <n v="1438318800"/>
    <b v="0"/>
    <b v="0"/>
    <s v="theater/plays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1.6375968992248063E-2"/>
    <n v="21"/>
    <s v="US"/>
    <s v="USD"/>
    <n v="1563771600"/>
    <n v="1564030800"/>
    <b v="1"/>
    <b v="0"/>
    <s v="theater/plays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0.49643859649122807"/>
    <n v="976"/>
    <s v="US"/>
    <s v="USD"/>
    <n v="1448517600"/>
    <n v="1449295200"/>
    <b v="0"/>
    <b v="0"/>
    <s v="film &amp; video/documentary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1.0970652173913042"/>
    <n v="96"/>
    <s v="US"/>
    <s v="USD"/>
    <n v="1528779600"/>
    <n v="1531890000"/>
    <b v="0"/>
    <b v="1"/>
    <s v="publishing/fiction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0.49217948717948717"/>
    <n v="67"/>
    <s v="US"/>
    <s v="USD"/>
    <n v="1304744400"/>
    <n v="1306213200"/>
    <b v="0"/>
    <b v="1"/>
    <s v="games/video games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0.62232323232323228"/>
    <n v="66"/>
    <s v="CA"/>
    <s v="CAD"/>
    <n v="1354341600"/>
    <n v="1356242400"/>
    <b v="0"/>
    <b v="0"/>
    <s v="technology/web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0.1305813953488372"/>
    <n v="78"/>
    <s v="US"/>
    <s v="USD"/>
    <n v="1294552800"/>
    <n v="1297576800"/>
    <b v="1"/>
    <b v="0"/>
    <s v="theater/plays"/>
    <n v="71.987179487179489"/>
    <x v="3"/>
    <s v="plays"/>
    <x v="836"/>
    <d v="2011-02-13T06:00:00"/>
  </r>
  <r>
    <n v="942"/>
    <s v="Allen Inc"/>
    <s v="Horizontal optimizing model"/>
    <n v="9600"/>
    <n v="6205"/>
    <x v="0"/>
    <n v="0.64635416666666667"/>
    <n v="67"/>
    <s v="AU"/>
    <s v="AUD"/>
    <n v="1295935200"/>
    <n v="1296194400"/>
    <b v="0"/>
    <b v="0"/>
    <s v="theater/plays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.5958666666666668"/>
    <n v="114"/>
    <s v="US"/>
    <s v="USD"/>
    <n v="1411534800"/>
    <n v="1414558800"/>
    <b v="0"/>
    <b v="0"/>
    <s v="food/food trucks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0.81420000000000003"/>
    <n v="263"/>
    <s v="AU"/>
    <s v="AUD"/>
    <n v="1486706400"/>
    <n v="1488348000"/>
    <b v="0"/>
    <b v="0"/>
    <s v="photography/photography books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0.32444767441860467"/>
    <n v="1691"/>
    <s v="US"/>
    <s v="USD"/>
    <n v="1333602000"/>
    <n v="1334898000"/>
    <b v="1"/>
    <b v="0"/>
    <s v="photography/photography books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9.9141184124918666E-2"/>
    <n v="181"/>
    <s v="US"/>
    <s v="USD"/>
    <n v="1308200400"/>
    <n v="1308373200"/>
    <b v="0"/>
    <b v="0"/>
    <s v="theater/plays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0.26694444444444443"/>
    <n v="13"/>
    <s v="US"/>
    <s v="USD"/>
    <n v="1411707600"/>
    <n v="1412312400"/>
    <b v="0"/>
    <b v="0"/>
    <s v="theater/plays"/>
    <n v="73.92307692307692"/>
    <x v="3"/>
    <s v="plays"/>
    <x v="840"/>
    <d v="2014-10-03T05:00:00"/>
  </r>
  <r>
    <n v="948"/>
    <s v="Smith-Hill"/>
    <s v="Integrated holistic paradigm"/>
    <n v="9400"/>
    <n v="5918"/>
    <x v="3"/>
    <n v="0.62957446808510642"/>
    <n v="160"/>
    <s v="US"/>
    <s v="USD"/>
    <n v="1418364000"/>
    <n v="1419228000"/>
    <b v="1"/>
    <b v="1"/>
    <s v="film &amp; video/documentary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1.6135593220338984"/>
    <n v="203"/>
    <s v="US"/>
    <s v="USD"/>
    <n v="1429333200"/>
    <n v="1430974800"/>
    <b v="0"/>
    <b v="0"/>
    <s v="technology/web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0.05"/>
    <n v="1"/>
    <s v="US"/>
    <s v="USD"/>
    <n v="1555390800"/>
    <n v="1555822800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x v="1"/>
    <n v="10.969379310344827"/>
    <n v="1559"/>
    <s v="US"/>
    <s v="USD"/>
    <n v="1482732000"/>
    <n v="1482818400"/>
    <b v="0"/>
    <b v="1"/>
    <s v="music/rock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0.70094158075601376"/>
    <n v="2266"/>
    <s v="US"/>
    <s v="USD"/>
    <n v="1470718800"/>
    <n v="1471928400"/>
    <b v="0"/>
    <b v="0"/>
    <s v="film &amp; video/documentary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0.6"/>
    <n v="21"/>
    <s v="US"/>
    <s v="USD"/>
    <n v="1450591200"/>
    <n v="1453701600"/>
    <b v="0"/>
    <b v="1"/>
    <s v="film &amp; video/science fiction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3.6709859154929578"/>
    <n v="1548"/>
    <s v="AU"/>
    <s v="AUD"/>
    <n v="1348290000"/>
    <n v="1350363600"/>
    <b v="0"/>
    <b v="0"/>
    <s v="technology/web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11.09"/>
    <n v="80"/>
    <s v="US"/>
    <s v="USD"/>
    <n v="1353823200"/>
    <n v="1353996000"/>
    <b v="0"/>
    <b v="0"/>
    <s v="theater/plays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0.19028784648187633"/>
    <n v="830"/>
    <s v="US"/>
    <s v="USD"/>
    <n v="1450764000"/>
    <n v="1451109600"/>
    <b v="0"/>
    <b v="0"/>
    <s v="film &amp; video/science fiction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.2687755102040816"/>
    <n v="131"/>
    <s v="US"/>
    <s v="USD"/>
    <n v="1329372000"/>
    <n v="1329631200"/>
    <b v="0"/>
    <b v="0"/>
    <s v="theater/plays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7.3463636363636367"/>
    <n v="112"/>
    <s v="US"/>
    <s v="USD"/>
    <n v="1277096400"/>
    <n v="1278997200"/>
    <b v="0"/>
    <b v="0"/>
    <s v="film &amp; video/animation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4.5731034482758622E-2"/>
    <n v="130"/>
    <s v="US"/>
    <s v="USD"/>
    <n v="1277701200"/>
    <n v="1280120400"/>
    <b v="0"/>
    <b v="0"/>
    <s v="publishing/translations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0.85054545454545449"/>
    <n v="55"/>
    <s v="US"/>
    <s v="USD"/>
    <n v="1454911200"/>
    <n v="1458104400"/>
    <b v="0"/>
    <b v="0"/>
    <s v="technology/web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.1929824561403508"/>
    <n v="155"/>
    <s v="US"/>
    <s v="USD"/>
    <n v="1297922400"/>
    <n v="1298268000"/>
    <b v="0"/>
    <b v="0"/>
    <s v="publishing/translations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.9602777777777778"/>
    <n v="266"/>
    <s v="US"/>
    <s v="USD"/>
    <n v="1384408800"/>
    <n v="1386223200"/>
    <b v="0"/>
    <b v="0"/>
    <s v="food/food trucks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0.84694915254237291"/>
    <n v="114"/>
    <s v="IT"/>
    <s v="EUR"/>
    <n v="1299304800"/>
    <n v="1299823200"/>
    <b v="0"/>
    <b v="1"/>
    <s v="photography/photography books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3.5578378378378379"/>
    <n v="155"/>
    <s v="US"/>
    <s v="USD"/>
    <n v="1431320400"/>
    <n v="1431752400"/>
    <b v="0"/>
    <b v="0"/>
    <s v="theater/plays"/>
    <n v="84.92903225806451"/>
    <x v="3"/>
    <s v="plays"/>
    <x v="854"/>
    <d v="2015-05-16T05:00:00"/>
  </r>
  <r>
    <n v="965"/>
    <s v="Nunez-King"/>
    <s v="Phased clear-thinking policy"/>
    <n v="2200"/>
    <n v="8501"/>
    <x v="1"/>
    <n v="3.8640909090909092"/>
    <n v="207"/>
    <s v="GB"/>
    <s v="GBP"/>
    <n v="1264399200"/>
    <n v="1267855200"/>
    <b v="0"/>
    <b v="0"/>
    <s v="music/rock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7.9223529411764702"/>
    <n v="245"/>
    <s v="US"/>
    <s v="USD"/>
    <n v="1497502800"/>
    <n v="1497675600"/>
    <b v="0"/>
    <b v="0"/>
    <s v="theater/plays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.3703393665158372"/>
    <n v="1573"/>
    <s v="US"/>
    <s v="USD"/>
    <n v="1333688400"/>
    <n v="1336885200"/>
    <b v="0"/>
    <b v="0"/>
    <s v="music/world music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3.3820833333333336"/>
    <n v="114"/>
    <s v="US"/>
    <s v="USD"/>
    <n v="1293861600"/>
    <n v="1295157600"/>
    <b v="0"/>
    <b v="0"/>
    <s v="food/food trucks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1.0822784810126582"/>
    <n v="93"/>
    <s v="US"/>
    <s v="USD"/>
    <n v="1576994400"/>
    <n v="1577599200"/>
    <b v="0"/>
    <b v="0"/>
    <s v="theater/plays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0.60757639620653314"/>
    <n v="594"/>
    <s v="US"/>
    <s v="USD"/>
    <n v="1304917200"/>
    <n v="1305003600"/>
    <b v="0"/>
    <b v="0"/>
    <s v="theater/plays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0.27725490196078434"/>
    <n v="24"/>
    <s v="US"/>
    <s v="USD"/>
    <n v="1381208400"/>
    <n v="1381726800"/>
    <b v="0"/>
    <b v="0"/>
    <s v="film &amp; video/television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2.283934426229508"/>
    <n v="1681"/>
    <s v="US"/>
    <s v="USD"/>
    <n v="1401685200"/>
    <n v="1402462800"/>
    <b v="0"/>
    <b v="1"/>
    <s v="technology/web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0.21615194054500414"/>
    <n v="252"/>
    <s v="US"/>
    <s v="USD"/>
    <n v="1291960800"/>
    <n v="1292133600"/>
    <b v="0"/>
    <b v="1"/>
    <s v="theater/plays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.73875"/>
    <n v="32"/>
    <s v="US"/>
    <s v="USD"/>
    <n v="1368853200"/>
    <n v="1368939600"/>
    <b v="0"/>
    <b v="0"/>
    <s v="music/indie rock"/>
    <n v="93.46875"/>
    <x v="1"/>
    <s v="indie rock"/>
    <x v="170"/>
    <d v="2013-05-19T05:00:00"/>
  </r>
  <r>
    <n v="975"/>
    <s v="Ayala Group"/>
    <s v="Right-sized maximized migration"/>
    <n v="5400"/>
    <n v="8366"/>
    <x v="1"/>
    <n v="1.5492592592592593"/>
    <n v="135"/>
    <s v="US"/>
    <s v="USD"/>
    <n v="1448776800"/>
    <n v="1452146400"/>
    <b v="0"/>
    <b v="1"/>
    <s v="theater/plays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3.2214999999999998"/>
    <n v="140"/>
    <s v="US"/>
    <s v="USD"/>
    <n v="1296194400"/>
    <n v="1296712800"/>
    <b v="0"/>
    <b v="1"/>
    <s v="theater/plays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0.73957142857142855"/>
    <n v="67"/>
    <s v="US"/>
    <s v="USD"/>
    <n v="1517983200"/>
    <n v="1520748000"/>
    <b v="0"/>
    <b v="0"/>
    <s v="food/food trucks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8.641"/>
    <n v="92"/>
    <s v="US"/>
    <s v="USD"/>
    <n v="1478930400"/>
    <n v="1480831200"/>
    <b v="0"/>
    <b v="0"/>
    <s v="games/video games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.432624584717608"/>
    <n v="1015"/>
    <s v="GB"/>
    <s v="GBP"/>
    <n v="1426395600"/>
    <n v="1426914000"/>
    <b v="0"/>
    <b v="0"/>
    <s v="theater/plays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0.40281762295081969"/>
    <n v="742"/>
    <s v="US"/>
    <s v="USD"/>
    <n v="1446181200"/>
    <n v="1446616800"/>
    <b v="1"/>
    <b v="0"/>
    <s v="publishing/nonfiction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1.7822388059701493"/>
    <n v="323"/>
    <s v="US"/>
    <s v="USD"/>
    <n v="1514181600"/>
    <n v="1517032800"/>
    <b v="0"/>
    <b v="0"/>
    <s v="technology/web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0.84930555555555554"/>
    <n v="75"/>
    <s v="US"/>
    <s v="USD"/>
    <n v="1311051600"/>
    <n v="1311224400"/>
    <b v="0"/>
    <b v="1"/>
    <s v="film &amp; video/documentary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1.4593648334624323"/>
    <n v="2326"/>
    <s v="US"/>
    <s v="USD"/>
    <n v="1564894800"/>
    <n v="1566190800"/>
    <b v="0"/>
    <b v="0"/>
    <s v="film &amp; video/documentary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1.5246153846153847"/>
    <n v="381"/>
    <s v="US"/>
    <s v="USD"/>
    <n v="1567918800"/>
    <n v="1570165200"/>
    <b v="0"/>
    <b v="0"/>
    <s v="theater/plays"/>
    <n v="26.010498687664043"/>
    <x v="3"/>
    <s v="plays"/>
    <x v="105"/>
    <d v="2019-10-04T05:00:00"/>
  </r>
  <r>
    <n v="985"/>
    <s v="Logan-Curtis"/>
    <s v="Enhanced optimal ability"/>
    <n v="170600"/>
    <n v="114523"/>
    <x v="0"/>
    <n v="0.67129542790152408"/>
    <n v="4405"/>
    <s v="US"/>
    <s v="USD"/>
    <n v="1386309600"/>
    <n v="1388556000"/>
    <b v="0"/>
    <b v="1"/>
    <s v="music/rock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0.40307692307692305"/>
    <n v="92"/>
    <s v="US"/>
    <s v="USD"/>
    <n v="1301979600"/>
    <n v="1303189200"/>
    <b v="0"/>
    <b v="0"/>
    <s v="music/rock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2.1679032258064517"/>
    <n v="480"/>
    <s v="US"/>
    <s v="USD"/>
    <n v="1493269200"/>
    <n v="1494478800"/>
    <b v="0"/>
    <b v="0"/>
    <s v="film &amp; video/documentary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0.52117021276595743"/>
    <n v="64"/>
    <s v="US"/>
    <s v="USD"/>
    <n v="1478930400"/>
    <n v="1480744800"/>
    <b v="0"/>
    <b v="0"/>
    <s v="publishing/radio &amp; podcasts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4.9958333333333336"/>
    <n v="226"/>
    <s v="US"/>
    <s v="USD"/>
    <n v="1555390800"/>
    <n v="1555822800"/>
    <b v="0"/>
    <b v="0"/>
    <s v="publishing/translations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0.87679487179487181"/>
    <n v="64"/>
    <s v="US"/>
    <s v="USD"/>
    <n v="1456984800"/>
    <n v="1458882000"/>
    <b v="0"/>
    <b v="1"/>
    <s v="film &amp; video/drama"/>
    <n v="106.859375"/>
    <x v="4"/>
    <s v="drama"/>
    <x v="289"/>
    <d v="2016-03-25T05:00:00"/>
  </r>
  <r>
    <n v="991"/>
    <s v="Ramirez LLC"/>
    <s v="Reduced reciprocal focus group"/>
    <n v="9800"/>
    <n v="11091"/>
    <x v="1"/>
    <n v="1.131734693877551"/>
    <n v="241"/>
    <s v="US"/>
    <s v="USD"/>
    <n v="1411621200"/>
    <n v="1411966800"/>
    <b v="0"/>
    <b v="1"/>
    <s v="music/rock"/>
    <n v="46.020746887966808"/>
    <x v="1"/>
    <s v="rock"/>
    <x v="870"/>
    <d v="2014-09-29T05:00:00"/>
  </r>
  <r>
    <n v="992"/>
    <s v="Morrow Inc"/>
    <s v="Networked global migration"/>
    <n v="3100"/>
    <n v="13223"/>
    <x v="1"/>
    <n v="4.2654838709677421"/>
    <n v="132"/>
    <s v="US"/>
    <s v="USD"/>
    <n v="1525669200"/>
    <n v="1526878800"/>
    <b v="0"/>
    <b v="1"/>
    <s v="film &amp; video/drama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0.77632653061224488"/>
    <n v="75"/>
    <s v="IT"/>
    <s v="EUR"/>
    <n v="1450936800"/>
    <n v="1452405600"/>
    <b v="0"/>
    <b v="1"/>
    <s v="photography/photography books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0.52496810772501767"/>
    <n v="842"/>
    <s v="US"/>
    <s v="USD"/>
    <n v="1413522000"/>
    <n v="1414040400"/>
    <b v="0"/>
    <b v="1"/>
    <s v="publishing/translations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1.5746762589928058"/>
    <n v="2043"/>
    <s v="US"/>
    <s v="USD"/>
    <n v="1541307600"/>
    <n v="1543816800"/>
    <b v="0"/>
    <b v="1"/>
    <s v="food/food trucks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0.72939393939393937"/>
    <n v="112"/>
    <s v="US"/>
    <s v="USD"/>
    <n v="1357106400"/>
    <n v="1359698400"/>
    <b v="0"/>
    <b v="0"/>
    <s v="theater/plays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0.60565789473684206"/>
    <n v="139"/>
    <s v="IT"/>
    <s v="EUR"/>
    <n v="1390197600"/>
    <n v="1390629600"/>
    <b v="0"/>
    <b v="0"/>
    <s v="theater/plays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0.5679129129129129"/>
    <n v="374"/>
    <s v="US"/>
    <s v="USD"/>
    <n v="1265868000"/>
    <n v="1267077600"/>
    <b v="0"/>
    <b v="1"/>
    <s v="music/indie rock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0.56542754275427543"/>
    <n v="1122"/>
    <s v="US"/>
    <s v="USD"/>
    <n v="1467176400"/>
    <n v="1467781200"/>
    <b v="0"/>
    <b v="0"/>
    <s v="food/food trucks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F217C-DC0F-6C4F-AA46-22C23EACDED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11F08-7719-E64F-B011-1B1ED9E5A42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9">
    <chartFormat chart="0" format="3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37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A334F6-3A6E-494D-BC45-584ABE440AB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9">
    <chartFormat chart="0" format="1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366A2E-B06E-D74B-A463-AD52AC98BCE6}" name="Table2" displayName="Table2" ref="A22:C31" totalsRowShown="0">
  <autoFilter ref="A22:C31" xr:uid="{94366A2E-B06E-D74B-A463-AD52AC98BCE6}"/>
  <sortState xmlns:xlrd2="http://schemas.microsoft.com/office/spreadsheetml/2017/richdata2" ref="A23:C31">
    <sortCondition ref="C22:C31"/>
  </sortState>
  <tableColumns count="3">
    <tableColumn id="1" xr3:uid="{495486C9-7AF9-0343-9224-9EDE1C714CCA}" name="Column1" dataDxfId="12"/>
    <tableColumn id="2" xr3:uid="{A729E06C-8518-0F49-A3BB-F3751DE38846}" name="failed">
      <calculatedColumnFormula>C6/F6</calculatedColumnFormula>
    </tableColumn>
    <tableColumn id="3" xr3:uid="{42DE1E03-2866-F948-8A37-0DEB4CC33174}" name="succ">
      <calculatedColumnFormula>E6/F6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7"/>
  <sheetViews>
    <sheetView tabSelected="1" workbookViewId="0">
      <selection activeCell="H1" sqref="H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10.6640625" customWidth="1"/>
    <col min="5" max="5" width="12.6640625" bestFit="1" customWidth="1"/>
    <col min="7" max="7" width="14.6640625" bestFit="1" customWidth="1"/>
    <col min="8" max="8" width="18" bestFit="1" customWidth="1"/>
    <col min="9" max="9" width="16" bestFit="1" customWidth="1"/>
    <col min="12" max="12" width="16.1640625" bestFit="1" customWidth="1"/>
    <col min="13" max="13" width="13.1640625" bestFit="1" customWidth="1"/>
    <col min="14" max="14" width="14.33203125" bestFit="1" customWidth="1"/>
    <col min="15" max="15" width="13.33203125" bestFit="1" customWidth="1"/>
    <col min="16" max="16" width="27.83203125" customWidth="1"/>
    <col min="19" max="19" width="21.83203125" bestFit="1" customWidth="1"/>
    <col min="20" max="20" width="20.33203125" bestFit="1" customWidth="1"/>
  </cols>
  <sheetData>
    <row r="1" spans="1:25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2033</v>
      </c>
      <c r="S1" s="1" t="s">
        <v>2072</v>
      </c>
      <c r="T1" s="1" t="s">
        <v>2073</v>
      </c>
      <c r="V1" s="1" t="s">
        <v>14</v>
      </c>
      <c r="W1" s="1" t="s">
        <v>20</v>
      </c>
      <c r="X1" s="1" t="s">
        <v>2087</v>
      </c>
      <c r="Y1" s="1" t="s">
        <v>47</v>
      </c>
    </row>
    <row r="2" spans="1:25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 t="shared" ref="G2:G65" si="0">E2/D2</f>
        <v>0</v>
      </c>
      <c r="H2">
        <v>0</v>
      </c>
      <c r="I2" s="6">
        <f t="shared" ref="I2:I65" si="1">IF(E2,E2/H2,0)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 "/")</f>
        <v>food</v>
      </c>
      <c r="R2" t="str">
        <v>food trucks</v>
      </c>
      <c r="S2" s="10">
        <f t="shared" ref="S2:S65" si="2">(((L2/60)/60)/24)+DATE(1970,1,1)</f>
        <v>42336.25</v>
      </c>
      <c r="T2" s="11">
        <f t="shared" ref="T2:T65" si="3">(((M2/60)/60)/24)+DATE(1970,1,1)</f>
        <v>42353.25</v>
      </c>
      <c r="V2">
        <f>COUNTIF(F2:F1001,"failed")</f>
        <v>364</v>
      </c>
      <c r="W2">
        <f>COUNTIF(F2:F1001,"successful")</f>
        <v>565</v>
      </c>
      <c r="X2">
        <f>COUNTIF(F2:F1001,"canceled")</f>
        <v>57</v>
      </c>
      <c r="Y2">
        <f>COUNTIF(F2:F1001,"live")</f>
        <v>14</v>
      </c>
    </row>
    <row r="3" spans="1:25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 t="shared" si="0"/>
        <v>10.4</v>
      </c>
      <c r="H3">
        <v>158</v>
      </c>
      <c r="I3" s="6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 "/")</f>
        <v>music</v>
      </c>
      <c r="R3" t="str">
        <v>rock</v>
      </c>
      <c r="S3" s="10">
        <f t="shared" si="2"/>
        <v>41870.208333333336</v>
      </c>
      <c r="T3" s="11">
        <f t="shared" si="3"/>
        <v>41872.208333333336</v>
      </c>
      <c r="V3" s="9">
        <f>V2/1000</f>
        <v>0.36399999999999999</v>
      </c>
      <c r="W3" s="9">
        <f t="shared" ref="W3:Y3" si="4">W2/1000</f>
        <v>0.56499999999999995</v>
      </c>
      <c r="X3" s="9">
        <f t="shared" si="4"/>
        <v>5.7000000000000002E-2</v>
      </c>
      <c r="Y3" s="9">
        <f t="shared" si="4"/>
        <v>1.4E-2</v>
      </c>
    </row>
    <row r="4" spans="1:25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si="0"/>
        <v>1.3147878228782288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 "/")</f>
        <v>technology</v>
      </c>
      <c r="R4" t="str">
        <v>web</v>
      </c>
      <c r="S4" s="10">
        <f t="shared" si="2"/>
        <v>41595.25</v>
      </c>
      <c r="T4" s="11">
        <f t="shared" si="3"/>
        <v>41597.25</v>
      </c>
    </row>
    <row r="5" spans="1:25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 t="shared" si="0"/>
        <v>0.58976190476190471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 "/")</f>
        <v>music</v>
      </c>
      <c r="R5" t="str">
        <v>rock</v>
      </c>
      <c r="S5" s="10">
        <f t="shared" si="2"/>
        <v>43688.208333333328</v>
      </c>
      <c r="T5" s="11">
        <f t="shared" si="3"/>
        <v>43728.208333333328</v>
      </c>
    </row>
    <row r="6" spans="1:25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0"/>
        <v>0.69276315789473686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 "/")</f>
        <v>theater</v>
      </c>
      <c r="R6" t="str">
        <v>plays</v>
      </c>
      <c r="S6" s="10">
        <f t="shared" si="2"/>
        <v>43485.25</v>
      </c>
      <c r="T6" s="11">
        <f t="shared" si="3"/>
        <v>43489.25</v>
      </c>
    </row>
    <row r="7" spans="1:25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0"/>
        <v>1.7361842105263159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 "/")</f>
        <v>theater</v>
      </c>
      <c r="R7" t="str">
        <v>plays</v>
      </c>
      <c r="S7" s="10">
        <f t="shared" si="2"/>
        <v>41149.208333333336</v>
      </c>
      <c r="T7" s="11">
        <f t="shared" si="3"/>
        <v>41160.208333333336</v>
      </c>
    </row>
    <row r="8" spans="1:25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0"/>
        <v>0.20961538461538462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 "/")</f>
        <v>film &amp; video</v>
      </c>
      <c r="R8" t="str">
        <v>documentary</v>
      </c>
      <c r="S8" s="10">
        <f t="shared" si="2"/>
        <v>42991.208333333328</v>
      </c>
      <c r="T8" s="11">
        <f t="shared" si="3"/>
        <v>42992.208333333328</v>
      </c>
    </row>
    <row r="9" spans="1:25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0"/>
        <v>3.2757777777777779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 "/")</f>
        <v>theater</v>
      </c>
      <c r="R9" t="str">
        <v>plays</v>
      </c>
      <c r="S9" s="10">
        <f t="shared" si="2"/>
        <v>42229.208333333328</v>
      </c>
      <c r="T9" s="11">
        <f t="shared" si="3"/>
        <v>42231.208333333328</v>
      </c>
    </row>
    <row r="10" spans="1:25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0"/>
        <v>0.19932788374205268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 "/")</f>
        <v>theater</v>
      </c>
      <c r="R10" t="str">
        <v>plays</v>
      </c>
      <c r="S10" s="10">
        <f t="shared" si="2"/>
        <v>40399.208333333336</v>
      </c>
      <c r="T10" s="11">
        <f t="shared" si="3"/>
        <v>40401.208333333336</v>
      </c>
    </row>
    <row r="11" spans="1:25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0"/>
        <v>0.51741935483870971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 "/")</f>
        <v>music</v>
      </c>
      <c r="R11" t="str">
        <v>electric music</v>
      </c>
      <c r="S11" s="10">
        <f t="shared" si="2"/>
        <v>41536.208333333336</v>
      </c>
      <c r="T11" s="11">
        <f t="shared" si="3"/>
        <v>41585.25</v>
      </c>
    </row>
    <row r="12" spans="1:25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0"/>
        <v>2.6611538461538462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 "/")</f>
        <v>film &amp; video</v>
      </c>
      <c r="R12" t="str">
        <v>drama</v>
      </c>
      <c r="S12" s="10">
        <f t="shared" si="2"/>
        <v>40404.208333333336</v>
      </c>
      <c r="T12" s="11">
        <f t="shared" si="3"/>
        <v>40452.208333333336</v>
      </c>
    </row>
    <row r="13" spans="1:25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0"/>
        <v>0.48095238095238096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 "/")</f>
        <v>theater</v>
      </c>
      <c r="R13" t="str">
        <v>plays</v>
      </c>
      <c r="S13" s="10">
        <f t="shared" si="2"/>
        <v>40442.208333333336</v>
      </c>
      <c r="T13" s="11">
        <f t="shared" si="3"/>
        <v>40448.208333333336</v>
      </c>
    </row>
    <row r="14" spans="1:25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0"/>
        <v>0.89349206349206345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 "/")</f>
        <v>film &amp; video</v>
      </c>
      <c r="R14" t="str">
        <v>drama</v>
      </c>
      <c r="S14" s="10">
        <f t="shared" si="2"/>
        <v>43760.208333333328</v>
      </c>
      <c r="T14" s="11">
        <f t="shared" si="3"/>
        <v>43768.208333333328</v>
      </c>
    </row>
    <row r="15" spans="1:25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0"/>
        <v>2.4511904761904764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 "/")</f>
        <v>music</v>
      </c>
      <c r="R15" t="str">
        <v>indie rock</v>
      </c>
      <c r="S15" s="10">
        <f t="shared" si="2"/>
        <v>42532.208333333328</v>
      </c>
      <c r="T15" s="11">
        <f t="shared" si="3"/>
        <v>42544.208333333328</v>
      </c>
    </row>
    <row r="16" spans="1:25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0"/>
        <v>0.66769503546099296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 "/")</f>
        <v>music</v>
      </c>
      <c r="R16" t="str">
        <v>indie rock</v>
      </c>
      <c r="S16" s="10">
        <f t="shared" si="2"/>
        <v>40974.25</v>
      </c>
      <c r="T16" s="11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0"/>
        <v>0.47307881773399013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 "/")</f>
        <v>technology</v>
      </c>
      <c r="R17" t="str">
        <v>wearables</v>
      </c>
      <c r="S17" s="10">
        <f t="shared" si="2"/>
        <v>43809.25</v>
      </c>
      <c r="T17" s="11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0"/>
        <v>6.4947058823529416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 "/")</f>
        <v>publishing</v>
      </c>
      <c r="R18" t="str">
        <v>nonfiction</v>
      </c>
      <c r="S18" s="10">
        <f t="shared" si="2"/>
        <v>41661.25</v>
      </c>
      <c r="T18" s="11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0"/>
        <v>1.5939125295508274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 "/")</f>
        <v>film &amp; video</v>
      </c>
      <c r="R19" t="str">
        <v>animation</v>
      </c>
      <c r="S19" s="10">
        <f t="shared" si="2"/>
        <v>40555.25</v>
      </c>
      <c r="T19" s="11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0"/>
        <v>0.66912087912087914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 "/")</f>
        <v>theater</v>
      </c>
      <c r="R20" t="str">
        <v>plays</v>
      </c>
      <c r="S20" s="10">
        <f t="shared" si="2"/>
        <v>43351.208333333328</v>
      </c>
      <c r="T20" s="11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0"/>
        <v>0.48529600000000001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 "/")</f>
        <v>theater</v>
      </c>
      <c r="R21" t="str">
        <v>plays</v>
      </c>
      <c r="S21" s="10">
        <f t="shared" si="2"/>
        <v>43528.25</v>
      </c>
      <c r="T21" s="11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0"/>
        <v>1.1224279210925645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 "/")</f>
        <v>film &amp; video</v>
      </c>
      <c r="R22" t="str">
        <v>drama</v>
      </c>
      <c r="S22" s="10">
        <f t="shared" si="2"/>
        <v>41848.208333333336</v>
      </c>
      <c r="T22" s="11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0"/>
        <v>0.40992553191489361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 "/")</f>
        <v>theater</v>
      </c>
      <c r="R23" t="str">
        <v>plays</v>
      </c>
      <c r="S23" s="10">
        <f t="shared" si="2"/>
        <v>40770.208333333336</v>
      </c>
      <c r="T23" s="11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0"/>
        <v>1.2807106598984772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 "/")</f>
        <v>theater</v>
      </c>
      <c r="R24" t="str">
        <v>plays</v>
      </c>
      <c r="S24" s="10">
        <f t="shared" si="2"/>
        <v>43193.208333333328</v>
      </c>
      <c r="T24" s="11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0"/>
        <v>3.3204444444444445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 "/")</f>
        <v>film &amp; video</v>
      </c>
      <c r="R25" t="str">
        <v>documentary</v>
      </c>
      <c r="S25" s="10">
        <f t="shared" si="2"/>
        <v>43510.25</v>
      </c>
      <c r="T25" s="11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0"/>
        <v>1.1283225108225108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 "/")</f>
        <v>technology</v>
      </c>
      <c r="R26" t="str">
        <v>wearables</v>
      </c>
      <c r="S26" s="10">
        <f t="shared" si="2"/>
        <v>41811.208333333336</v>
      </c>
      <c r="T26" s="11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0"/>
        <v>2.1643636363636363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 "/")</f>
        <v>games</v>
      </c>
      <c r="R27" t="str">
        <v>video games</v>
      </c>
      <c r="S27" s="10">
        <f t="shared" si="2"/>
        <v>40681.208333333336</v>
      </c>
      <c r="T27" s="11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0"/>
        <v>0.4819906976744186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 "/")</f>
        <v>theater</v>
      </c>
      <c r="R28" t="str">
        <v>plays</v>
      </c>
      <c r="S28" s="10">
        <f t="shared" si="2"/>
        <v>43312.208333333328</v>
      </c>
      <c r="T28" s="11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 t="shared" si="0"/>
        <v>0.79949999999999999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 "/")</f>
        <v>music</v>
      </c>
      <c r="R29" t="str">
        <v>rock</v>
      </c>
      <c r="S29" s="10">
        <f t="shared" si="2"/>
        <v>42280.208333333328</v>
      </c>
      <c r="T29" s="11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0"/>
        <v>1.0522553516819573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 "/")</f>
        <v>theater</v>
      </c>
      <c r="R30" t="str">
        <v>plays</v>
      </c>
      <c r="S30" s="10">
        <f t="shared" si="2"/>
        <v>40218.25</v>
      </c>
      <c r="T30" s="11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0"/>
        <v>3.2889978213507627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 "/")</f>
        <v>film &amp; video</v>
      </c>
      <c r="R31" t="str">
        <v>shorts</v>
      </c>
      <c r="S31" s="10">
        <f t="shared" si="2"/>
        <v>43301.208333333328</v>
      </c>
      <c r="T31" s="11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0"/>
        <v>1.606111111111111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 "/")</f>
        <v>film &amp; video</v>
      </c>
      <c r="R32" t="str">
        <v>animation</v>
      </c>
      <c r="S32" s="10">
        <f t="shared" si="2"/>
        <v>43609.208333333328</v>
      </c>
      <c r="T32" s="11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0"/>
        <v>3.1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 "/")</f>
        <v>games</v>
      </c>
      <c r="R33" t="str">
        <v>video games</v>
      </c>
      <c r="S33" s="10">
        <f t="shared" si="2"/>
        <v>42374.25</v>
      </c>
      <c r="T33" s="11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0"/>
        <v>0.86807920792079207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 "/")</f>
        <v>film &amp; video</v>
      </c>
      <c r="R34" t="str">
        <v>documentary</v>
      </c>
      <c r="S34" s="10">
        <f t="shared" si="2"/>
        <v>43110.25</v>
      </c>
      <c r="T34" s="11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0"/>
        <v>3.7782071713147412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 "/")</f>
        <v>theater</v>
      </c>
      <c r="R35" t="str">
        <v>plays</v>
      </c>
      <c r="S35" s="10">
        <f t="shared" si="2"/>
        <v>41917.208333333336</v>
      </c>
      <c r="T35" s="11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0"/>
        <v>1.5080645161290323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 "/")</f>
        <v>film &amp; video</v>
      </c>
      <c r="R36" t="str">
        <v>documentary</v>
      </c>
      <c r="S36" s="10">
        <f t="shared" si="2"/>
        <v>42817.208333333328</v>
      </c>
      <c r="T36" s="11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0"/>
        <v>1.5030119521912351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 "/")</f>
        <v>film &amp; video</v>
      </c>
      <c r="R37" t="str">
        <v>drama</v>
      </c>
      <c r="S37" s="10">
        <f t="shared" si="2"/>
        <v>43484.25</v>
      </c>
      <c r="T37" s="11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0"/>
        <v>1.572857142857143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 "/")</f>
        <v>theater</v>
      </c>
      <c r="R38" t="str">
        <v>plays</v>
      </c>
      <c r="S38" s="10">
        <f t="shared" si="2"/>
        <v>40600.25</v>
      </c>
      <c r="T38" s="11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0"/>
        <v>1.3998765432098765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 "/")</f>
        <v>publishing</v>
      </c>
      <c r="R39" t="str">
        <v>fiction</v>
      </c>
      <c r="S39" s="10">
        <f t="shared" si="2"/>
        <v>43744.208333333328</v>
      </c>
      <c r="T39" s="11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0"/>
        <v>3.2532258064516131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 "/")</f>
        <v>photography</v>
      </c>
      <c r="R40" t="str">
        <v>photography books</v>
      </c>
      <c r="S40" s="10">
        <f t="shared" si="2"/>
        <v>40469.208333333336</v>
      </c>
      <c r="T40" s="11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0"/>
        <v>0.50777777777777777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 "/")</f>
        <v>theater</v>
      </c>
      <c r="R41" t="str">
        <v>plays</v>
      </c>
      <c r="S41" s="10">
        <f t="shared" si="2"/>
        <v>41330.25</v>
      </c>
      <c r="T41" s="11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0"/>
        <v>1.6906818181818182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 "/")</f>
        <v>technology</v>
      </c>
      <c r="R42" t="str">
        <v>wearables</v>
      </c>
      <c r="S42" s="10">
        <f t="shared" si="2"/>
        <v>40334.208333333336</v>
      </c>
      <c r="T42" s="11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0"/>
        <v>2.1292857142857144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 "/")</f>
        <v>music</v>
      </c>
      <c r="R43" t="str">
        <v>rock</v>
      </c>
      <c r="S43" s="10">
        <f t="shared" si="2"/>
        <v>41156.208333333336</v>
      </c>
      <c r="T43" s="11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0"/>
        <v>4.4394444444444447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 "/")</f>
        <v>food</v>
      </c>
      <c r="R44" t="str">
        <v>food trucks</v>
      </c>
      <c r="S44" s="10">
        <f t="shared" si="2"/>
        <v>40728.208333333336</v>
      </c>
      <c r="T44" s="11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0"/>
        <v>1.859390243902439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 "/")</f>
        <v>publishing</v>
      </c>
      <c r="R45" t="str">
        <v>radio &amp; podcasts</v>
      </c>
      <c r="S45" s="10">
        <f t="shared" si="2"/>
        <v>41844.208333333336</v>
      </c>
      <c r="T45" s="11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0"/>
        <v>6.5881249999999998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 "/")</f>
        <v>publishing</v>
      </c>
      <c r="R46" t="str">
        <v>fiction</v>
      </c>
      <c r="S46" s="10">
        <f t="shared" si="2"/>
        <v>43541.208333333328</v>
      </c>
      <c r="T46" s="11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0"/>
        <v>0.4768421052631579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 "/")</f>
        <v>theater</v>
      </c>
      <c r="R47" t="str">
        <v>plays</v>
      </c>
      <c r="S47" s="10">
        <f t="shared" si="2"/>
        <v>42676.208333333328</v>
      </c>
      <c r="T47" s="11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0"/>
        <v>1.1478378378378378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 "/")</f>
        <v>music</v>
      </c>
      <c r="R48" t="str">
        <v>rock</v>
      </c>
      <c r="S48" s="10">
        <f t="shared" si="2"/>
        <v>40367.208333333336</v>
      </c>
      <c r="T48" s="11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0"/>
        <v>4.7526666666666664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 "/")</f>
        <v>theater</v>
      </c>
      <c r="R49" t="str">
        <v>plays</v>
      </c>
      <c r="S49" s="10">
        <f t="shared" si="2"/>
        <v>41727.208333333336</v>
      </c>
      <c r="T49" s="11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0"/>
        <v>3.86972972972973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 "/")</f>
        <v>theater</v>
      </c>
      <c r="R50" t="str">
        <v>plays</v>
      </c>
      <c r="S50" s="10">
        <f t="shared" si="2"/>
        <v>42180.208333333328</v>
      </c>
      <c r="T50" s="11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0"/>
        <v>1.89625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 "/")</f>
        <v>music</v>
      </c>
      <c r="R51" t="str">
        <v>rock</v>
      </c>
      <c r="S51" s="10">
        <f t="shared" si="2"/>
        <v>43758.208333333328</v>
      </c>
      <c r="T51" s="11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0"/>
        <v>0.02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 "/")</f>
        <v>music</v>
      </c>
      <c r="R52" t="str">
        <v>metal</v>
      </c>
      <c r="S52" s="10">
        <f t="shared" si="2"/>
        <v>41487.208333333336</v>
      </c>
      <c r="T52" s="11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0"/>
        <v>0.91867805186590767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 "/")</f>
        <v>technology</v>
      </c>
      <c r="R53" t="str">
        <v>wearables</v>
      </c>
      <c r="S53" s="10">
        <f t="shared" si="2"/>
        <v>40995.208333333336</v>
      </c>
      <c r="T53" s="11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0"/>
        <v>0.34152777777777776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 "/")</f>
        <v>theater</v>
      </c>
      <c r="R54" t="str">
        <v>plays</v>
      </c>
      <c r="S54" s="10">
        <f t="shared" si="2"/>
        <v>40436.208333333336</v>
      </c>
      <c r="T54" s="11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0"/>
        <v>1.4040909090909091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 "/")</f>
        <v>film &amp; video</v>
      </c>
      <c r="R55" t="str">
        <v>drama</v>
      </c>
      <c r="S55" s="10">
        <f t="shared" si="2"/>
        <v>41779.208333333336</v>
      </c>
      <c r="T55" s="11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0"/>
        <v>0.89866666666666661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 "/")</f>
        <v>technology</v>
      </c>
      <c r="R56" t="str">
        <v>wearables</v>
      </c>
      <c r="S56" s="10">
        <f t="shared" si="2"/>
        <v>43170.25</v>
      </c>
      <c r="T56" s="11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0"/>
        <v>1.7796969696969698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 "/")</f>
        <v>music</v>
      </c>
      <c r="R57" t="str">
        <v>jazz</v>
      </c>
      <c r="S57" s="10">
        <f t="shared" si="2"/>
        <v>43311.208333333328</v>
      </c>
      <c r="T57" s="11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0"/>
        <v>1.436625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 "/")</f>
        <v>technology</v>
      </c>
      <c r="R58" t="str">
        <v>wearables</v>
      </c>
      <c r="S58" s="10">
        <f t="shared" si="2"/>
        <v>42014.25</v>
      </c>
      <c r="T58" s="11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0"/>
        <v>2.1527586206896552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 "/")</f>
        <v>games</v>
      </c>
      <c r="R59" t="str">
        <v>video games</v>
      </c>
      <c r="S59" s="10">
        <f t="shared" si="2"/>
        <v>42979.208333333328</v>
      </c>
      <c r="T59" s="11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0"/>
        <v>2.2711111111111113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 "/")</f>
        <v>theater</v>
      </c>
      <c r="R60" t="str">
        <v>plays</v>
      </c>
      <c r="S60" s="10">
        <f t="shared" si="2"/>
        <v>42268.208333333328</v>
      </c>
      <c r="T60" s="11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0"/>
        <v>2.7507142857142859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 "/")</f>
        <v>theater</v>
      </c>
      <c r="R61" t="str">
        <v>plays</v>
      </c>
      <c r="S61" s="10">
        <f t="shared" si="2"/>
        <v>42898.208333333328</v>
      </c>
      <c r="T61" s="11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0"/>
        <v>1.4437048832271762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 "/")</f>
        <v>theater</v>
      </c>
      <c r="R62" t="str">
        <v>plays</v>
      </c>
      <c r="S62" s="10">
        <f t="shared" si="2"/>
        <v>41107.208333333336</v>
      </c>
      <c r="T62" s="11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0"/>
        <v>0.92745983935742971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 "/")</f>
        <v>theater</v>
      </c>
      <c r="R63" t="str">
        <v>plays</v>
      </c>
      <c r="S63" s="10">
        <f t="shared" si="2"/>
        <v>40595.25</v>
      </c>
      <c r="T63" s="11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0"/>
        <v>7.226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 "/")</f>
        <v>technology</v>
      </c>
      <c r="R64" t="str">
        <v>web</v>
      </c>
      <c r="S64" s="10">
        <f t="shared" si="2"/>
        <v>42160.208333333328</v>
      </c>
      <c r="T64" s="11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0"/>
        <v>0.11851063829787234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 "/")</f>
        <v>theater</v>
      </c>
      <c r="R65" t="str">
        <v>plays</v>
      </c>
      <c r="S65" s="10">
        <f t="shared" si="2"/>
        <v>42853.208333333328</v>
      </c>
      <c r="T65" s="11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ref="G66:G129" si="5">E66/D66</f>
        <v>0.97642857142857142</v>
      </c>
      <c r="H66">
        <v>38</v>
      </c>
      <c r="I66" s="6">
        <f t="shared" ref="I66:I129" si="6">IF(E66,E66/H66,0)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 "/")</f>
        <v>technology</v>
      </c>
      <c r="R66" t="str">
        <v>web</v>
      </c>
      <c r="S66" s="10">
        <f t="shared" ref="S66:S129" si="7">(((L66/60)/60)/24)+DATE(1970,1,1)</f>
        <v>43283.208333333328</v>
      </c>
      <c r="T66" s="11">
        <f t="shared" ref="T66:T129" si="8">(((M66/60)/60)/24)+DATE(1970,1,1)</f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si="5"/>
        <v>2.3614754098360655</v>
      </c>
      <c r="H67">
        <v>236</v>
      </c>
      <c r="I67" s="6">
        <f t="shared" si="6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 "/")</f>
        <v>theater</v>
      </c>
      <c r="R67" t="str">
        <v>plays</v>
      </c>
      <c r="S67" s="10">
        <f t="shared" si="7"/>
        <v>40570.25</v>
      </c>
      <c r="T67" s="11">
        <f t="shared" si="8"/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si="5"/>
        <v>0.45068965517241377</v>
      </c>
      <c r="H68">
        <v>12</v>
      </c>
      <c r="I68" s="6">
        <f t="shared" si="6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 "/")</f>
        <v>theater</v>
      </c>
      <c r="R68" t="str">
        <v>plays</v>
      </c>
      <c r="S68" s="10">
        <f t="shared" si="7"/>
        <v>42102.208333333328</v>
      </c>
      <c r="T68" s="11">
        <f t="shared" si="8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5"/>
        <v>1.6238567493112948</v>
      </c>
      <c r="H69">
        <v>4065</v>
      </c>
      <c r="I69" s="6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 "/")</f>
        <v>technology</v>
      </c>
      <c r="R69" t="str">
        <v>wearables</v>
      </c>
      <c r="S69" s="10">
        <f t="shared" si="7"/>
        <v>40203.25</v>
      </c>
      <c r="T69" s="11">
        <f t="shared" si="8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5"/>
        <v>2.5452631578947367</v>
      </c>
      <c r="H70">
        <v>246</v>
      </c>
      <c r="I70" s="6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 "/")</f>
        <v>theater</v>
      </c>
      <c r="R70" t="str">
        <v>plays</v>
      </c>
      <c r="S70" s="10">
        <f t="shared" si="7"/>
        <v>42943.208333333328</v>
      </c>
      <c r="T70" s="11">
        <f t="shared" si="8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5"/>
        <v>0.24063291139240506</v>
      </c>
      <c r="H71">
        <v>17</v>
      </c>
      <c r="I71" s="6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 "/")</f>
        <v>theater</v>
      </c>
      <c r="R71" t="str">
        <v>plays</v>
      </c>
      <c r="S71" s="10">
        <f t="shared" si="7"/>
        <v>40531.25</v>
      </c>
      <c r="T71" s="11">
        <f t="shared" si="8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5"/>
        <v>1.2374140625000001</v>
      </c>
      <c r="H72">
        <v>2475</v>
      </c>
      <c r="I72" s="6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 "/")</f>
        <v>theater</v>
      </c>
      <c r="R72" t="str">
        <v>plays</v>
      </c>
      <c r="S72" s="10">
        <f t="shared" si="7"/>
        <v>40484.208333333336</v>
      </c>
      <c r="T72" s="11">
        <f t="shared" si="8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5"/>
        <v>1.0806666666666667</v>
      </c>
      <c r="H73">
        <v>76</v>
      </c>
      <c r="I73" s="6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 "/")</f>
        <v>theater</v>
      </c>
      <c r="R73" t="str">
        <v>plays</v>
      </c>
      <c r="S73" s="10">
        <f t="shared" si="7"/>
        <v>43799.25</v>
      </c>
      <c r="T73" s="11">
        <f t="shared" si="8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5"/>
        <v>6.7033333333333331</v>
      </c>
      <c r="H74">
        <v>54</v>
      </c>
      <c r="I74" s="6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 "/")</f>
        <v>film &amp; video</v>
      </c>
      <c r="R74" t="str">
        <v>animation</v>
      </c>
      <c r="S74" s="10">
        <f t="shared" si="7"/>
        <v>42186.208333333328</v>
      </c>
      <c r="T74" s="11">
        <f t="shared" si="8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5"/>
        <v>6.609285714285714</v>
      </c>
      <c r="H75">
        <v>88</v>
      </c>
      <c r="I75" s="6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 "/")</f>
        <v>music</v>
      </c>
      <c r="R75" t="str">
        <v>jazz</v>
      </c>
      <c r="S75" s="10">
        <f t="shared" si="7"/>
        <v>42701.25</v>
      </c>
      <c r="T75" s="11">
        <f t="shared" si="8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5"/>
        <v>1.2246153846153847</v>
      </c>
      <c r="H76">
        <v>85</v>
      </c>
      <c r="I76" s="6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 "/")</f>
        <v>music</v>
      </c>
      <c r="R76" t="str">
        <v>metal</v>
      </c>
      <c r="S76" s="10">
        <f t="shared" si="7"/>
        <v>42456.208333333328</v>
      </c>
      <c r="T76" s="11">
        <f t="shared" si="8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5"/>
        <v>1.5057731958762886</v>
      </c>
      <c r="H77">
        <v>170</v>
      </c>
      <c r="I77" s="6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 "/")</f>
        <v>photography</v>
      </c>
      <c r="R77" t="str">
        <v>photography books</v>
      </c>
      <c r="S77" s="10">
        <f t="shared" si="7"/>
        <v>43296.208333333328</v>
      </c>
      <c r="T77" s="11">
        <f t="shared" si="8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5"/>
        <v>0.78106590724165992</v>
      </c>
      <c r="H78">
        <v>1684</v>
      </c>
      <c r="I78" s="6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 "/")</f>
        <v>theater</v>
      </c>
      <c r="R78" t="str">
        <v>plays</v>
      </c>
      <c r="S78" s="10">
        <f t="shared" si="7"/>
        <v>42027.25</v>
      </c>
      <c r="T78" s="11">
        <f t="shared" si="8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5"/>
        <v>0.46947368421052632</v>
      </c>
      <c r="H79">
        <v>56</v>
      </c>
      <c r="I79" s="6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 "/")</f>
        <v>film &amp; video</v>
      </c>
      <c r="R79" t="str">
        <v>animation</v>
      </c>
      <c r="S79" s="10">
        <f t="shared" si="7"/>
        <v>40448.208333333336</v>
      </c>
      <c r="T79" s="11">
        <f t="shared" si="8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5"/>
        <v>3.008</v>
      </c>
      <c r="H80">
        <v>330</v>
      </c>
      <c r="I80" s="6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 "/")</f>
        <v>publishing</v>
      </c>
      <c r="R80" t="str">
        <v>translations</v>
      </c>
      <c r="S80" s="10">
        <f t="shared" si="7"/>
        <v>43206.208333333328</v>
      </c>
      <c r="T80" s="11">
        <f t="shared" si="8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5"/>
        <v>0.6959861591695502</v>
      </c>
      <c r="H81">
        <v>838</v>
      </c>
      <c r="I81" s="6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 "/")</f>
        <v>theater</v>
      </c>
      <c r="R81" t="str">
        <v>plays</v>
      </c>
      <c r="S81" s="10">
        <f t="shared" si="7"/>
        <v>43267.208333333328</v>
      </c>
      <c r="T81" s="11">
        <f t="shared" si="8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5"/>
        <v>6.374545454545455</v>
      </c>
      <c r="H82">
        <v>127</v>
      </c>
      <c r="I82" s="6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 "/")</f>
        <v>games</v>
      </c>
      <c r="R82" t="str">
        <v>video games</v>
      </c>
      <c r="S82" s="10">
        <f t="shared" si="7"/>
        <v>42976.208333333328</v>
      </c>
      <c r="T82" s="11">
        <f t="shared" si="8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5"/>
        <v>2.253392857142857</v>
      </c>
      <c r="H83">
        <v>411</v>
      </c>
      <c r="I83" s="6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 "/")</f>
        <v>music</v>
      </c>
      <c r="R83" t="str">
        <v>rock</v>
      </c>
      <c r="S83" s="10">
        <f t="shared" si="7"/>
        <v>43062.25</v>
      </c>
      <c r="T83" s="11">
        <f t="shared" si="8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5"/>
        <v>14.973000000000001</v>
      </c>
      <c r="H84">
        <v>180</v>
      </c>
      <c r="I84" s="6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 "/")</f>
        <v>games</v>
      </c>
      <c r="R84" t="str">
        <v>video games</v>
      </c>
      <c r="S84" s="10">
        <f t="shared" si="7"/>
        <v>43482.25</v>
      </c>
      <c r="T84" s="11">
        <f t="shared" si="8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5"/>
        <v>0.37590225563909774</v>
      </c>
      <c r="H85">
        <v>1000</v>
      </c>
      <c r="I85" s="6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 "/")</f>
        <v>music</v>
      </c>
      <c r="R85" t="str">
        <v>electric music</v>
      </c>
      <c r="S85" s="10">
        <f t="shared" si="7"/>
        <v>42579.208333333328</v>
      </c>
      <c r="T85" s="11">
        <f t="shared" si="8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5"/>
        <v>1.3236942675159236</v>
      </c>
      <c r="H86">
        <v>374</v>
      </c>
      <c r="I86" s="6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 "/")</f>
        <v>technology</v>
      </c>
      <c r="R86" t="str">
        <v>wearables</v>
      </c>
      <c r="S86" s="10">
        <f t="shared" si="7"/>
        <v>41118.208333333336</v>
      </c>
      <c r="T86" s="11">
        <f t="shared" si="8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5"/>
        <v>1.3122448979591836</v>
      </c>
      <c r="H87">
        <v>71</v>
      </c>
      <c r="I87" s="6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 "/")</f>
        <v>music</v>
      </c>
      <c r="R87" t="str">
        <v>indie rock</v>
      </c>
      <c r="S87" s="10">
        <f t="shared" si="7"/>
        <v>40797.208333333336</v>
      </c>
      <c r="T87" s="11">
        <f t="shared" si="8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5"/>
        <v>1.6763513513513513</v>
      </c>
      <c r="H88">
        <v>203</v>
      </c>
      <c r="I88" s="6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 "/")</f>
        <v>theater</v>
      </c>
      <c r="R88" t="str">
        <v>plays</v>
      </c>
      <c r="S88" s="10">
        <f t="shared" si="7"/>
        <v>42128.208333333328</v>
      </c>
      <c r="T88" s="11">
        <f t="shared" si="8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5"/>
        <v>0.6198488664987406</v>
      </c>
      <c r="H89">
        <v>1482</v>
      </c>
      <c r="I89" s="6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 "/")</f>
        <v>music</v>
      </c>
      <c r="R89" t="str">
        <v>rock</v>
      </c>
      <c r="S89" s="10">
        <f t="shared" si="7"/>
        <v>40610.25</v>
      </c>
      <c r="T89" s="11">
        <f t="shared" si="8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5"/>
        <v>2.6074999999999999</v>
      </c>
      <c r="H90">
        <v>113</v>
      </c>
      <c r="I90" s="6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 "/")</f>
        <v>publishing</v>
      </c>
      <c r="R90" t="str">
        <v>translations</v>
      </c>
      <c r="S90" s="10">
        <f t="shared" si="7"/>
        <v>42110.208333333328</v>
      </c>
      <c r="T90" s="11">
        <f t="shared" si="8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5"/>
        <v>2.5258823529411765</v>
      </c>
      <c r="H91">
        <v>96</v>
      </c>
      <c r="I91" s="6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 "/")</f>
        <v>theater</v>
      </c>
      <c r="R91" t="str">
        <v>plays</v>
      </c>
      <c r="S91" s="10">
        <f t="shared" si="7"/>
        <v>40283.208333333336</v>
      </c>
      <c r="T91" s="11">
        <f t="shared" si="8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5"/>
        <v>0.7861538461538462</v>
      </c>
      <c r="H92">
        <v>106</v>
      </c>
      <c r="I92" s="6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 "/")</f>
        <v>theater</v>
      </c>
      <c r="R92" t="str">
        <v>plays</v>
      </c>
      <c r="S92" s="10">
        <f t="shared" si="7"/>
        <v>42425.25</v>
      </c>
      <c r="T92" s="11">
        <f t="shared" si="8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5"/>
        <v>0.48404406999351912</v>
      </c>
      <c r="H93">
        <v>679</v>
      </c>
      <c r="I93" s="6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 "/")</f>
        <v>publishing</v>
      </c>
      <c r="R93" t="str">
        <v>translations</v>
      </c>
      <c r="S93" s="10">
        <f t="shared" si="7"/>
        <v>42588.208333333328</v>
      </c>
      <c r="T93" s="11">
        <f t="shared" si="8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5"/>
        <v>2.5887500000000001</v>
      </c>
      <c r="H94">
        <v>498</v>
      </c>
      <c r="I94" s="6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 "/")</f>
        <v>games</v>
      </c>
      <c r="R94" t="str">
        <v>video games</v>
      </c>
      <c r="S94" s="10">
        <f t="shared" si="7"/>
        <v>40352.208333333336</v>
      </c>
      <c r="T94" s="11">
        <f t="shared" si="8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5"/>
        <v>0.60548713235294116</v>
      </c>
      <c r="H95">
        <v>610</v>
      </c>
      <c r="I95" s="6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 "/")</f>
        <v>theater</v>
      </c>
      <c r="R95" t="str">
        <v>plays</v>
      </c>
      <c r="S95" s="10">
        <f t="shared" si="7"/>
        <v>41202.208333333336</v>
      </c>
      <c r="T95" s="11">
        <f t="shared" si="8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5"/>
        <v>3.036896551724138</v>
      </c>
      <c r="H96">
        <v>180</v>
      </c>
      <c r="I96" s="6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 "/")</f>
        <v>technology</v>
      </c>
      <c r="R96" t="str">
        <v>web</v>
      </c>
      <c r="S96" s="10">
        <f t="shared" si="7"/>
        <v>43562.208333333328</v>
      </c>
      <c r="T96" s="11">
        <f t="shared" si="8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5"/>
        <v>1.1299999999999999</v>
      </c>
      <c r="H97">
        <v>27</v>
      </c>
      <c r="I97" s="6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 "/")</f>
        <v>film &amp; video</v>
      </c>
      <c r="R97" t="str">
        <v>documentary</v>
      </c>
      <c r="S97" s="10">
        <f t="shared" si="7"/>
        <v>43752.208333333328</v>
      </c>
      <c r="T97" s="11">
        <f t="shared" si="8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5"/>
        <v>2.1737876614060259</v>
      </c>
      <c r="H98">
        <v>2331</v>
      </c>
      <c r="I98" s="6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 "/")</f>
        <v>theater</v>
      </c>
      <c r="R98" t="str">
        <v>plays</v>
      </c>
      <c r="S98" s="10">
        <f t="shared" si="7"/>
        <v>40612.25</v>
      </c>
      <c r="T98" s="11">
        <f t="shared" si="8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5"/>
        <v>9.2669230769230762</v>
      </c>
      <c r="H99">
        <v>113</v>
      </c>
      <c r="I99" s="6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 "/")</f>
        <v>food</v>
      </c>
      <c r="R99" t="str">
        <v>food trucks</v>
      </c>
      <c r="S99" s="10">
        <f t="shared" si="7"/>
        <v>42180.208333333328</v>
      </c>
      <c r="T99" s="11">
        <f t="shared" si="8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5"/>
        <v>0.33692229038854804</v>
      </c>
      <c r="H100">
        <v>1220</v>
      </c>
      <c r="I100" s="6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 "/")</f>
        <v>games</v>
      </c>
      <c r="R100" t="str">
        <v>video games</v>
      </c>
      <c r="S100" s="10">
        <f t="shared" si="7"/>
        <v>42212.208333333328</v>
      </c>
      <c r="T100" s="11">
        <f t="shared" si="8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5"/>
        <v>1.9672368421052631</v>
      </c>
      <c r="H101">
        <v>164</v>
      </c>
      <c r="I101" s="6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 "/")</f>
        <v>theater</v>
      </c>
      <c r="R101" t="str">
        <v>plays</v>
      </c>
      <c r="S101" s="10">
        <f t="shared" si="7"/>
        <v>41968.25</v>
      </c>
      <c r="T101" s="11">
        <f t="shared" si="8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5"/>
        <v>0.01</v>
      </c>
      <c r="H102">
        <v>1</v>
      </c>
      <c r="I102" s="6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 "/")</f>
        <v>theater</v>
      </c>
      <c r="R102" t="str">
        <v>plays</v>
      </c>
      <c r="S102" s="10">
        <f t="shared" si="7"/>
        <v>40835.208333333336</v>
      </c>
      <c r="T102" s="11">
        <f t="shared" si="8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5"/>
        <v>10.214444444444444</v>
      </c>
      <c r="H103">
        <v>164</v>
      </c>
      <c r="I103" s="6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 "/")</f>
        <v>music</v>
      </c>
      <c r="R103" t="str">
        <v>electric music</v>
      </c>
      <c r="S103" s="10">
        <f t="shared" si="7"/>
        <v>42056.25</v>
      </c>
      <c r="T103" s="11">
        <f t="shared" si="8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5"/>
        <v>2.8167567567567566</v>
      </c>
      <c r="H104">
        <v>336</v>
      </c>
      <c r="I104" s="6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 "/")</f>
        <v>technology</v>
      </c>
      <c r="R104" t="str">
        <v>wearables</v>
      </c>
      <c r="S104" s="10">
        <f t="shared" si="7"/>
        <v>43234.208333333328</v>
      </c>
      <c r="T104" s="11">
        <f t="shared" si="8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5"/>
        <v>0.24610000000000001</v>
      </c>
      <c r="H105">
        <v>37</v>
      </c>
      <c r="I105" s="6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 "/")</f>
        <v>music</v>
      </c>
      <c r="R105" t="str">
        <v>electric music</v>
      </c>
      <c r="S105" s="10">
        <f t="shared" si="7"/>
        <v>40475.208333333336</v>
      </c>
      <c r="T105" s="11">
        <f t="shared" si="8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5"/>
        <v>1.4314010067114094</v>
      </c>
      <c r="H106">
        <v>1917</v>
      </c>
      <c r="I106" s="6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 "/")</f>
        <v>music</v>
      </c>
      <c r="R106" t="str">
        <v>indie rock</v>
      </c>
      <c r="S106" s="10">
        <f t="shared" si="7"/>
        <v>42878.208333333328</v>
      </c>
      <c r="T106" s="11">
        <f t="shared" si="8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5"/>
        <v>1.4454411764705883</v>
      </c>
      <c r="H107">
        <v>95</v>
      </c>
      <c r="I107" s="6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 "/")</f>
        <v>technology</v>
      </c>
      <c r="R107" t="str">
        <v>web</v>
      </c>
      <c r="S107" s="10">
        <f t="shared" si="7"/>
        <v>41366.208333333336</v>
      </c>
      <c r="T107" s="11">
        <f t="shared" si="8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5"/>
        <v>3.5912820512820511</v>
      </c>
      <c r="H108">
        <v>147</v>
      </c>
      <c r="I108" s="6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 "/")</f>
        <v>theater</v>
      </c>
      <c r="R108" t="str">
        <v>plays</v>
      </c>
      <c r="S108" s="10">
        <f t="shared" si="7"/>
        <v>43716.208333333328</v>
      </c>
      <c r="T108" s="11">
        <f t="shared" si="8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5"/>
        <v>1.8648571428571428</v>
      </c>
      <c r="H109">
        <v>86</v>
      </c>
      <c r="I109" s="6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 "/")</f>
        <v>theater</v>
      </c>
      <c r="R109" t="str">
        <v>plays</v>
      </c>
      <c r="S109" s="10">
        <f t="shared" si="7"/>
        <v>43213.208333333328</v>
      </c>
      <c r="T109" s="11">
        <f t="shared" si="8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5"/>
        <v>5.9526666666666666</v>
      </c>
      <c r="H110">
        <v>83</v>
      </c>
      <c r="I110" s="6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 "/")</f>
        <v>film &amp; video</v>
      </c>
      <c r="R110" t="str">
        <v>documentary</v>
      </c>
      <c r="S110" s="10">
        <f t="shared" si="7"/>
        <v>41005.208333333336</v>
      </c>
      <c r="T110" s="11">
        <f t="shared" si="8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5"/>
        <v>0.5921153846153846</v>
      </c>
      <c r="H111">
        <v>60</v>
      </c>
      <c r="I111" s="6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 "/")</f>
        <v>film &amp; video</v>
      </c>
      <c r="R111" t="str">
        <v>television</v>
      </c>
      <c r="S111" s="10">
        <f t="shared" si="7"/>
        <v>41651.25</v>
      </c>
      <c r="T111" s="11">
        <f t="shared" si="8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5"/>
        <v>0.14962780898876404</v>
      </c>
      <c r="H112">
        <v>296</v>
      </c>
      <c r="I112" s="6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 "/")</f>
        <v>food</v>
      </c>
      <c r="R112" t="str">
        <v>food trucks</v>
      </c>
      <c r="S112" s="10">
        <f t="shared" si="7"/>
        <v>43354.208333333328</v>
      </c>
      <c r="T112" s="11">
        <f t="shared" si="8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5"/>
        <v>1.1995602605863191</v>
      </c>
      <c r="H113">
        <v>676</v>
      </c>
      <c r="I113" s="6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 "/")</f>
        <v>publishing</v>
      </c>
      <c r="R113" t="str">
        <v>radio &amp; podcasts</v>
      </c>
      <c r="S113" s="10">
        <f t="shared" si="7"/>
        <v>41174.208333333336</v>
      </c>
      <c r="T113" s="11">
        <f t="shared" si="8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5"/>
        <v>2.6882978723404256</v>
      </c>
      <c r="H114">
        <v>361</v>
      </c>
      <c r="I114" s="6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 "/")</f>
        <v>technology</v>
      </c>
      <c r="R114" t="str">
        <v>web</v>
      </c>
      <c r="S114" s="10">
        <f t="shared" si="7"/>
        <v>41875.208333333336</v>
      </c>
      <c r="T114" s="11">
        <f t="shared" si="8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5"/>
        <v>3.7687878787878786</v>
      </c>
      <c r="H115">
        <v>131</v>
      </c>
      <c r="I115" s="6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 "/")</f>
        <v>food</v>
      </c>
      <c r="R115" t="str">
        <v>food trucks</v>
      </c>
      <c r="S115" s="10">
        <f t="shared" si="7"/>
        <v>42990.208333333328</v>
      </c>
      <c r="T115" s="11">
        <f t="shared" si="8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5"/>
        <v>7.2715789473684209</v>
      </c>
      <c r="H116">
        <v>126</v>
      </c>
      <c r="I116" s="6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 "/")</f>
        <v>technology</v>
      </c>
      <c r="R116" t="str">
        <v>wearables</v>
      </c>
      <c r="S116" s="10">
        <f t="shared" si="7"/>
        <v>43564.208333333328</v>
      </c>
      <c r="T116" s="11">
        <f t="shared" si="8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5"/>
        <v>0.87211757648470301</v>
      </c>
      <c r="H117">
        <v>3304</v>
      </c>
      <c r="I117" s="6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 "/")</f>
        <v>publishing</v>
      </c>
      <c r="R117" t="str">
        <v>fiction</v>
      </c>
      <c r="S117" s="10">
        <f t="shared" si="7"/>
        <v>43056.25</v>
      </c>
      <c r="T117" s="11">
        <f t="shared" si="8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5"/>
        <v>0.88</v>
      </c>
      <c r="H118">
        <v>73</v>
      </c>
      <c r="I118" s="6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 "/")</f>
        <v>theater</v>
      </c>
      <c r="R118" t="str">
        <v>plays</v>
      </c>
      <c r="S118" s="10">
        <f t="shared" si="7"/>
        <v>42265.208333333328</v>
      </c>
      <c r="T118" s="11">
        <f t="shared" si="8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5"/>
        <v>1.7393877551020409</v>
      </c>
      <c r="H119">
        <v>275</v>
      </c>
      <c r="I119" s="6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 "/")</f>
        <v>film &amp; video</v>
      </c>
      <c r="R119" t="str">
        <v>television</v>
      </c>
      <c r="S119" s="10">
        <f t="shared" si="7"/>
        <v>40808.208333333336</v>
      </c>
      <c r="T119" s="11">
        <f t="shared" si="8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5"/>
        <v>1.1761111111111111</v>
      </c>
      <c r="H120">
        <v>67</v>
      </c>
      <c r="I120" s="6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 "/")</f>
        <v>photography</v>
      </c>
      <c r="R120" t="str">
        <v>photography books</v>
      </c>
      <c r="S120" s="10">
        <f t="shared" si="7"/>
        <v>41665.25</v>
      </c>
      <c r="T120" s="11">
        <f t="shared" si="8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5"/>
        <v>2.1496</v>
      </c>
      <c r="H121">
        <v>154</v>
      </c>
      <c r="I121" s="6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 "/")</f>
        <v>film &amp; video</v>
      </c>
      <c r="R121" t="str">
        <v>documentary</v>
      </c>
      <c r="S121" s="10">
        <f t="shared" si="7"/>
        <v>41806.208333333336</v>
      </c>
      <c r="T121" s="11">
        <f t="shared" si="8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5"/>
        <v>1.4949667110519307</v>
      </c>
      <c r="H122">
        <v>1782</v>
      </c>
      <c r="I122" s="6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 "/")</f>
        <v>games</v>
      </c>
      <c r="R122" t="str">
        <v>mobile games</v>
      </c>
      <c r="S122" s="10">
        <f t="shared" si="7"/>
        <v>42111.208333333328</v>
      </c>
      <c r="T122" s="11">
        <f t="shared" si="8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5"/>
        <v>2.1933995584988963</v>
      </c>
      <c r="H123">
        <v>903</v>
      </c>
      <c r="I123" s="6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 "/")</f>
        <v>games</v>
      </c>
      <c r="R123" t="str">
        <v>video games</v>
      </c>
      <c r="S123" s="10">
        <f t="shared" si="7"/>
        <v>41917.208333333336</v>
      </c>
      <c r="T123" s="11">
        <f t="shared" si="8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5"/>
        <v>0.64367690058479532</v>
      </c>
      <c r="H124">
        <v>3387</v>
      </c>
      <c r="I124" s="6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 "/")</f>
        <v>publishing</v>
      </c>
      <c r="R124" t="str">
        <v>fiction</v>
      </c>
      <c r="S124" s="10">
        <f t="shared" si="7"/>
        <v>41970.25</v>
      </c>
      <c r="T124" s="11">
        <f t="shared" si="8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5"/>
        <v>0.18622397298818233</v>
      </c>
      <c r="H125">
        <v>662</v>
      </c>
      <c r="I125" s="6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 "/")</f>
        <v>theater</v>
      </c>
      <c r="R125" t="str">
        <v>plays</v>
      </c>
      <c r="S125" s="10">
        <f t="shared" si="7"/>
        <v>42332.25</v>
      </c>
      <c r="T125" s="11">
        <f t="shared" si="8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5"/>
        <v>3.6776923076923076</v>
      </c>
      <c r="H126">
        <v>94</v>
      </c>
      <c r="I126" s="6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 "/")</f>
        <v>photography</v>
      </c>
      <c r="R126" t="str">
        <v>photography books</v>
      </c>
      <c r="S126" s="10">
        <f t="shared" si="7"/>
        <v>43598.208333333328</v>
      </c>
      <c r="T126" s="11">
        <f t="shared" si="8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5"/>
        <v>1.5990566037735849</v>
      </c>
      <c r="H127">
        <v>180</v>
      </c>
      <c r="I127" s="6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 "/")</f>
        <v>theater</v>
      </c>
      <c r="R127" t="str">
        <v>plays</v>
      </c>
      <c r="S127" s="10">
        <f t="shared" si="7"/>
        <v>43362.208333333328</v>
      </c>
      <c r="T127" s="11">
        <f t="shared" si="8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5"/>
        <v>0.38633185349611543</v>
      </c>
      <c r="H128">
        <v>774</v>
      </c>
      <c r="I128" s="6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 "/")</f>
        <v>theater</v>
      </c>
      <c r="R128" t="str">
        <v>plays</v>
      </c>
      <c r="S128" s="10">
        <f t="shared" si="7"/>
        <v>42596.208333333328</v>
      </c>
      <c r="T128" s="11">
        <f t="shared" si="8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5"/>
        <v>0.51421511627906979</v>
      </c>
      <c r="H129">
        <v>672</v>
      </c>
      <c r="I129" s="6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 "/")</f>
        <v>theater</v>
      </c>
      <c r="R129" t="str">
        <v>plays</v>
      </c>
      <c r="S129" s="10">
        <f t="shared" si="7"/>
        <v>40310.208333333336</v>
      </c>
      <c r="T129" s="11">
        <f t="shared" si="8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ref="G130:G193" si="9">E130/D130</f>
        <v>0.60334277620396604</v>
      </c>
      <c r="H130">
        <v>532</v>
      </c>
      <c r="I130" s="6">
        <f t="shared" ref="I130:I193" si="10">IF(E130,E130/H130,0)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 "/")</f>
        <v>music</v>
      </c>
      <c r="R130" t="str">
        <v>rock</v>
      </c>
      <c r="S130" s="10">
        <f t="shared" ref="S130:S193" si="11">(((L130/60)/60)/24)+DATE(1970,1,1)</f>
        <v>40417.208333333336</v>
      </c>
      <c r="T130" s="11">
        <f t="shared" ref="T130:T193" si="12">(((M130/60)/60)/24)+DATE(1970,1,1)</f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si="9"/>
        <v>3.2026936026936029E-2</v>
      </c>
      <c r="H131">
        <v>55</v>
      </c>
      <c r="I131" s="6">
        <f t="shared" si="10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 "/")</f>
        <v>food</v>
      </c>
      <c r="R131" t="str">
        <v>food trucks</v>
      </c>
      <c r="S131" s="10">
        <f t="shared" si="11"/>
        <v>42038.25</v>
      </c>
      <c r="T131" s="11">
        <f t="shared" si="12"/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si="9"/>
        <v>1.5546875</v>
      </c>
      <c r="H132">
        <v>533</v>
      </c>
      <c r="I132" s="6">
        <f t="shared" si="10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 "/")</f>
        <v>film &amp; video</v>
      </c>
      <c r="R132" t="str">
        <v>drama</v>
      </c>
      <c r="S132" s="10">
        <f t="shared" si="11"/>
        <v>40842.208333333336</v>
      </c>
      <c r="T132" s="11">
        <f t="shared" si="12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9"/>
        <v>1.0085974499089254</v>
      </c>
      <c r="H133">
        <v>2443</v>
      </c>
      <c r="I133" s="6">
        <f t="shared" si="10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 "/")</f>
        <v>technology</v>
      </c>
      <c r="R133" t="str">
        <v>web</v>
      </c>
      <c r="S133" s="10">
        <f t="shared" si="11"/>
        <v>41607.25</v>
      </c>
      <c r="T133" s="11">
        <f t="shared" si="12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9"/>
        <v>1.1618181818181819</v>
      </c>
      <c r="H134">
        <v>89</v>
      </c>
      <c r="I134" s="6">
        <f t="shared" si="10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 "/")</f>
        <v>theater</v>
      </c>
      <c r="R134" t="str">
        <v>plays</v>
      </c>
      <c r="S134" s="10">
        <f t="shared" si="11"/>
        <v>43112.25</v>
      </c>
      <c r="T134" s="11">
        <f t="shared" si="12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9"/>
        <v>3.1077777777777778</v>
      </c>
      <c r="H135">
        <v>159</v>
      </c>
      <c r="I135" s="6">
        <f t="shared" si="10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 "/")</f>
        <v>music</v>
      </c>
      <c r="R135" t="str">
        <v>world music</v>
      </c>
      <c r="S135" s="10">
        <f t="shared" si="11"/>
        <v>40767.208333333336</v>
      </c>
      <c r="T135" s="11">
        <f t="shared" si="12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9"/>
        <v>0.89736683417085428</v>
      </c>
      <c r="H136">
        <v>940</v>
      </c>
      <c r="I136" s="6">
        <f t="shared" si="10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 "/")</f>
        <v>film &amp; video</v>
      </c>
      <c r="R136" t="str">
        <v>documentary</v>
      </c>
      <c r="S136" s="10">
        <f t="shared" si="11"/>
        <v>40713.208333333336</v>
      </c>
      <c r="T136" s="11">
        <f t="shared" si="12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9"/>
        <v>0.71272727272727276</v>
      </c>
      <c r="H137">
        <v>117</v>
      </c>
      <c r="I137" s="6">
        <f t="shared" si="10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 "/")</f>
        <v>theater</v>
      </c>
      <c r="R137" t="str">
        <v>plays</v>
      </c>
      <c r="S137" s="10">
        <f t="shared" si="11"/>
        <v>41340.25</v>
      </c>
      <c r="T137" s="11">
        <f t="shared" si="12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9"/>
        <v>3.2862318840579711E-2</v>
      </c>
      <c r="H138">
        <v>58</v>
      </c>
      <c r="I138" s="6">
        <f t="shared" si="10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 "/")</f>
        <v>film &amp; video</v>
      </c>
      <c r="R138" t="str">
        <v>drama</v>
      </c>
      <c r="S138" s="10">
        <f t="shared" si="11"/>
        <v>41797.208333333336</v>
      </c>
      <c r="T138" s="11">
        <f t="shared" si="12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9"/>
        <v>2.617777777777778</v>
      </c>
      <c r="H139">
        <v>50</v>
      </c>
      <c r="I139" s="6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 "/")</f>
        <v>publishing</v>
      </c>
      <c r="R139" t="str">
        <v>nonfiction</v>
      </c>
      <c r="S139" s="10">
        <f t="shared" si="11"/>
        <v>40457.208333333336</v>
      </c>
      <c r="T139" s="11">
        <f t="shared" si="12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9"/>
        <v>0.96</v>
      </c>
      <c r="H140">
        <v>115</v>
      </c>
      <c r="I140" s="6">
        <f t="shared" si="10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 "/")</f>
        <v>games</v>
      </c>
      <c r="R140" t="str">
        <v>mobile games</v>
      </c>
      <c r="S140" s="10">
        <f t="shared" si="11"/>
        <v>41180.208333333336</v>
      </c>
      <c r="T140" s="11">
        <f t="shared" si="12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9"/>
        <v>0.20896851248642778</v>
      </c>
      <c r="H141">
        <v>326</v>
      </c>
      <c r="I141" s="6">
        <f t="shared" si="10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 "/")</f>
        <v>technology</v>
      </c>
      <c r="R141" t="str">
        <v>wearables</v>
      </c>
      <c r="S141" s="10">
        <f t="shared" si="11"/>
        <v>42115.208333333328</v>
      </c>
      <c r="T141" s="11">
        <f t="shared" si="12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9"/>
        <v>2.2316363636363636</v>
      </c>
      <c r="H142">
        <v>186</v>
      </c>
      <c r="I142" s="6">
        <f t="shared" si="10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 "/")</f>
        <v>film &amp; video</v>
      </c>
      <c r="R142" t="str">
        <v>documentary</v>
      </c>
      <c r="S142" s="10">
        <f t="shared" si="11"/>
        <v>43156.25</v>
      </c>
      <c r="T142" s="11">
        <f t="shared" si="12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9"/>
        <v>1.0159097978227061</v>
      </c>
      <c r="H143">
        <v>1071</v>
      </c>
      <c r="I143" s="6">
        <f t="shared" si="10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 "/")</f>
        <v>technology</v>
      </c>
      <c r="R143" t="str">
        <v>web</v>
      </c>
      <c r="S143" s="10">
        <f t="shared" si="11"/>
        <v>42167.208333333328</v>
      </c>
      <c r="T143" s="11">
        <f t="shared" si="12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9"/>
        <v>2.3003999999999998</v>
      </c>
      <c r="H144">
        <v>117</v>
      </c>
      <c r="I144" s="6">
        <f t="shared" si="10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 "/")</f>
        <v>technology</v>
      </c>
      <c r="R144" t="str">
        <v>web</v>
      </c>
      <c r="S144" s="10">
        <f t="shared" si="11"/>
        <v>41005.208333333336</v>
      </c>
      <c r="T144" s="11">
        <f t="shared" si="12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9"/>
        <v>1.355925925925926</v>
      </c>
      <c r="H145">
        <v>70</v>
      </c>
      <c r="I145" s="6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 "/")</f>
        <v>music</v>
      </c>
      <c r="R145" t="str">
        <v>indie rock</v>
      </c>
      <c r="S145" s="10">
        <f t="shared" si="11"/>
        <v>40357.208333333336</v>
      </c>
      <c r="T145" s="11">
        <f t="shared" si="12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9"/>
        <v>1.2909999999999999</v>
      </c>
      <c r="H146">
        <v>135</v>
      </c>
      <c r="I146" s="6">
        <f t="shared" si="10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 "/")</f>
        <v>theater</v>
      </c>
      <c r="R146" t="str">
        <v>plays</v>
      </c>
      <c r="S146" s="10">
        <f t="shared" si="11"/>
        <v>43633.208333333328</v>
      </c>
      <c r="T146" s="11">
        <f t="shared" si="12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9"/>
        <v>2.3651200000000001</v>
      </c>
      <c r="H147">
        <v>768</v>
      </c>
      <c r="I147" s="6">
        <f t="shared" si="10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 "/")</f>
        <v>technology</v>
      </c>
      <c r="R147" t="str">
        <v>wearables</v>
      </c>
      <c r="S147" s="10">
        <f t="shared" si="11"/>
        <v>41889.208333333336</v>
      </c>
      <c r="T147" s="11">
        <f t="shared" si="12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9"/>
        <v>0.17249999999999999</v>
      </c>
      <c r="H148">
        <v>51</v>
      </c>
      <c r="I148" s="6">
        <f t="shared" si="10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 "/")</f>
        <v>theater</v>
      </c>
      <c r="R148" t="str">
        <v>plays</v>
      </c>
      <c r="S148" s="10">
        <f t="shared" si="11"/>
        <v>40855.25</v>
      </c>
      <c r="T148" s="11">
        <f t="shared" si="12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9"/>
        <v>1.1249397590361445</v>
      </c>
      <c r="H149">
        <v>199</v>
      </c>
      <c r="I149" s="6">
        <f t="shared" si="10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 "/")</f>
        <v>theater</v>
      </c>
      <c r="R149" t="str">
        <v>plays</v>
      </c>
      <c r="S149" s="10">
        <f t="shared" si="11"/>
        <v>42534.208333333328</v>
      </c>
      <c r="T149" s="11">
        <f t="shared" si="12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9"/>
        <v>1.2102150537634409</v>
      </c>
      <c r="H150">
        <v>107</v>
      </c>
      <c r="I150" s="6">
        <f t="shared" si="10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 "/")</f>
        <v>technology</v>
      </c>
      <c r="R150" t="str">
        <v>wearables</v>
      </c>
      <c r="S150" s="10">
        <f t="shared" si="11"/>
        <v>42941.208333333328</v>
      </c>
      <c r="T150" s="11">
        <f t="shared" si="12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9"/>
        <v>2.1987096774193549</v>
      </c>
      <c r="H151">
        <v>195</v>
      </c>
      <c r="I151" s="6">
        <f t="shared" si="10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 "/")</f>
        <v>music</v>
      </c>
      <c r="R151" t="str">
        <v>indie rock</v>
      </c>
      <c r="S151" s="10">
        <f t="shared" si="11"/>
        <v>41275.25</v>
      </c>
      <c r="T151" s="11">
        <f t="shared" si="12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9"/>
        <v>0.01</v>
      </c>
      <c r="H152">
        <v>1</v>
      </c>
      <c r="I152" s="6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 "/")</f>
        <v>music</v>
      </c>
      <c r="R152" t="str">
        <v>rock</v>
      </c>
      <c r="S152" s="10">
        <f t="shared" si="11"/>
        <v>43450.25</v>
      </c>
      <c r="T152" s="11">
        <f t="shared" si="12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9"/>
        <v>0.64166909620991253</v>
      </c>
      <c r="H153">
        <v>1467</v>
      </c>
      <c r="I153" s="6">
        <f t="shared" si="10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 "/")</f>
        <v>music</v>
      </c>
      <c r="R153" t="str">
        <v>electric music</v>
      </c>
      <c r="S153" s="10">
        <f t="shared" si="11"/>
        <v>41799.208333333336</v>
      </c>
      <c r="T153" s="11">
        <f t="shared" si="12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9"/>
        <v>4.2306746987951804</v>
      </c>
      <c r="H154">
        <v>3376</v>
      </c>
      <c r="I154" s="6">
        <f t="shared" si="10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 "/")</f>
        <v>music</v>
      </c>
      <c r="R154" t="str">
        <v>indie rock</v>
      </c>
      <c r="S154" s="10">
        <f t="shared" si="11"/>
        <v>42783.25</v>
      </c>
      <c r="T154" s="11">
        <f t="shared" si="12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9"/>
        <v>0.92984160506863778</v>
      </c>
      <c r="H155">
        <v>5681</v>
      </c>
      <c r="I155" s="6">
        <f t="shared" si="10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 "/")</f>
        <v>theater</v>
      </c>
      <c r="R155" t="str">
        <v>plays</v>
      </c>
      <c r="S155" s="10">
        <f t="shared" si="11"/>
        <v>41201.208333333336</v>
      </c>
      <c r="T155" s="11">
        <f t="shared" si="12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9"/>
        <v>0.58756567425569173</v>
      </c>
      <c r="H156">
        <v>1059</v>
      </c>
      <c r="I156" s="6">
        <f t="shared" si="10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 "/")</f>
        <v>music</v>
      </c>
      <c r="R156" t="str">
        <v>indie rock</v>
      </c>
      <c r="S156" s="10">
        <f t="shared" si="11"/>
        <v>42502.208333333328</v>
      </c>
      <c r="T156" s="11">
        <f t="shared" si="12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9"/>
        <v>0.65022222222222226</v>
      </c>
      <c r="H157">
        <v>1194</v>
      </c>
      <c r="I157" s="6">
        <f t="shared" si="10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 "/")</f>
        <v>theater</v>
      </c>
      <c r="R157" t="str">
        <v>plays</v>
      </c>
      <c r="S157" s="10">
        <f t="shared" si="11"/>
        <v>40262.208333333336</v>
      </c>
      <c r="T157" s="11">
        <f t="shared" si="12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9"/>
        <v>0.73939560439560437</v>
      </c>
      <c r="H158">
        <v>379</v>
      </c>
      <c r="I158" s="6">
        <f t="shared" si="10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 "/")</f>
        <v>music</v>
      </c>
      <c r="R158" t="str">
        <v>rock</v>
      </c>
      <c r="S158" s="10">
        <f t="shared" si="11"/>
        <v>43743.208333333328</v>
      </c>
      <c r="T158" s="11">
        <f t="shared" si="12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9"/>
        <v>0.52666666666666662</v>
      </c>
      <c r="H159">
        <v>30</v>
      </c>
      <c r="I159" s="6">
        <f t="shared" si="10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 "/")</f>
        <v>photography</v>
      </c>
      <c r="R159" t="str">
        <v>photography books</v>
      </c>
      <c r="S159" s="10">
        <f t="shared" si="11"/>
        <v>41638.25</v>
      </c>
      <c r="T159" s="11">
        <f t="shared" si="12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9"/>
        <v>2.2095238095238097</v>
      </c>
      <c r="H160">
        <v>41</v>
      </c>
      <c r="I160" s="6">
        <f t="shared" si="10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 "/")</f>
        <v>music</v>
      </c>
      <c r="R160" t="str">
        <v>rock</v>
      </c>
      <c r="S160" s="10">
        <f t="shared" si="11"/>
        <v>42346.25</v>
      </c>
      <c r="T160" s="11">
        <f t="shared" si="12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9"/>
        <v>1.0001150627615063</v>
      </c>
      <c r="H161">
        <v>1821</v>
      </c>
      <c r="I161" s="6">
        <f t="shared" si="10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 "/")</f>
        <v>theater</v>
      </c>
      <c r="R161" t="str">
        <v>plays</v>
      </c>
      <c r="S161" s="10">
        <f t="shared" si="11"/>
        <v>43551.208333333328</v>
      </c>
      <c r="T161" s="11">
        <f t="shared" si="12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9"/>
        <v>1.6231249999999999</v>
      </c>
      <c r="H162">
        <v>164</v>
      </c>
      <c r="I162" s="6">
        <f t="shared" si="10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 "/")</f>
        <v>technology</v>
      </c>
      <c r="R162" t="str">
        <v>wearables</v>
      </c>
      <c r="S162" s="10">
        <f t="shared" si="11"/>
        <v>43582.208333333328</v>
      </c>
      <c r="T162" s="11">
        <f t="shared" si="12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9"/>
        <v>0.78181818181818186</v>
      </c>
      <c r="H163">
        <v>75</v>
      </c>
      <c r="I163" s="6">
        <f t="shared" si="10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 "/")</f>
        <v>technology</v>
      </c>
      <c r="R163" t="str">
        <v>web</v>
      </c>
      <c r="S163" s="10">
        <f t="shared" si="11"/>
        <v>42270.208333333328</v>
      </c>
      <c r="T163" s="11">
        <f t="shared" si="12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9"/>
        <v>1.4973770491803278</v>
      </c>
      <c r="H164">
        <v>157</v>
      </c>
      <c r="I164" s="6">
        <f t="shared" si="10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 "/")</f>
        <v>music</v>
      </c>
      <c r="R164" t="str">
        <v>rock</v>
      </c>
      <c r="S164" s="10">
        <f t="shared" si="11"/>
        <v>43442.25</v>
      </c>
      <c r="T164" s="11">
        <f t="shared" si="12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9"/>
        <v>2.5325714285714285</v>
      </c>
      <c r="H165">
        <v>246</v>
      </c>
      <c r="I165" s="6">
        <f t="shared" si="10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 "/")</f>
        <v>photography</v>
      </c>
      <c r="R165" t="str">
        <v>photography books</v>
      </c>
      <c r="S165" s="10">
        <f t="shared" si="11"/>
        <v>43028.208333333328</v>
      </c>
      <c r="T165" s="11">
        <f t="shared" si="12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9"/>
        <v>1.0016943521594683</v>
      </c>
      <c r="H166">
        <v>1396</v>
      </c>
      <c r="I166" s="6">
        <f t="shared" si="10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 "/")</f>
        <v>theater</v>
      </c>
      <c r="R166" t="str">
        <v>plays</v>
      </c>
      <c r="S166" s="10">
        <f t="shared" si="11"/>
        <v>43016.208333333328</v>
      </c>
      <c r="T166" s="11">
        <f t="shared" si="12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9"/>
        <v>1.2199004424778761</v>
      </c>
      <c r="H167">
        <v>2506</v>
      </c>
      <c r="I167" s="6">
        <f t="shared" si="10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 "/")</f>
        <v>technology</v>
      </c>
      <c r="R167" t="str">
        <v>web</v>
      </c>
      <c r="S167" s="10">
        <f t="shared" si="11"/>
        <v>42948.208333333328</v>
      </c>
      <c r="T167" s="11">
        <f t="shared" si="12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9"/>
        <v>1.3713265306122449</v>
      </c>
      <c r="H168">
        <v>244</v>
      </c>
      <c r="I168" s="6">
        <f t="shared" si="10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 "/")</f>
        <v>photography</v>
      </c>
      <c r="R168" t="str">
        <v>photography books</v>
      </c>
      <c r="S168" s="10">
        <f t="shared" si="11"/>
        <v>40534.25</v>
      </c>
      <c r="T168" s="11">
        <f t="shared" si="12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9"/>
        <v>4.155384615384615</v>
      </c>
      <c r="H169">
        <v>146</v>
      </c>
      <c r="I169" s="6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 "/")</f>
        <v>theater</v>
      </c>
      <c r="R169" t="str">
        <v>plays</v>
      </c>
      <c r="S169" s="10">
        <f t="shared" si="11"/>
        <v>41435.208333333336</v>
      </c>
      <c r="T169" s="11">
        <f t="shared" si="12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9"/>
        <v>0.3130913348946136</v>
      </c>
      <c r="H170">
        <v>955</v>
      </c>
      <c r="I170" s="6">
        <f t="shared" si="10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 "/")</f>
        <v>music</v>
      </c>
      <c r="R170" t="str">
        <v>indie rock</v>
      </c>
      <c r="S170" s="10">
        <f t="shared" si="11"/>
        <v>43518.25</v>
      </c>
      <c r="T170" s="11">
        <f t="shared" si="12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9"/>
        <v>4.240815450643777</v>
      </c>
      <c r="H171">
        <v>1267</v>
      </c>
      <c r="I171" s="6">
        <f t="shared" si="10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 "/")</f>
        <v>film &amp; video</v>
      </c>
      <c r="R171" t="str">
        <v>shorts</v>
      </c>
      <c r="S171" s="10">
        <f t="shared" si="11"/>
        <v>41077.208333333336</v>
      </c>
      <c r="T171" s="11">
        <f t="shared" si="12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9"/>
        <v>2.9388623072833599E-2</v>
      </c>
      <c r="H172">
        <v>67</v>
      </c>
      <c r="I172" s="6">
        <f t="shared" si="10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 "/")</f>
        <v>music</v>
      </c>
      <c r="R172" t="str">
        <v>indie rock</v>
      </c>
      <c r="S172" s="10">
        <f t="shared" si="11"/>
        <v>42950.208333333328</v>
      </c>
      <c r="T172" s="11">
        <f t="shared" si="12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9"/>
        <v>0.1063265306122449</v>
      </c>
      <c r="H173">
        <v>5</v>
      </c>
      <c r="I173" s="6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 "/")</f>
        <v>publishing</v>
      </c>
      <c r="R173" t="str">
        <v>translations</v>
      </c>
      <c r="S173" s="10">
        <f t="shared" si="11"/>
        <v>41718.208333333336</v>
      </c>
      <c r="T173" s="11">
        <f t="shared" si="12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9"/>
        <v>0.82874999999999999</v>
      </c>
      <c r="H174">
        <v>26</v>
      </c>
      <c r="I174" s="6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 "/")</f>
        <v>film &amp; video</v>
      </c>
      <c r="R174" t="str">
        <v>documentary</v>
      </c>
      <c r="S174" s="10">
        <f t="shared" si="11"/>
        <v>41839.208333333336</v>
      </c>
      <c r="T174" s="11">
        <f t="shared" si="12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9"/>
        <v>1.6301447776628748</v>
      </c>
      <c r="H175">
        <v>1561</v>
      </c>
      <c r="I175" s="6">
        <f t="shared" si="10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 "/")</f>
        <v>theater</v>
      </c>
      <c r="R175" t="str">
        <v>plays</v>
      </c>
      <c r="S175" s="10">
        <f t="shared" si="11"/>
        <v>41412.208333333336</v>
      </c>
      <c r="T175" s="11">
        <f t="shared" si="12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9"/>
        <v>8.9466666666666672</v>
      </c>
      <c r="H176">
        <v>48</v>
      </c>
      <c r="I176" s="6">
        <f t="shared" si="10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 "/")</f>
        <v>technology</v>
      </c>
      <c r="R176" t="str">
        <v>wearables</v>
      </c>
      <c r="S176" s="10">
        <f t="shared" si="11"/>
        <v>42282.208333333328</v>
      </c>
      <c r="T176" s="11">
        <f t="shared" si="12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9"/>
        <v>0.26191501103752757</v>
      </c>
      <c r="H177">
        <v>1130</v>
      </c>
      <c r="I177" s="6">
        <f t="shared" si="10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 "/")</f>
        <v>theater</v>
      </c>
      <c r="R177" t="str">
        <v>plays</v>
      </c>
      <c r="S177" s="10">
        <f t="shared" si="11"/>
        <v>42613.208333333328</v>
      </c>
      <c r="T177" s="11">
        <f t="shared" si="12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9"/>
        <v>0.74834782608695649</v>
      </c>
      <c r="H178">
        <v>782</v>
      </c>
      <c r="I178" s="6">
        <f t="shared" si="10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 "/")</f>
        <v>theater</v>
      </c>
      <c r="R178" t="str">
        <v>plays</v>
      </c>
      <c r="S178" s="10">
        <f t="shared" si="11"/>
        <v>42616.208333333328</v>
      </c>
      <c r="T178" s="11">
        <f t="shared" si="12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9"/>
        <v>4.1647680412371137</v>
      </c>
      <c r="H179">
        <v>2739</v>
      </c>
      <c r="I179" s="6">
        <f t="shared" si="10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 "/")</f>
        <v>theater</v>
      </c>
      <c r="R179" t="str">
        <v>plays</v>
      </c>
      <c r="S179" s="10">
        <f t="shared" si="11"/>
        <v>40497.25</v>
      </c>
      <c r="T179" s="11">
        <f t="shared" si="12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9"/>
        <v>0.96208333333333329</v>
      </c>
      <c r="H180">
        <v>210</v>
      </c>
      <c r="I180" s="6">
        <f t="shared" si="10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 "/")</f>
        <v>food</v>
      </c>
      <c r="R180" t="str">
        <v>food trucks</v>
      </c>
      <c r="S180" s="10">
        <f t="shared" si="11"/>
        <v>42999.208333333328</v>
      </c>
      <c r="T180" s="11">
        <f t="shared" si="12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9"/>
        <v>3.5771910112359548</v>
      </c>
      <c r="H181">
        <v>3537</v>
      </c>
      <c r="I181" s="6">
        <f t="shared" si="10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 "/")</f>
        <v>theater</v>
      </c>
      <c r="R181" t="str">
        <v>plays</v>
      </c>
      <c r="S181" s="10">
        <f t="shared" si="11"/>
        <v>41350.208333333336</v>
      </c>
      <c r="T181" s="11">
        <f t="shared" si="12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9"/>
        <v>3.0845714285714285</v>
      </c>
      <c r="H182">
        <v>2107</v>
      </c>
      <c r="I182" s="6">
        <f t="shared" si="10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 "/")</f>
        <v>technology</v>
      </c>
      <c r="R182" t="str">
        <v>wearables</v>
      </c>
      <c r="S182" s="10">
        <f t="shared" si="11"/>
        <v>40259.208333333336</v>
      </c>
      <c r="T182" s="11">
        <f t="shared" si="12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9"/>
        <v>0.61802325581395345</v>
      </c>
      <c r="H183">
        <v>136</v>
      </c>
      <c r="I183" s="6">
        <f t="shared" si="10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 "/")</f>
        <v>technology</v>
      </c>
      <c r="R183" t="str">
        <v>web</v>
      </c>
      <c r="S183" s="10">
        <f t="shared" si="11"/>
        <v>43012.208333333328</v>
      </c>
      <c r="T183" s="11">
        <f t="shared" si="12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9"/>
        <v>7.2232472324723247</v>
      </c>
      <c r="H184">
        <v>3318</v>
      </c>
      <c r="I184" s="6">
        <f t="shared" si="10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 "/")</f>
        <v>theater</v>
      </c>
      <c r="R184" t="str">
        <v>plays</v>
      </c>
      <c r="S184" s="10">
        <f t="shared" si="11"/>
        <v>43631.208333333328</v>
      </c>
      <c r="T184" s="11">
        <f t="shared" si="12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9"/>
        <v>0.69117647058823528</v>
      </c>
      <c r="H185">
        <v>86</v>
      </c>
      <c r="I185" s="6">
        <f t="shared" si="10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 "/")</f>
        <v>music</v>
      </c>
      <c r="R185" t="str">
        <v>rock</v>
      </c>
      <c r="S185" s="10">
        <f t="shared" si="11"/>
        <v>40430.208333333336</v>
      </c>
      <c r="T185" s="11">
        <f t="shared" si="12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9"/>
        <v>2.9305555555555554</v>
      </c>
      <c r="H186">
        <v>340</v>
      </c>
      <c r="I186" s="6">
        <f t="shared" si="10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 "/")</f>
        <v>theater</v>
      </c>
      <c r="R186" t="str">
        <v>plays</v>
      </c>
      <c r="S186" s="10">
        <f t="shared" si="11"/>
        <v>43588.208333333328</v>
      </c>
      <c r="T186" s="11">
        <f t="shared" si="12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9"/>
        <v>0.71799999999999997</v>
      </c>
      <c r="H187">
        <v>19</v>
      </c>
      <c r="I187" s="6">
        <f t="shared" si="10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 "/")</f>
        <v>film &amp; video</v>
      </c>
      <c r="R187" t="str">
        <v>television</v>
      </c>
      <c r="S187" s="10">
        <f t="shared" si="11"/>
        <v>43233.208333333328</v>
      </c>
      <c r="T187" s="11">
        <f t="shared" si="12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9"/>
        <v>0.31934684684684683</v>
      </c>
      <c r="H188">
        <v>886</v>
      </c>
      <c r="I188" s="6">
        <f t="shared" si="10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 "/")</f>
        <v>theater</v>
      </c>
      <c r="R188" t="str">
        <v>plays</v>
      </c>
      <c r="S188" s="10">
        <f t="shared" si="11"/>
        <v>41782.208333333336</v>
      </c>
      <c r="T188" s="11">
        <f t="shared" si="12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9"/>
        <v>2.2987375415282392</v>
      </c>
      <c r="H189">
        <v>1442</v>
      </c>
      <c r="I189" s="6">
        <f t="shared" si="10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 "/")</f>
        <v>film &amp; video</v>
      </c>
      <c r="R189" t="str">
        <v>shorts</v>
      </c>
      <c r="S189" s="10">
        <f t="shared" si="11"/>
        <v>41328.25</v>
      </c>
      <c r="T189" s="11">
        <f t="shared" si="12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9"/>
        <v>0.3201219512195122</v>
      </c>
      <c r="H190">
        <v>35</v>
      </c>
      <c r="I190" s="6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 "/")</f>
        <v>theater</v>
      </c>
      <c r="R190" t="str">
        <v>plays</v>
      </c>
      <c r="S190" s="10">
        <f t="shared" si="11"/>
        <v>41975.25</v>
      </c>
      <c r="T190" s="11">
        <f t="shared" si="12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9"/>
        <v>0.23525352848928385</v>
      </c>
      <c r="H191">
        <v>441</v>
      </c>
      <c r="I191" s="6">
        <f t="shared" si="10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 "/")</f>
        <v>theater</v>
      </c>
      <c r="R191" t="str">
        <v>plays</v>
      </c>
      <c r="S191" s="10">
        <f t="shared" si="11"/>
        <v>42433.25</v>
      </c>
      <c r="T191" s="11">
        <f t="shared" si="12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9"/>
        <v>0.68594594594594593</v>
      </c>
      <c r="H192">
        <v>24</v>
      </c>
      <c r="I192" s="6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 "/")</f>
        <v>theater</v>
      </c>
      <c r="R192" t="str">
        <v>plays</v>
      </c>
      <c r="S192" s="10">
        <f t="shared" si="11"/>
        <v>41429.208333333336</v>
      </c>
      <c r="T192" s="11">
        <f t="shared" si="12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9"/>
        <v>0.37952380952380954</v>
      </c>
      <c r="H193">
        <v>86</v>
      </c>
      <c r="I193" s="6">
        <f t="shared" si="10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 "/")</f>
        <v>theater</v>
      </c>
      <c r="R193" t="str">
        <v>plays</v>
      </c>
      <c r="S193" s="10">
        <f t="shared" si="11"/>
        <v>43536.208333333328</v>
      </c>
      <c r="T193" s="11">
        <f t="shared" si="12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ref="G194:G257" si="13">E194/D194</f>
        <v>0.19992957746478873</v>
      </c>
      <c r="H194">
        <v>243</v>
      </c>
      <c r="I194" s="6">
        <f t="shared" ref="I194:I257" si="14">IF(E194,E194/H194,0)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 "/")</f>
        <v>music</v>
      </c>
      <c r="R194" t="str">
        <v>rock</v>
      </c>
      <c r="S194" s="10">
        <f t="shared" ref="S194:S257" si="15">(((L194/60)/60)/24)+DATE(1970,1,1)</f>
        <v>41817.208333333336</v>
      </c>
      <c r="T194" s="11">
        <f t="shared" ref="T194:T257" si="16">(((M194/60)/60)/24)+DATE(1970,1,1)</f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si="13"/>
        <v>0.45636363636363636</v>
      </c>
      <c r="H195">
        <v>65</v>
      </c>
      <c r="I195" s="6">
        <f t="shared" si="14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 "/")</f>
        <v>music</v>
      </c>
      <c r="R195" t="str">
        <v>indie rock</v>
      </c>
      <c r="S195" s="10">
        <f t="shared" si="15"/>
        <v>43198.208333333328</v>
      </c>
      <c r="T195" s="11">
        <f t="shared" si="16"/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si="13"/>
        <v>1.227605633802817</v>
      </c>
      <c r="H196">
        <v>126</v>
      </c>
      <c r="I196" s="6">
        <f t="shared" si="14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 "/")</f>
        <v>music</v>
      </c>
      <c r="R196" t="str">
        <v>metal</v>
      </c>
      <c r="S196" s="10">
        <f t="shared" si="15"/>
        <v>42261.208333333328</v>
      </c>
      <c r="T196" s="11">
        <f t="shared" si="16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13"/>
        <v>3.61753164556962</v>
      </c>
      <c r="H197">
        <v>524</v>
      </c>
      <c r="I197" s="6">
        <f t="shared" si="14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 "/")</f>
        <v>music</v>
      </c>
      <c r="R197" t="str">
        <v>electric music</v>
      </c>
      <c r="S197" s="10">
        <f t="shared" si="15"/>
        <v>43310.208333333328</v>
      </c>
      <c r="T197" s="11">
        <f t="shared" si="16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13"/>
        <v>0.63146341463414635</v>
      </c>
      <c r="H198">
        <v>100</v>
      </c>
      <c r="I198" s="6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 "/")</f>
        <v>technology</v>
      </c>
      <c r="R198" t="str">
        <v>wearables</v>
      </c>
      <c r="S198" s="10">
        <f t="shared" si="15"/>
        <v>42616.208333333328</v>
      </c>
      <c r="T198" s="11">
        <f t="shared" si="16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13"/>
        <v>2.9820475319926874</v>
      </c>
      <c r="H199">
        <v>1989</v>
      </c>
      <c r="I199" s="6">
        <f t="shared" si="14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 "/")</f>
        <v>film &amp; video</v>
      </c>
      <c r="R199" t="str">
        <v>drama</v>
      </c>
      <c r="S199" s="10">
        <f t="shared" si="15"/>
        <v>42909.208333333328</v>
      </c>
      <c r="T199" s="11">
        <f t="shared" si="16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13"/>
        <v>9.5585443037974685E-2</v>
      </c>
      <c r="H200">
        <v>168</v>
      </c>
      <c r="I200" s="6">
        <f t="shared" si="14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 "/")</f>
        <v>music</v>
      </c>
      <c r="R200" t="str">
        <v>electric music</v>
      </c>
      <c r="S200" s="10">
        <f t="shared" si="15"/>
        <v>40396.208333333336</v>
      </c>
      <c r="T200" s="11">
        <f t="shared" si="16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13"/>
        <v>0.5377777777777778</v>
      </c>
      <c r="H201">
        <v>13</v>
      </c>
      <c r="I201" s="6">
        <f t="shared" si="14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 "/")</f>
        <v>music</v>
      </c>
      <c r="R201" t="str">
        <v>rock</v>
      </c>
      <c r="S201" s="10">
        <f t="shared" si="15"/>
        <v>42192.208333333328</v>
      </c>
      <c r="T201" s="11">
        <f t="shared" si="16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13"/>
        <v>0.02</v>
      </c>
      <c r="H202">
        <v>1</v>
      </c>
      <c r="I202" s="6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 "/")</f>
        <v>theater</v>
      </c>
      <c r="R202" t="str">
        <v>plays</v>
      </c>
      <c r="S202" s="10">
        <f t="shared" si="15"/>
        <v>40262.208333333336</v>
      </c>
      <c r="T202" s="11">
        <f t="shared" si="16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13"/>
        <v>6.8119047619047617</v>
      </c>
      <c r="H203">
        <v>157</v>
      </c>
      <c r="I203" s="6">
        <f t="shared" si="14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 "/")</f>
        <v>technology</v>
      </c>
      <c r="R203" t="str">
        <v>web</v>
      </c>
      <c r="S203" s="10">
        <f t="shared" si="15"/>
        <v>41845.208333333336</v>
      </c>
      <c r="T203" s="11">
        <f t="shared" si="16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13"/>
        <v>0.78831325301204824</v>
      </c>
      <c r="H204">
        <v>82</v>
      </c>
      <c r="I204" s="6">
        <f t="shared" si="14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 "/")</f>
        <v>food</v>
      </c>
      <c r="R204" t="str">
        <v>food trucks</v>
      </c>
      <c r="S204" s="10">
        <f t="shared" si="15"/>
        <v>40818.208333333336</v>
      </c>
      <c r="T204" s="11">
        <f t="shared" si="16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13"/>
        <v>1.3440792216817234</v>
      </c>
      <c r="H205">
        <v>4498</v>
      </c>
      <c r="I205" s="6">
        <f t="shared" si="14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 "/")</f>
        <v>theater</v>
      </c>
      <c r="R205" t="str">
        <v>plays</v>
      </c>
      <c r="S205" s="10">
        <f t="shared" si="15"/>
        <v>42752.25</v>
      </c>
      <c r="T205" s="11">
        <f t="shared" si="16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13"/>
        <v>3.372E-2</v>
      </c>
      <c r="H206">
        <v>40</v>
      </c>
      <c r="I206" s="6">
        <f t="shared" si="14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 "/")</f>
        <v>music</v>
      </c>
      <c r="R206" t="str">
        <v>jazz</v>
      </c>
      <c r="S206" s="10">
        <f t="shared" si="15"/>
        <v>40636.208333333336</v>
      </c>
      <c r="T206" s="11">
        <f t="shared" si="16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13"/>
        <v>4.3184615384615386</v>
      </c>
      <c r="H207">
        <v>80</v>
      </c>
      <c r="I207" s="6">
        <f t="shared" si="14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 "/")</f>
        <v>theater</v>
      </c>
      <c r="R207" t="str">
        <v>plays</v>
      </c>
      <c r="S207" s="10">
        <f t="shared" si="15"/>
        <v>43390.208333333328</v>
      </c>
      <c r="T207" s="11">
        <f t="shared" si="16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13"/>
        <v>0.38844444444444443</v>
      </c>
      <c r="H208">
        <v>57</v>
      </c>
      <c r="I208" s="6">
        <f t="shared" si="14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 "/")</f>
        <v>publishing</v>
      </c>
      <c r="R208" t="str">
        <v>fiction</v>
      </c>
      <c r="S208" s="10">
        <f t="shared" si="15"/>
        <v>40236.25</v>
      </c>
      <c r="T208" s="11">
        <f t="shared" si="16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13"/>
        <v>4.2569999999999997</v>
      </c>
      <c r="H209">
        <v>43</v>
      </c>
      <c r="I209" s="6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 "/")</f>
        <v>music</v>
      </c>
      <c r="R209" t="str">
        <v>rock</v>
      </c>
      <c r="S209" s="10">
        <f t="shared" si="15"/>
        <v>43340.208333333328</v>
      </c>
      <c r="T209" s="11">
        <f t="shared" si="16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13"/>
        <v>1.0112239715591671</v>
      </c>
      <c r="H210">
        <v>2053</v>
      </c>
      <c r="I210" s="6">
        <f t="shared" si="14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 "/")</f>
        <v>film &amp; video</v>
      </c>
      <c r="R210" t="str">
        <v>documentary</v>
      </c>
      <c r="S210" s="10">
        <f t="shared" si="15"/>
        <v>43048.25</v>
      </c>
      <c r="T210" s="11">
        <f t="shared" si="16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13"/>
        <v>0.21188688946015424</v>
      </c>
      <c r="H211">
        <v>808</v>
      </c>
      <c r="I211" s="6">
        <f t="shared" si="14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 "/")</f>
        <v>film &amp; video</v>
      </c>
      <c r="R211" t="str">
        <v>documentary</v>
      </c>
      <c r="S211" s="10">
        <f t="shared" si="15"/>
        <v>42496.208333333328</v>
      </c>
      <c r="T211" s="11">
        <f t="shared" si="16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13"/>
        <v>0.67425531914893622</v>
      </c>
      <c r="H212">
        <v>226</v>
      </c>
      <c r="I212" s="6">
        <f t="shared" si="14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 "/")</f>
        <v>film &amp; video</v>
      </c>
      <c r="R212" t="str">
        <v>science fiction</v>
      </c>
      <c r="S212" s="10">
        <f t="shared" si="15"/>
        <v>42797.25</v>
      </c>
      <c r="T212" s="11">
        <f t="shared" si="16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13"/>
        <v>0.9492337164750958</v>
      </c>
      <c r="H213">
        <v>1625</v>
      </c>
      <c r="I213" s="6">
        <f t="shared" si="14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 "/")</f>
        <v>theater</v>
      </c>
      <c r="R213" t="str">
        <v>plays</v>
      </c>
      <c r="S213" s="10">
        <f t="shared" si="15"/>
        <v>41513.208333333336</v>
      </c>
      <c r="T213" s="11">
        <f t="shared" si="16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13"/>
        <v>1.5185185185185186</v>
      </c>
      <c r="H214">
        <v>168</v>
      </c>
      <c r="I214" s="6">
        <f t="shared" si="14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 "/")</f>
        <v>theater</v>
      </c>
      <c r="R214" t="str">
        <v>plays</v>
      </c>
      <c r="S214" s="10">
        <f t="shared" si="15"/>
        <v>43814.25</v>
      </c>
      <c r="T214" s="11">
        <f t="shared" si="16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13"/>
        <v>1.9516382252559727</v>
      </c>
      <c r="H215">
        <v>4289</v>
      </c>
      <c r="I215" s="6">
        <f t="shared" si="14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 "/")</f>
        <v>music</v>
      </c>
      <c r="R215" t="str">
        <v>indie rock</v>
      </c>
      <c r="S215" s="10">
        <f t="shared" si="15"/>
        <v>40488.208333333336</v>
      </c>
      <c r="T215" s="11">
        <f t="shared" si="16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13"/>
        <v>10.231428571428571</v>
      </c>
      <c r="H216">
        <v>165</v>
      </c>
      <c r="I216" s="6">
        <f t="shared" si="14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 "/")</f>
        <v>music</v>
      </c>
      <c r="R216" t="str">
        <v>rock</v>
      </c>
      <c r="S216" s="10">
        <f t="shared" si="15"/>
        <v>40409.208333333336</v>
      </c>
      <c r="T216" s="11">
        <f t="shared" si="16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13"/>
        <v>3.8418367346938778E-2</v>
      </c>
      <c r="H217">
        <v>143</v>
      </c>
      <c r="I217" s="6">
        <f t="shared" si="14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 "/")</f>
        <v>theater</v>
      </c>
      <c r="R217" t="str">
        <v>plays</v>
      </c>
      <c r="S217" s="10">
        <f t="shared" si="15"/>
        <v>43509.25</v>
      </c>
      <c r="T217" s="11">
        <f t="shared" si="16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13"/>
        <v>1.5507066557107643</v>
      </c>
      <c r="H218">
        <v>1815</v>
      </c>
      <c r="I218" s="6">
        <f t="shared" si="14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 "/")</f>
        <v>theater</v>
      </c>
      <c r="R218" t="str">
        <v>plays</v>
      </c>
      <c r="S218" s="10">
        <f t="shared" si="15"/>
        <v>40869.25</v>
      </c>
      <c r="T218" s="11">
        <f t="shared" si="16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13"/>
        <v>0.44753477588871715</v>
      </c>
      <c r="H219">
        <v>934</v>
      </c>
      <c r="I219" s="6">
        <f t="shared" si="14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 "/")</f>
        <v>film &amp; video</v>
      </c>
      <c r="R219" t="str">
        <v>science fiction</v>
      </c>
      <c r="S219" s="10">
        <f t="shared" si="15"/>
        <v>43583.208333333328</v>
      </c>
      <c r="T219" s="11">
        <f t="shared" si="16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13"/>
        <v>2.1594736842105262</v>
      </c>
      <c r="H220">
        <v>397</v>
      </c>
      <c r="I220" s="6">
        <f t="shared" si="14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 "/")</f>
        <v>film &amp; video</v>
      </c>
      <c r="R220" t="str">
        <v>shorts</v>
      </c>
      <c r="S220" s="10">
        <f t="shared" si="15"/>
        <v>40858.25</v>
      </c>
      <c r="T220" s="11">
        <f t="shared" si="16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13"/>
        <v>3.3212709832134291</v>
      </c>
      <c r="H221">
        <v>1539</v>
      </c>
      <c r="I221" s="6">
        <f t="shared" si="14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 "/")</f>
        <v>film &amp; video</v>
      </c>
      <c r="R221" t="str">
        <v>animation</v>
      </c>
      <c r="S221" s="10">
        <f t="shared" si="15"/>
        <v>41137.208333333336</v>
      </c>
      <c r="T221" s="11">
        <f t="shared" si="16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13"/>
        <v>8.4430379746835441E-2</v>
      </c>
      <c r="H222">
        <v>17</v>
      </c>
      <c r="I222" s="6">
        <f t="shared" si="14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 "/")</f>
        <v>theater</v>
      </c>
      <c r="R222" t="str">
        <v>plays</v>
      </c>
      <c r="S222" s="10">
        <f t="shared" si="15"/>
        <v>40725.208333333336</v>
      </c>
      <c r="T222" s="11">
        <f t="shared" si="16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13"/>
        <v>0.9862551440329218</v>
      </c>
      <c r="H223">
        <v>2179</v>
      </c>
      <c r="I223" s="6">
        <f t="shared" si="14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 "/")</f>
        <v>food</v>
      </c>
      <c r="R223" t="str">
        <v>food trucks</v>
      </c>
      <c r="S223" s="10">
        <f t="shared" si="15"/>
        <v>41081.208333333336</v>
      </c>
      <c r="T223" s="11">
        <f t="shared" si="16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13"/>
        <v>1.3797916666666667</v>
      </c>
      <c r="H224">
        <v>138</v>
      </c>
      <c r="I224" s="6">
        <f t="shared" si="14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 "/")</f>
        <v>photography</v>
      </c>
      <c r="R224" t="str">
        <v>photography books</v>
      </c>
      <c r="S224" s="10">
        <f t="shared" si="15"/>
        <v>41914.208333333336</v>
      </c>
      <c r="T224" s="11">
        <f t="shared" si="16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13"/>
        <v>0.93810996563573879</v>
      </c>
      <c r="H225">
        <v>931</v>
      </c>
      <c r="I225" s="6">
        <f t="shared" si="14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 "/")</f>
        <v>theater</v>
      </c>
      <c r="R225" t="str">
        <v>plays</v>
      </c>
      <c r="S225" s="10">
        <f t="shared" si="15"/>
        <v>42445.208333333328</v>
      </c>
      <c r="T225" s="11">
        <f t="shared" si="16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13"/>
        <v>4.0363930885529156</v>
      </c>
      <c r="H226">
        <v>3594</v>
      </c>
      <c r="I226" s="6">
        <f t="shared" si="14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 "/")</f>
        <v>film &amp; video</v>
      </c>
      <c r="R226" t="str">
        <v>science fiction</v>
      </c>
      <c r="S226" s="10">
        <f t="shared" si="15"/>
        <v>41906.208333333336</v>
      </c>
      <c r="T226" s="11">
        <f t="shared" si="16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13"/>
        <v>2.6017404129793511</v>
      </c>
      <c r="H227">
        <v>5880</v>
      </c>
      <c r="I227" s="6">
        <f t="shared" si="14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 "/")</f>
        <v>music</v>
      </c>
      <c r="R227" t="str">
        <v>rock</v>
      </c>
      <c r="S227" s="10">
        <f t="shared" si="15"/>
        <v>41762.208333333336</v>
      </c>
      <c r="T227" s="11">
        <f t="shared" si="16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13"/>
        <v>3.6663333333333332</v>
      </c>
      <c r="H228">
        <v>112</v>
      </c>
      <c r="I228" s="6">
        <f t="shared" si="14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 "/")</f>
        <v>photography</v>
      </c>
      <c r="R228" t="str">
        <v>photography books</v>
      </c>
      <c r="S228" s="10">
        <f t="shared" si="15"/>
        <v>40276.208333333336</v>
      </c>
      <c r="T228" s="11">
        <f t="shared" si="16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13"/>
        <v>1.687208538587849</v>
      </c>
      <c r="H229">
        <v>943</v>
      </c>
      <c r="I229" s="6">
        <f t="shared" si="14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 "/")</f>
        <v>games</v>
      </c>
      <c r="R229" t="str">
        <v>mobile games</v>
      </c>
      <c r="S229" s="10">
        <f t="shared" si="15"/>
        <v>42139.208333333328</v>
      </c>
      <c r="T229" s="11">
        <f t="shared" si="16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13"/>
        <v>1.1990717911530093</v>
      </c>
      <c r="H230">
        <v>2468</v>
      </c>
      <c r="I230" s="6">
        <f t="shared" si="14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 "/")</f>
        <v>film &amp; video</v>
      </c>
      <c r="R230" t="str">
        <v>animation</v>
      </c>
      <c r="S230" s="10">
        <f t="shared" si="15"/>
        <v>42613.208333333328</v>
      </c>
      <c r="T230" s="11">
        <f t="shared" si="16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13"/>
        <v>1.936892523364486</v>
      </c>
      <c r="H231">
        <v>2551</v>
      </c>
      <c r="I231" s="6">
        <f t="shared" si="14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 "/")</f>
        <v>games</v>
      </c>
      <c r="R231" t="str">
        <v>mobile games</v>
      </c>
      <c r="S231" s="10">
        <f t="shared" si="15"/>
        <v>42887.208333333328</v>
      </c>
      <c r="T231" s="11">
        <f t="shared" si="16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13"/>
        <v>4.2016666666666671</v>
      </c>
      <c r="H232">
        <v>101</v>
      </c>
      <c r="I232" s="6">
        <f t="shared" si="14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 "/")</f>
        <v>games</v>
      </c>
      <c r="R232" t="str">
        <v>video games</v>
      </c>
      <c r="S232" s="10">
        <f t="shared" si="15"/>
        <v>43805.25</v>
      </c>
      <c r="T232" s="11">
        <f t="shared" si="16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13"/>
        <v>0.76708333333333334</v>
      </c>
      <c r="H233">
        <v>67</v>
      </c>
      <c r="I233" s="6">
        <f t="shared" si="14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 "/")</f>
        <v>theater</v>
      </c>
      <c r="R233" t="str">
        <v>plays</v>
      </c>
      <c r="S233" s="10">
        <f t="shared" si="15"/>
        <v>41415.208333333336</v>
      </c>
      <c r="T233" s="11">
        <f t="shared" si="16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13"/>
        <v>1.7126470588235294</v>
      </c>
      <c r="H234">
        <v>92</v>
      </c>
      <c r="I234" s="6">
        <f t="shared" si="14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 "/")</f>
        <v>theater</v>
      </c>
      <c r="R234" t="str">
        <v>plays</v>
      </c>
      <c r="S234" s="10">
        <f t="shared" si="15"/>
        <v>42576.208333333328</v>
      </c>
      <c r="T234" s="11">
        <f t="shared" si="16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13"/>
        <v>1.5789473684210527</v>
      </c>
      <c r="H235">
        <v>62</v>
      </c>
      <c r="I235" s="6">
        <f t="shared" si="14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 "/")</f>
        <v>film &amp; video</v>
      </c>
      <c r="R235" t="str">
        <v>animation</v>
      </c>
      <c r="S235" s="10">
        <f t="shared" si="15"/>
        <v>40706.208333333336</v>
      </c>
      <c r="T235" s="11">
        <f t="shared" si="16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13"/>
        <v>1.0908</v>
      </c>
      <c r="H236">
        <v>149</v>
      </c>
      <c r="I236" s="6">
        <f t="shared" si="14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 "/")</f>
        <v>games</v>
      </c>
      <c r="R236" t="str">
        <v>video games</v>
      </c>
      <c r="S236" s="10">
        <f t="shared" si="15"/>
        <v>42969.208333333328</v>
      </c>
      <c r="T236" s="11">
        <f t="shared" si="16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13"/>
        <v>0.41732558139534881</v>
      </c>
      <c r="H237">
        <v>92</v>
      </c>
      <c r="I237" s="6">
        <f t="shared" si="14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 "/")</f>
        <v>film &amp; video</v>
      </c>
      <c r="R237" t="str">
        <v>animation</v>
      </c>
      <c r="S237" s="10">
        <f t="shared" si="15"/>
        <v>42779.25</v>
      </c>
      <c r="T237" s="11">
        <f t="shared" si="16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13"/>
        <v>0.10944303797468355</v>
      </c>
      <c r="H238">
        <v>57</v>
      </c>
      <c r="I238" s="6">
        <f t="shared" si="14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 "/")</f>
        <v>music</v>
      </c>
      <c r="R238" t="str">
        <v>rock</v>
      </c>
      <c r="S238" s="10">
        <f t="shared" si="15"/>
        <v>43641.208333333328</v>
      </c>
      <c r="T238" s="11">
        <f t="shared" si="16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13"/>
        <v>1.593763440860215</v>
      </c>
      <c r="H239">
        <v>329</v>
      </c>
      <c r="I239" s="6">
        <f t="shared" si="14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 "/")</f>
        <v>film &amp; video</v>
      </c>
      <c r="R239" t="str">
        <v>animation</v>
      </c>
      <c r="S239" s="10">
        <f t="shared" si="15"/>
        <v>41754.208333333336</v>
      </c>
      <c r="T239" s="11">
        <f t="shared" si="16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13"/>
        <v>4.2241666666666671</v>
      </c>
      <c r="H240">
        <v>97</v>
      </c>
      <c r="I240" s="6">
        <f t="shared" si="14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 "/")</f>
        <v>theater</v>
      </c>
      <c r="R240" t="str">
        <v>plays</v>
      </c>
      <c r="S240" s="10">
        <f t="shared" si="15"/>
        <v>43083.25</v>
      </c>
      <c r="T240" s="11">
        <f t="shared" si="16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13"/>
        <v>0.97718749999999999</v>
      </c>
      <c r="H241">
        <v>41</v>
      </c>
      <c r="I241" s="6">
        <f t="shared" si="14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 "/")</f>
        <v>technology</v>
      </c>
      <c r="R241" t="str">
        <v>wearables</v>
      </c>
      <c r="S241" s="10">
        <f t="shared" si="15"/>
        <v>42245.208333333328</v>
      </c>
      <c r="T241" s="11">
        <f t="shared" si="16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13"/>
        <v>4.1878911564625847</v>
      </c>
      <c r="H242">
        <v>1784</v>
      </c>
      <c r="I242" s="6">
        <f t="shared" si="14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 "/")</f>
        <v>theater</v>
      </c>
      <c r="R242" t="str">
        <v>plays</v>
      </c>
      <c r="S242" s="10">
        <f t="shared" si="15"/>
        <v>40396.208333333336</v>
      </c>
      <c r="T242" s="11">
        <f t="shared" si="16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13"/>
        <v>1.0191632047477746</v>
      </c>
      <c r="H243">
        <v>1684</v>
      </c>
      <c r="I243" s="6">
        <f t="shared" si="14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 "/")</f>
        <v>publishing</v>
      </c>
      <c r="R243" t="str">
        <v>nonfiction</v>
      </c>
      <c r="S243" s="10">
        <f t="shared" si="15"/>
        <v>41742.208333333336</v>
      </c>
      <c r="T243" s="11">
        <f t="shared" si="16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13"/>
        <v>1.2772619047619047</v>
      </c>
      <c r="H244">
        <v>250</v>
      </c>
      <c r="I244" s="6">
        <f t="shared" si="14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 "/")</f>
        <v>music</v>
      </c>
      <c r="R244" t="str">
        <v>rock</v>
      </c>
      <c r="S244" s="10">
        <f t="shared" si="15"/>
        <v>42865.208333333328</v>
      </c>
      <c r="T244" s="11">
        <f t="shared" si="16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13"/>
        <v>4.4521739130434783</v>
      </c>
      <c r="H245">
        <v>238</v>
      </c>
      <c r="I245" s="6">
        <f t="shared" si="14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 "/")</f>
        <v>theater</v>
      </c>
      <c r="R245" t="str">
        <v>plays</v>
      </c>
      <c r="S245" s="10">
        <f t="shared" si="15"/>
        <v>43163.25</v>
      </c>
      <c r="T245" s="11">
        <f t="shared" si="16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13"/>
        <v>5.6971428571428575</v>
      </c>
      <c r="H246">
        <v>53</v>
      </c>
      <c r="I246" s="6">
        <f t="shared" si="14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 "/")</f>
        <v>theater</v>
      </c>
      <c r="R246" t="str">
        <v>plays</v>
      </c>
      <c r="S246" s="10">
        <f t="shared" si="15"/>
        <v>41834.208333333336</v>
      </c>
      <c r="T246" s="11">
        <f t="shared" si="16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13"/>
        <v>5.0934482758620687</v>
      </c>
      <c r="H247">
        <v>214</v>
      </c>
      <c r="I247" s="6">
        <f t="shared" si="14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 "/")</f>
        <v>theater</v>
      </c>
      <c r="R247" t="str">
        <v>plays</v>
      </c>
      <c r="S247" s="10">
        <f t="shared" si="15"/>
        <v>41736.208333333336</v>
      </c>
      <c r="T247" s="11">
        <f t="shared" si="16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13"/>
        <v>3.2553333333333332</v>
      </c>
      <c r="H248">
        <v>222</v>
      </c>
      <c r="I248" s="6">
        <f t="shared" si="14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 "/")</f>
        <v>technology</v>
      </c>
      <c r="R248" t="str">
        <v>web</v>
      </c>
      <c r="S248" s="10">
        <f t="shared" si="15"/>
        <v>41491.208333333336</v>
      </c>
      <c r="T248" s="11">
        <f t="shared" si="16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13"/>
        <v>9.3261616161616168</v>
      </c>
      <c r="H249">
        <v>1884</v>
      </c>
      <c r="I249" s="6">
        <f t="shared" si="14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 "/")</f>
        <v>publishing</v>
      </c>
      <c r="R249" t="str">
        <v>fiction</v>
      </c>
      <c r="S249" s="10">
        <f t="shared" si="15"/>
        <v>42726.25</v>
      </c>
      <c r="T249" s="11">
        <f t="shared" si="16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13"/>
        <v>2.1133870967741935</v>
      </c>
      <c r="H250">
        <v>218</v>
      </c>
      <c r="I250" s="6">
        <f t="shared" si="14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 "/")</f>
        <v>games</v>
      </c>
      <c r="R250" t="str">
        <v>mobile games</v>
      </c>
      <c r="S250" s="10">
        <f t="shared" si="15"/>
        <v>42004.25</v>
      </c>
      <c r="T250" s="11">
        <f t="shared" si="16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13"/>
        <v>2.7332520325203253</v>
      </c>
      <c r="H251">
        <v>6465</v>
      </c>
      <c r="I251" s="6">
        <f t="shared" si="14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 "/")</f>
        <v>publishing</v>
      </c>
      <c r="R251" t="str">
        <v>translations</v>
      </c>
      <c r="S251" s="10">
        <f t="shared" si="15"/>
        <v>42006.25</v>
      </c>
      <c r="T251" s="11">
        <f t="shared" si="16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13"/>
        <v>0.03</v>
      </c>
      <c r="H252">
        <v>1</v>
      </c>
      <c r="I252" s="6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 "/")</f>
        <v>music</v>
      </c>
      <c r="R252" t="str">
        <v>rock</v>
      </c>
      <c r="S252" s="10">
        <f t="shared" si="15"/>
        <v>40203.25</v>
      </c>
      <c r="T252" s="11">
        <f t="shared" si="16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13"/>
        <v>0.54084507042253516</v>
      </c>
      <c r="H253">
        <v>101</v>
      </c>
      <c r="I253" s="6">
        <f t="shared" si="14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 "/")</f>
        <v>theater</v>
      </c>
      <c r="R253" t="str">
        <v>plays</v>
      </c>
      <c r="S253" s="10">
        <f t="shared" si="15"/>
        <v>41252.25</v>
      </c>
      <c r="T253" s="11">
        <f t="shared" si="16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13"/>
        <v>6.2629999999999999</v>
      </c>
      <c r="H254">
        <v>59</v>
      </c>
      <c r="I254" s="6">
        <f t="shared" si="14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 "/")</f>
        <v>theater</v>
      </c>
      <c r="R254" t="str">
        <v>plays</v>
      </c>
      <c r="S254" s="10">
        <f t="shared" si="15"/>
        <v>41572.208333333336</v>
      </c>
      <c r="T254" s="11">
        <f t="shared" si="16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13"/>
        <v>0.8902139917695473</v>
      </c>
      <c r="H255">
        <v>1335</v>
      </c>
      <c r="I255" s="6">
        <f t="shared" si="14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 "/")</f>
        <v>film &amp; video</v>
      </c>
      <c r="R255" t="str">
        <v>drama</v>
      </c>
      <c r="S255" s="10">
        <f t="shared" si="15"/>
        <v>40641.208333333336</v>
      </c>
      <c r="T255" s="11">
        <f t="shared" si="16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13"/>
        <v>1.8489130434782608</v>
      </c>
      <c r="H256">
        <v>88</v>
      </c>
      <c r="I256" s="6">
        <f t="shared" si="14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 "/")</f>
        <v>publishing</v>
      </c>
      <c r="R256" t="str">
        <v>nonfiction</v>
      </c>
      <c r="S256" s="10">
        <f t="shared" si="15"/>
        <v>42787.25</v>
      </c>
      <c r="T256" s="11">
        <f t="shared" si="16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13"/>
        <v>1.2016770186335404</v>
      </c>
      <c r="H257">
        <v>1697</v>
      </c>
      <c r="I257" s="6">
        <f t="shared" si="14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 "/")</f>
        <v>music</v>
      </c>
      <c r="R257" t="str">
        <v>rock</v>
      </c>
      <c r="S257" s="10">
        <f t="shared" si="15"/>
        <v>40590.25</v>
      </c>
      <c r="T257" s="11">
        <f t="shared" si="16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ref="G258:G321" si="17">E258/D258</f>
        <v>0.23390243902439026</v>
      </c>
      <c r="H258">
        <v>15</v>
      </c>
      <c r="I258" s="6">
        <f t="shared" ref="I258:I321" si="18">IF(E258,E258/H258,0)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 "/")</f>
        <v>music</v>
      </c>
      <c r="R258" t="str">
        <v>rock</v>
      </c>
      <c r="S258" s="10">
        <f t="shared" ref="S258:S321" si="19">(((L258/60)/60)/24)+DATE(1970,1,1)</f>
        <v>42393.25</v>
      </c>
      <c r="T258" s="11">
        <f t="shared" ref="T258:T321" si="20">(((M258/60)/60)/24)+DATE(1970,1,1)</f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si="17"/>
        <v>1.46</v>
      </c>
      <c r="H259">
        <v>92</v>
      </c>
      <c r="I259" s="6">
        <f t="shared" si="18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 "/")</f>
        <v>theater</v>
      </c>
      <c r="R259" t="str">
        <v>plays</v>
      </c>
      <c r="S259" s="10">
        <f t="shared" si="19"/>
        <v>41338.25</v>
      </c>
      <c r="T259" s="11">
        <f t="shared" si="20"/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si="17"/>
        <v>2.6848000000000001</v>
      </c>
      <c r="H260">
        <v>186</v>
      </c>
      <c r="I260" s="6">
        <f t="shared" si="18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 "/")</f>
        <v>theater</v>
      </c>
      <c r="R260" t="str">
        <v>plays</v>
      </c>
      <c r="S260" s="10">
        <f t="shared" si="19"/>
        <v>42712.25</v>
      </c>
      <c r="T260" s="11">
        <f t="shared" si="20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17"/>
        <v>5.9749999999999996</v>
      </c>
      <c r="H261">
        <v>138</v>
      </c>
      <c r="I261" s="6">
        <f t="shared" si="1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 "/")</f>
        <v>photography</v>
      </c>
      <c r="R261" t="str">
        <v>photography books</v>
      </c>
      <c r="S261" s="10">
        <f t="shared" si="19"/>
        <v>41251.25</v>
      </c>
      <c r="T261" s="11">
        <f t="shared" si="20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17"/>
        <v>1.5769841269841269</v>
      </c>
      <c r="H262">
        <v>261</v>
      </c>
      <c r="I262" s="6">
        <f t="shared" si="1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 "/")</f>
        <v>music</v>
      </c>
      <c r="R262" t="str">
        <v>rock</v>
      </c>
      <c r="S262" s="10">
        <f t="shared" si="19"/>
        <v>41180.208333333336</v>
      </c>
      <c r="T262" s="11">
        <f t="shared" si="20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17"/>
        <v>0.31201660735468567</v>
      </c>
      <c r="H263">
        <v>454</v>
      </c>
      <c r="I263" s="6">
        <f t="shared" si="1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 "/")</f>
        <v>music</v>
      </c>
      <c r="R263" t="str">
        <v>rock</v>
      </c>
      <c r="S263" s="10">
        <f t="shared" si="19"/>
        <v>40415.208333333336</v>
      </c>
      <c r="T263" s="11">
        <f t="shared" si="20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17"/>
        <v>3.1341176470588237</v>
      </c>
      <c r="H264">
        <v>107</v>
      </c>
      <c r="I264" s="6">
        <f t="shared" si="1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 "/")</f>
        <v>music</v>
      </c>
      <c r="R264" t="str">
        <v>indie rock</v>
      </c>
      <c r="S264" s="10">
        <f t="shared" si="19"/>
        <v>40638.208333333336</v>
      </c>
      <c r="T264" s="11">
        <f t="shared" si="20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17"/>
        <v>3.7089655172413791</v>
      </c>
      <c r="H265">
        <v>199</v>
      </c>
      <c r="I265" s="6">
        <f t="shared" si="1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 "/")</f>
        <v>photography</v>
      </c>
      <c r="R265" t="str">
        <v>photography books</v>
      </c>
      <c r="S265" s="10">
        <f t="shared" si="19"/>
        <v>40187.25</v>
      </c>
      <c r="T265" s="11">
        <f t="shared" si="20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17"/>
        <v>3.6266447368421053</v>
      </c>
      <c r="H266">
        <v>5512</v>
      </c>
      <c r="I266" s="6">
        <f t="shared" si="1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 "/")</f>
        <v>theater</v>
      </c>
      <c r="R266" t="str">
        <v>plays</v>
      </c>
      <c r="S266" s="10">
        <f t="shared" si="19"/>
        <v>41317.25</v>
      </c>
      <c r="T266" s="11">
        <f t="shared" si="20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17"/>
        <v>1.2308163265306122</v>
      </c>
      <c r="H267">
        <v>86</v>
      </c>
      <c r="I267" s="6">
        <f t="shared" si="1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 "/")</f>
        <v>theater</v>
      </c>
      <c r="R267" t="str">
        <v>plays</v>
      </c>
      <c r="S267" s="10">
        <f t="shared" si="19"/>
        <v>42372.25</v>
      </c>
      <c r="T267" s="11">
        <f t="shared" si="20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17"/>
        <v>0.76766756032171579</v>
      </c>
      <c r="H268">
        <v>3182</v>
      </c>
      <c r="I268" s="6">
        <f t="shared" si="1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 "/")</f>
        <v>music</v>
      </c>
      <c r="R268" t="str">
        <v>jazz</v>
      </c>
      <c r="S268" s="10">
        <f t="shared" si="19"/>
        <v>41950.25</v>
      </c>
      <c r="T268" s="11">
        <f t="shared" si="20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17"/>
        <v>2.3362012987012988</v>
      </c>
      <c r="H269">
        <v>2768</v>
      </c>
      <c r="I269" s="6">
        <f t="shared" si="1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 "/")</f>
        <v>theater</v>
      </c>
      <c r="R269" t="str">
        <v>plays</v>
      </c>
      <c r="S269" s="10">
        <f t="shared" si="19"/>
        <v>41206.208333333336</v>
      </c>
      <c r="T269" s="11">
        <f t="shared" si="20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17"/>
        <v>1.8053333333333332</v>
      </c>
      <c r="H270">
        <v>48</v>
      </c>
      <c r="I270" s="6">
        <f t="shared" si="1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 "/")</f>
        <v>film &amp; video</v>
      </c>
      <c r="R270" t="str">
        <v>documentary</v>
      </c>
      <c r="S270" s="10">
        <f t="shared" si="19"/>
        <v>41186.208333333336</v>
      </c>
      <c r="T270" s="11">
        <f t="shared" si="20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17"/>
        <v>2.5262857142857142</v>
      </c>
      <c r="H271">
        <v>87</v>
      </c>
      <c r="I271" s="6">
        <f t="shared" si="1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 "/")</f>
        <v>film &amp; video</v>
      </c>
      <c r="R271" t="str">
        <v>television</v>
      </c>
      <c r="S271" s="10">
        <f t="shared" si="19"/>
        <v>43496.25</v>
      </c>
      <c r="T271" s="11">
        <f t="shared" si="20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17"/>
        <v>0.27176538240368026</v>
      </c>
      <c r="H272">
        <v>1890</v>
      </c>
      <c r="I272" s="6">
        <f t="shared" si="1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 "/")</f>
        <v>games</v>
      </c>
      <c r="R272" t="str">
        <v>video games</v>
      </c>
      <c r="S272" s="10">
        <f t="shared" si="19"/>
        <v>40514.25</v>
      </c>
      <c r="T272" s="11">
        <f t="shared" si="20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17"/>
        <v>1.2706571242680547E-2</v>
      </c>
      <c r="H273">
        <v>61</v>
      </c>
      <c r="I273" s="6">
        <f t="shared" si="1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 "/")</f>
        <v>photography</v>
      </c>
      <c r="R273" t="str">
        <v>photography books</v>
      </c>
      <c r="S273" s="10">
        <f t="shared" si="19"/>
        <v>42345.25</v>
      </c>
      <c r="T273" s="11">
        <f t="shared" si="20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17"/>
        <v>3.0400978473581213</v>
      </c>
      <c r="H274">
        <v>1894</v>
      </c>
      <c r="I274" s="6">
        <f t="shared" si="1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 "/")</f>
        <v>theater</v>
      </c>
      <c r="R274" t="str">
        <v>plays</v>
      </c>
      <c r="S274" s="10">
        <f t="shared" si="19"/>
        <v>43656.208333333328</v>
      </c>
      <c r="T274" s="11">
        <f t="shared" si="20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17"/>
        <v>1.3723076923076922</v>
      </c>
      <c r="H275">
        <v>282</v>
      </c>
      <c r="I275" s="6">
        <f t="shared" si="1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 "/")</f>
        <v>theater</v>
      </c>
      <c r="R275" t="str">
        <v>plays</v>
      </c>
      <c r="S275" s="10">
        <f t="shared" si="19"/>
        <v>42995.208333333328</v>
      </c>
      <c r="T275" s="11">
        <f t="shared" si="20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17"/>
        <v>0.32208333333333333</v>
      </c>
      <c r="H276">
        <v>15</v>
      </c>
      <c r="I276" s="6">
        <f t="shared" si="1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 "/")</f>
        <v>theater</v>
      </c>
      <c r="R276" t="str">
        <v>plays</v>
      </c>
      <c r="S276" s="10">
        <f t="shared" si="19"/>
        <v>43045.25</v>
      </c>
      <c r="T276" s="11">
        <f t="shared" si="20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17"/>
        <v>2.4151282051282053</v>
      </c>
      <c r="H277">
        <v>116</v>
      </c>
      <c r="I277" s="6">
        <f t="shared" si="1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 "/")</f>
        <v>publishing</v>
      </c>
      <c r="R277" t="str">
        <v>translations</v>
      </c>
      <c r="S277" s="10">
        <f t="shared" si="19"/>
        <v>43561.208333333328</v>
      </c>
      <c r="T277" s="11">
        <f t="shared" si="20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17"/>
        <v>0.96799999999999997</v>
      </c>
      <c r="H278">
        <v>133</v>
      </c>
      <c r="I278" s="6">
        <f t="shared" si="1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 "/")</f>
        <v>games</v>
      </c>
      <c r="R278" t="str">
        <v>video games</v>
      </c>
      <c r="S278" s="10">
        <f t="shared" si="19"/>
        <v>41018.208333333336</v>
      </c>
      <c r="T278" s="11">
        <f t="shared" si="20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17"/>
        <v>10.664285714285715</v>
      </c>
      <c r="H279">
        <v>83</v>
      </c>
      <c r="I279" s="6">
        <f t="shared" si="1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 "/")</f>
        <v>theater</v>
      </c>
      <c r="R279" t="str">
        <v>plays</v>
      </c>
      <c r="S279" s="10">
        <f t="shared" si="19"/>
        <v>40378.208333333336</v>
      </c>
      <c r="T279" s="11">
        <f t="shared" si="20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17"/>
        <v>3.2588888888888889</v>
      </c>
      <c r="H280">
        <v>91</v>
      </c>
      <c r="I280" s="6">
        <f t="shared" si="1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 "/")</f>
        <v>technology</v>
      </c>
      <c r="R280" t="str">
        <v>web</v>
      </c>
      <c r="S280" s="10">
        <f t="shared" si="19"/>
        <v>41239.25</v>
      </c>
      <c r="T280" s="11">
        <f t="shared" si="20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17"/>
        <v>1.7070000000000001</v>
      </c>
      <c r="H281">
        <v>546</v>
      </c>
      <c r="I281" s="6">
        <f t="shared" si="1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 "/")</f>
        <v>theater</v>
      </c>
      <c r="R281" t="str">
        <v>plays</v>
      </c>
      <c r="S281" s="10">
        <f t="shared" si="19"/>
        <v>43346.208333333328</v>
      </c>
      <c r="T281" s="11">
        <f t="shared" si="20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17"/>
        <v>5.8144</v>
      </c>
      <c r="H282">
        <v>393</v>
      </c>
      <c r="I282" s="6">
        <f t="shared" si="1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 "/")</f>
        <v>film &amp; video</v>
      </c>
      <c r="R282" t="str">
        <v>animation</v>
      </c>
      <c r="S282" s="10">
        <f t="shared" si="19"/>
        <v>43060.25</v>
      </c>
      <c r="T282" s="11">
        <f t="shared" si="20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17"/>
        <v>0.91520972644376897</v>
      </c>
      <c r="H283">
        <v>2062</v>
      </c>
      <c r="I283" s="6">
        <f t="shared" si="1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 "/")</f>
        <v>theater</v>
      </c>
      <c r="R283" t="str">
        <v>plays</v>
      </c>
      <c r="S283" s="10">
        <f t="shared" si="19"/>
        <v>40979.25</v>
      </c>
      <c r="T283" s="11">
        <f t="shared" si="20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17"/>
        <v>1.0804761904761904</v>
      </c>
      <c r="H284">
        <v>133</v>
      </c>
      <c r="I284" s="6">
        <f t="shared" si="1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 "/")</f>
        <v>film &amp; video</v>
      </c>
      <c r="R284" t="str">
        <v>television</v>
      </c>
      <c r="S284" s="10">
        <f t="shared" si="19"/>
        <v>42701.25</v>
      </c>
      <c r="T284" s="11">
        <f t="shared" si="20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17"/>
        <v>0.18728395061728395</v>
      </c>
      <c r="H285">
        <v>29</v>
      </c>
      <c r="I285" s="6">
        <f t="shared" si="1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 "/")</f>
        <v>music</v>
      </c>
      <c r="R285" t="str">
        <v>rock</v>
      </c>
      <c r="S285" s="10">
        <f t="shared" si="19"/>
        <v>42520.208333333328</v>
      </c>
      <c r="T285" s="11">
        <f t="shared" si="20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17"/>
        <v>0.83193877551020412</v>
      </c>
      <c r="H286">
        <v>132</v>
      </c>
      <c r="I286" s="6">
        <f t="shared" si="1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 "/")</f>
        <v>technology</v>
      </c>
      <c r="R286" t="str">
        <v>web</v>
      </c>
      <c r="S286" s="10">
        <f t="shared" si="19"/>
        <v>41030.208333333336</v>
      </c>
      <c r="T286" s="11">
        <f t="shared" si="20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17"/>
        <v>7.0633333333333335</v>
      </c>
      <c r="H287">
        <v>254</v>
      </c>
      <c r="I287" s="6">
        <f t="shared" si="1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 "/")</f>
        <v>theater</v>
      </c>
      <c r="R287" t="str">
        <v>plays</v>
      </c>
      <c r="S287" s="10">
        <f t="shared" si="19"/>
        <v>42623.208333333328</v>
      </c>
      <c r="T287" s="11">
        <f t="shared" si="20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17"/>
        <v>0.17446030330062445</v>
      </c>
      <c r="H288">
        <v>184</v>
      </c>
      <c r="I288" s="6">
        <f t="shared" si="1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 "/")</f>
        <v>theater</v>
      </c>
      <c r="R288" t="str">
        <v>plays</v>
      </c>
      <c r="S288" s="10">
        <f t="shared" si="19"/>
        <v>42697.25</v>
      </c>
      <c r="T288" s="11">
        <f t="shared" si="20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17"/>
        <v>2.0973015873015872</v>
      </c>
      <c r="H289">
        <v>176</v>
      </c>
      <c r="I289" s="6">
        <f t="shared" si="1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 "/")</f>
        <v>music</v>
      </c>
      <c r="R289" t="str">
        <v>electric music</v>
      </c>
      <c r="S289" s="10">
        <f t="shared" si="19"/>
        <v>42122.208333333328</v>
      </c>
      <c r="T289" s="11">
        <f t="shared" si="20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17"/>
        <v>0.97785714285714287</v>
      </c>
      <c r="H290">
        <v>137</v>
      </c>
      <c r="I290" s="6">
        <f t="shared" si="1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 "/")</f>
        <v>music</v>
      </c>
      <c r="R290" t="str">
        <v>metal</v>
      </c>
      <c r="S290" s="10">
        <f t="shared" si="19"/>
        <v>40982.208333333336</v>
      </c>
      <c r="T290" s="11">
        <f t="shared" si="20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17"/>
        <v>16.842500000000001</v>
      </c>
      <c r="H291">
        <v>337</v>
      </c>
      <c r="I291" s="6">
        <f t="shared" si="1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 "/")</f>
        <v>theater</v>
      </c>
      <c r="R291" t="str">
        <v>plays</v>
      </c>
      <c r="S291" s="10">
        <f t="shared" si="19"/>
        <v>42219.208333333328</v>
      </c>
      <c r="T291" s="11">
        <f t="shared" si="20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17"/>
        <v>0.54402135231316728</v>
      </c>
      <c r="H292">
        <v>908</v>
      </c>
      <c r="I292" s="6">
        <f t="shared" si="1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 "/")</f>
        <v>film &amp; video</v>
      </c>
      <c r="R292" t="str">
        <v>documentary</v>
      </c>
      <c r="S292" s="10">
        <f t="shared" si="19"/>
        <v>41404.208333333336</v>
      </c>
      <c r="T292" s="11">
        <f t="shared" si="20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17"/>
        <v>4.5661111111111108</v>
      </c>
      <c r="H293">
        <v>107</v>
      </c>
      <c r="I293" s="6">
        <f t="shared" si="1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 "/")</f>
        <v>technology</v>
      </c>
      <c r="R293" t="str">
        <v>web</v>
      </c>
      <c r="S293" s="10">
        <f t="shared" si="19"/>
        <v>40831.208333333336</v>
      </c>
      <c r="T293" s="11">
        <f t="shared" si="20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17"/>
        <v>9.8219178082191785E-2</v>
      </c>
      <c r="H294">
        <v>10</v>
      </c>
      <c r="I294" s="6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 "/")</f>
        <v>food</v>
      </c>
      <c r="R294" t="str">
        <v>food trucks</v>
      </c>
      <c r="S294" s="10">
        <f t="shared" si="19"/>
        <v>40984.208333333336</v>
      </c>
      <c r="T294" s="11">
        <f t="shared" si="20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17"/>
        <v>0.16384615384615384</v>
      </c>
      <c r="H295">
        <v>32</v>
      </c>
      <c r="I295" s="6">
        <f t="shared" si="1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 "/")</f>
        <v>theater</v>
      </c>
      <c r="R295" t="str">
        <v>plays</v>
      </c>
      <c r="S295" s="10">
        <f t="shared" si="19"/>
        <v>40456.208333333336</v>
      </c>
      <c r="T295" s="11">
        <f t="shared" si="20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17"/>
        <v>13.396666666666667</v>
      </c>
      <c r="H296">
        <v>183</v>
      </c>
      <c r="I296" s="6">
        <f t="shared" si="1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 "/")</f>
        <v>theater</v>
      </c>
      <c r="R296" t="str">
        <v>plays</v>
      </c>
      <c r="S296" s="10">
        <f t="shared" si="19"/>
        <v>43399.208333333328</v>
      </c>
      <c r="T296" s="11">
        <f t="shared" si="20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17"/>
        <v>0.35650077760497667</v>
      </c>
      <c r="H297">
        <v>1910</v>
      </c>
      <c r="I297" s="6">
        <f t="shared" si="1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 "/")</f>
        <v>theater</v>
      </c>
      <c r="R297" t="str">
        <v>plays</v>
      </c>
      <c r="S297" s="10">
        <f t="shared" si="19"/>
        <v>41562.208333333336</v>
      </c>
      <c r="T297" s="11">
        <f t="shared" si="20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17"/>
        <v>0.54950819672131146</v>
      </c>
      <c r="H298">
        <v>38</v>
      </c>
      <c r="I298" s="6">
        <f t="shared" si="1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 "/")</f>
        <v>theater</v>
      </c>
      <c r="R298" t="str">
        <v>plays</v>
      </c>
      <c r="S298" s="10">
        <f t="shared" si="19"/>
        <v>43493.25</v>
      </c>
      <c r="T298" s="11">
        <f t="shared" si="20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17"/>
        <v>0.94236111111111109</v>
      </c>
      <c r="H299">
        <v>104</v>
      </c>
      <c r="I299" s="6">
        <f t="shared" si="1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 "/")</f>
        <v>theater</v>
      </c>
      <c r="R299" t="str">
        <v>plays</v>
      </c>
      <c r="S299" s="10">
        <f t="shared" si="19"/>
        <v>41653.25</v>
      </c>
      <c r="T299" s="11">
        <f t="shared" si="20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17"/>
        <v>1.4391428571428571</v>
      </c>
      <c r="H300">
        <v>72</v>
      </c>
      <c r="I300" s="6">
        <f t="shared" si="1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 "/")</f>
        <v>music</v>
      </c>
      <c r="R300" t="str">
        <v>rock</v>
      </c>
      <c r="S300" s="10">
        <f t="shared" si="19"/>
        <v>42426.25</v>
      </c>
      <c r="T300" s="11">
        <f t="shared" si="20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17"/>
        <v>0.51421052631578945</v>
      </c>
      <c r="H301">
        <v>49</v>
      </c>
      <c r="I301" s="6">
        <f t="shared" si="1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 "/")</f>
        <v>food</v>
      </c>
      <c r="R301" t="str">
        <v>food trucks</v>
      </c>
      <c r="S301" s="10">
        <f t="shared" si="19"/>
        <v>42432.25</v>
      </c>
      <c r="T301" s="11">
        <f t="shared" si="20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17"/>
        <v>0.05</v>
      </c>
      <c r="H302">
        <v>1</v>
      </c>
      <c r="I302" s="6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 "/")</f>
        <v>publishing</v>
      </c>
      <c r="R302" t="str">
        <v>nonfiction</v>
      </c>
      <c r="S302" s="10">
        <f t="shared" si="19"/>
        <v>42977.208333333328</v>
      </c>
      <c r="T302" s="11">
        <f t="shared" si="20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17"/>
        <v>13.446666666666667</v>
      </c>
      <c r="H303">
        <v>295</v>
      </c>
      <c r="I303" s="6">
        <f t="shared" si="1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 "/")</f>
        <v>film &amp; video</v>
      </c>
      <c r="R303" t="str">
        <v>documentary</v>
      </c>
      <c r="S303" s="10">
        <f t="shared" si="19"/>
        <v>42061.25</v>
      </c>
      <c r="T303" s="11">
        <f t="shared" si="20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17"/>
        <v>0.31844940867279897</v>
      </c>
      <c r="H304">
        <v>245</v>
      </c>
      <c r="I304" s="6">
        <f t="shared" si="1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 "/")</f>
        <v>theater</v>
      </c>
      <c r="R304" t="str">
        <v>plays</v>
      </c>
      <c r="S304" s="10">
        <f t="shared" si="19"/>
        <v>43345.208333333328</v>
      </c>
      <c r="T304" s="11">
        <f t="shared" si="20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17"/>
        <v>0.82617647058823529</v>
      </c>
      <c r="H305">
        <v>32</v>
      </c>
      <c r="I305" s="6">
        <f t="shared" si="18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 "/")</f>
        <v>music</v>
      </c>
      <c r="R305" t="str">
        <v>indie rock</v>
      </c>
      <c r="S305" s="10">
        <f t="shared" si="19"/>
        <v>42376.25</v>
      </c>
      <c r="T305" s="11">
        <f t="shared" si="20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17"/>
        <v>5.4614285714285717</v>
      </c>
      <c r="H306">
        <v>142</v>
      </c>
      <c r="I306" s="6">
        <f t="shared" si="1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 "/")</f>
        <v>film &amp; video</v>
      </c>
      <c r="R306" t="str">
        <v>documentary</v>
      </c>
      <c r="S306" s="10">
        <f t="shared" si="19"/>
        <v>42589.208333333328</v>
      </c>
      <c r="T306" s="11">
        <f t="shared" si="20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17"/>
        <v>2.8621428571428571</v>
      </c>
      <c r="H307">
        <v>85</v>
      </c>
      <c r="I307" s="6">
        <f t="shared" si="1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 "/")</f>
        <v>theater</v>
      </c>
      <c r="R307" t="str">
        <v>plays</v>
      </c>
      <c r="S307" s="10">
        <f t="shared" si="19"/>
        <v>42448.208333333328</v>
      </c>
      <c r="T307" s="11">
        <f t="shared" si="20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17"/>
        <v>7.9076923076923072E-2</v>
      </c>
      <c r="H308">
        <v>7</v>
      </c>
      <c r="I308" s="6">
        <f t="shared" si="1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 "/")</f>
        <v>theater</v>
      </c>
      <c r="R308" t="str">
        <v>plays</v>
      </c>
      <c r="S308" s="10">
        <f t="shared" si="19"/>
        <v>42930.208333333328</v>
      </c>
      <c r="T308" s="11">
        <f t="shared" si="20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17"/>
        <v>1.3213677811550153</v>
      </c>
      <c r="H309">
        <v>659</v>
      </c>
      <c r="I309" s="6">
        <f t="shared" si="1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 "/")</f>
        <v>publishing</v>
      </c>
      <c r="R309" t="str">
        <v>fiction</v>
      </c>
      <c r="S309" s="10">
        <f t="shared" si="19"/>
        <v>41066.208333333336</v>
      </c>
      <c r="T309" s="11">
        <f t="shared" si="20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17"/>
        <v>0.74077834179357027</v>
      </c>
      <c r="H310">
        <v>803</v>
      </c>
      <c r="I310" s="6">
        <f t="shared" si="1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 "/")</f>
        <v>theater</v>
      </c>
      <c r="R310" t="str">
        <v>plays</v>
      </c>
      <c r="S310" s="10">
        <f t="shared" si="19"/>
        <v>40651.208333333336</v>
      </c>
      <c r="T310" s="11">
        <f t="shared" si="20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17"/>
        <v>0.75292682926829269</v>
      </c>
      <c r="H311">
        <v>75</v>
      </c>
      <c r="I311" s="6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 "/")</f>
        <v>music</v>
      </c>
      <c r="R311" t="str">
        <v>indie rock</v>
      </c>
      <c r="S311" s="10">
        <f t="shared" si="19"/>
        <v>40807.208333333336</v>
      </c>
      <c r="T311" s="11">
        <f t="shared" si="20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17"/>
        <v>0.20333333333333334</v>
      </c>
      <c r="H312">
        <v>16</v>
      </c>
      <c r="I312" s="6">
        <f t="shared" si="18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 "/")</f>
        <v>games</v>
      </c>
      <c r="R312" t="str">
        <v>video games</v>
      </c>
      <c r="S312" s="10">
        <f t="shared" si="19"/>
        <v>40277.208333333336</v>
      </c>
      <c r="T312" s="11">
        <f t="shared" si="20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17"/>
        <v>2.0336507936507937</v>
      </c>
      <c r="H313">
        <v>121</v>
      </c>
      <c r="I313" s="6">
        <f t="shared" si="1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 "/")</f>
        <v>theater</v>
      </c>
      <c r="R313" t="str">
        <v>plays</v>
      </c>
      <c r="S313" s="10">
        <f t="shared" si="19"/>
        <v>40590.25</v>
      </c>
      <c r="T313" s="11">
        <f t="shared" si="20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17"/>
        <v>3.1022842639593908</v>
      </c>
      <c r="H314">
        <v>3742</v>
      </c>
      <c r="I314" s="6">
        <f t="shared" si="1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 "/")</f>
        <v>theater</v>
      </c>
      <c r="R314" t="str">
        <v>plays</v>
      </c>
      <c r="S314" s="10">
        <f t="shared" si="19"/>
        <v>41572.208333333336</v>
      </c>
      <c r="T314" s="11">
        <f t="shared" si="20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17"/>
        <v>3.9531818181818181</v>
      </c>
      <c r="H315">
        <v>223</v>
      </c>
      <c r="I315" s="6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 "/")</f>
        <v>music</v>
      </c>
      <c r="R315" t="str">
        <v>rock</v>
      </c>
      <c r="S315" s="10">
        <f t="shared" si="19"/>
        <v>40966.25</v>
      </c>
      <c r="T315" s="11">
        <f t="shared" si="20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17"/>
        <v>2.9471428571428571</v>
      </c>
      <c r="H316">
        <v>133</v>
      </c>
      <c r="I316" s="6">
        <f t="shared" si="1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 "/")</f>
        <v>film &amp; video</v>
      </c>
      <c r="R316" t="str">
        <v>documentary</v>
      </c>
      <c r="S316" s="10">
        <f t="shared" si="19"/>
        <v>43536.208333333328</v>
      </c>
      <c r="T316" s="11">
        <f t="shared" si="20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17"/>
        <v>0.33894736842105261</v>
      </c>
      <c r="H317">
        <v>31</v>
      </c>
      <c r="I317" s="6">
        <f t="shared" si="1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 "/")</f>
        <v>theater</v>
      </c>
      <c r="R317" t="str">
        <v>plays</v>
      </c>
      <c r="S317" s="10">
        <f t="shared" si="19"/>
        <v>41783.208333333336</v>
      </c>
      <c r="T317" s="11">
        <f t="shared" si="20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17"/>
        <v>0.66677083333333331</v>
      </c>
      <c r="H318">
        <v>108</v>
      </c>
      <c r="I318" s="6">
        <f t="shared" si="1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 "/")</f>
        <v>food</v>
      </c>
      <c r="R318" t="str">
        <v>food trucks</v>
      </c>
      <c r="S318" s="10">
        <f t="shared" si="19"/>
        <v>43788.25</v>
      </c>
      <c r="T318" s="11">
        <f t="shared" si="20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17"/>
        <v>0.19227272727272726</v>
      </c>
      <c r="H319">
        <v>30</v>
      </c>
      <c r="I319" s="6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 "/")</f>
        <v>theater</v>
      </c>
      <c r="R319" t="str">
        <v>plays</v>
      </c>
      <c r="S319" s="10">
        <f t="shared" si="19"/>
        <v>42869.208333333328</v>
      </c>
      <c r="T319" s="11">
        <f t="shared" si="20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17"/>
        <v>0.15842105263157893</v>
      </c>
      <c r="H320">
        <v>17</v>
      </c>
      <c r="I320" s="6">
        <f t="shared" si="1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 "/")</f>
        <v>music</v>
      </c>
      <c r="R320" t="str">
        <v>rock</v>
      </c>
      <c r="S320" s="10">
        <f t="shared" si="19"/>
        <v>41684.25</v>
      </c>
      <c r="T320" s="11">
        <f t="shared" si="20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17"/>
        <v>0.38702380952380955</v>
      </c>
      <c r="H321">
        <v>64</v>
      </c>
      <c r="I321" s="6">
        <f t="shared" si="18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 "/")</f>
        <v>technology</v>
      </c>
      <c r="R321" t="str">
        <v>web</v>
      </c>
      <c r="S321" s="10">
        <f t="shared" si="19"/>
        <v>40402.208333333336</v>
      </c>
      <c r="T321" s="11">
        <f t="shared" si="20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ref="G322:G385" si="21">E322/D322</f>
        <v>9.5876777251184833E-2</v>
      </c>
      <c r="H322">
        <v>80</v>
      </c>
      <c r="I322" s="6">
        <f t="shared" ref="I322:I385" si="22">IF(E322,E322/H322,0)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 "/")</f>
        <v>publishing</v>
      </c>
      <c r="R322" t="str">
        <v>fiction</v>
      </c>
      <c r="S322" s="10">
        <f t="shared" ref="S322:S385" si="23">(((L322/60)/60)/24)+DATE(1970,1,1)</f>
        <v>40673.208333333336</v>
      </c>
      <c r="T322" s="11">
        <f t="shared" ref="T322:T385" si="24">(((M322/60)/60)/24)+DATE(1970,1,1)</f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si="21"/>
        <v>0.94144366197183094</v>
      </c>
      <c r="H323">
        <v>2468</v>
      </c>
      <c r="I323" s="6">
        <f t="shared" si="22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 "/")</f>
        <v>film &amp; video</v>
      </c>
      <c r="R323" t="str">
        <v>shorts</v>
      </c>
      <c r="S323" s="10">
        <f t="shared" si="23"/>
        <v>40634.208333333336</v>
      </c>
      <c r="T323" s="11">
        <f t="shared" si="24"/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si="21"/>
        <v>1.6656234096692113</v>
      </c>
      <c r="H324">
        <v>5168</v>
      </c>
      <c r="I324" s="6">
        <f t="shared" si="22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 "/")</f>
        <v>theater</v>
      </c>
      <c r="R324" t="str">
        <v>plays</v>
      </c>
      <c r="S324" s="10">
        <f t="shared" si="23"/>
        <v>40507.25</v>
      </c>
      <c r="T324" s="11">
        <f t="shared" si="24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21"/>
        <v>0.24134831460674158</v>
      </c>
      <c r="H325">
        <v>26</v>
      </c>
      <c r="I325" s="6">
        <f t="shared" si="22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 "/")</f>
        <v>film &amp; video</v>
      </c>
      <c r="R325" t="str">
        <v>documentary</v>
      </c>
      <c r="S325" s="10">
        <f t="shared" si="23"/>
        <v>41725.208333333336</v>
      </c>
      <c r="T325" s="11">
        <f t="shared" si="24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21"/>
        <v>1.6405633802816901</v>
      </c>
      <c r="H326">
        <v>307</v>
      </c>
      <c r="I326" s="6">
        <f t="shared" si="22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 "/")</f>
        <v>theater</v>
      </c>
      <c r="R326" t="str">
        <v>plays</v>
      </c>
      <c r="S326" s="10">
        <f t="shared" si="23"/>
        <v>42176.208333333328</v>
      </c>
      <c r="T326" s="11">
        <f t="shared" si="24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21"/>
        <v>0.90723076923076929</v>
      </c>
      <c r="H327">
        <v>73</v>
      </c>
      <c r="I327" s="6">
        <f t="shared" si="22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 "/")</f>
        <v>theater</v>
      </c>
      <c r="R327" t="str">
        <v>plays</v>
      </c>
      <c r="S327" s="10">
        <f t="shared" si="23"/>
        <v>43267.208333333328</v>
      </c>
      <c r="T327" s="11">
        <f t="shared" si="24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21"/>
        <v>0.46194444444444444</v>
      </c>
      <c r="H328">
        <v>128</v>
      </c>
      <c r="I328" s="6">
        <f t="shared" si="22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 "/")</f>
        <v>film &amp; video</v>
      </c>
      <c r="R328" t="str">
        <v>animation</v>
      </c>
      <c r="S328" s="10">
        <f t="shared" si="23"/>
        <v>42364.25</v>
      </c>
      <c r="T328" s="11">
        <f t="shared" si="24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21"/>
        <v>0.38538461538461538</v>
      </c>
      <c r="H329">
        <v>33</v>
      </c>
      <c r="I329" s="6">
        <f t="shared" si="22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 "/")</f>
        <v>theater</v>
      </c>
      <c r="R329" t="str">
        <v>plays</v>
      </c>
      <c r="S329" s="10">
        <f t="shared" si="23"/>
        <v>43705.208333333328</v>
      </c>
      <c r="T329" s="11">
        <f t="shared" si="24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21"/>
        <v>1.3356231003039514</v>
      </c>
      <c r="H330">
        <v>2441</v>
      </c>
      <c r="I330" s="6">
        <f t="shared" si="22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 "/")</f>
        <v>music</v>
      </c>
      <c r="R330" t="str">
        <v>rock</v>
      </c>
      <c r="S330" s="10">
        <f t="shared" si="23"/>
        <v>43434.25</v>
      </c>
      <c r="T330" s="11">
        <f t="shared" si="24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21"/>
        <v>0.22896588486140726</v>
      </c>
      <c r="H331">
        <v>211</v>
      </c>
      <c r="I331" s="6">
        <f t="shared" si="22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 "/")</f>
        <v>games</v>
      </c>
      <c r="R331" t="str">
        <v>video games</v>
      </c>
      <c r="S331" s="10">
        <f t="shared" si="23"/>
        <v>42716.25</v>
      </c>
      <c r="T331" s="11">
        <f t="shared" si="24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21"/>
        <v>1.8495548961424333</v>
      </c>
      <c r="H332">
        <v>1385</v>
      </c>
      <c r="I332" s="6">
        <f t="shared" si="22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 "/")</f>
        <v>film &amp; video</v>
      </c>
      <c r="R332" t="str">
        <v>documentary</v>
      </c>
      <c r="S332" s="10">
        <f t="shared" si="23"/>
        <v>43077.25</v>
      </c>
      <c r="T332" s="11">
        <f t="shared" si="24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21"/>
        <v>4.4372727272727275</v>
      </c>
      <c r="H333">
        <v>190</v>
      </c>
      <c r="I333" s="6">
        <f t="shared" si="22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 "/")</f>
        <v>food</v>
      </c>
      <c r="R333" t="str">
        <v>food trucks</v>
      </c>
      <c r="S333" s="10">
        <f t="shared" si="23"/>
        <v>40896.25</v>
      </c>
      <c r="T333" s="11">
        <f t="shared" si="24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21"/>
        <v>1.999806763285024</v>
      </c>
      <c r="H334">
        <v>470</v>
      </c>
      <c r="I334" s="6">
        <f t="shared" si="22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 "/")</f>
        <v>technology</v>
      </c>
      <c r="R334" t="str">
        <v>wearables</v>
      </c>
      <c r="S334" s="10">
        <f t="shared" si="23"/>
        <v>41361.208333333336</v>
      </c>
      <c r="T334" s="11">
        <f t="shared" si="24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21"/>
        <v>1.2395833333333333</v>
      </c>
      <c r="H335">
        <v>253</v>
      </c>
      <c r="I335" s="6">
        <f t="shared" si="22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 "/")</f>
        <v>theater</v>
      </c>
      <c r="R335" t="str">
        <v>plays</v>
      </c>
      <c r="S335" s="10">
        <f t="shared" si="23"/>
        <v>43424.25</v>
      </c>
      <c r="T335" s="11">
        <f t="shared" si="24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21"/>
        <v>1.8661329305135952</v>
      </c>
      <c r="H336">
        <v>1113</v>
      </c>
      <c r="I336" s="6">
        <f t="shared" si="22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 "/")</f>
        <v>music</v>
      </c>
      <c r="R336" t="str">
        <v>rock</v>
      </c>
      <c r="S336" s="10">
        <f t="shared" si="23"/>
        <v>43110.25</v>
      </c>
      <c r="T336" s="11">
        <f t="shared" si="24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21"/>
        <v>1.1428538550057536</v>
      </c>
      <c r="H337">
        <v>2283</v>
      </c>
      <c r="I337" s="6">
        <f t="shared" si="22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 "/")</f>
        <v>music</v>
      </c>
      <c r="R337" t="str">
        <v>rock</v>
      </c>
      <c r="S337" s="10">
        <f t="shared" si="23"/>
        <v>43784.25</v>
      </c>
      <c r="T337" s="11">
        <f t="shared" si="24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21"/>
        <v>0.97032531824611035</v>
      </c>
      <c r="H338">
        <v>1072</v>
      </c>
      <c r="I338" s="6">
        <f t="shared" si="22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 "/")</f>
        <v>music</v>
      </c>
      <c r="R338" t="str">
        <v>rock</v>
      </c>
      <c r="S338" s="10">
        <f t="shared" si="23"/>
        <v>40527.25</v>
      </c>
      <c r="T338" s="11">
        <f t="shared" si="24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21"/>
        <v>1.2281904761904763</v>
      </c>
      <c r="H339">
        <v>1095</v>
      </c>
      <c r="I339" s="6">
        <f t="shared" si="22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 "/")</f>
        <v>theater</v>
      </c>
      <c r="R339" t="str">
        <v>plays</v>
      </c>
      <c r="S339" s="10">
        <f t="shared" si="23"/>
        <v>43780.25</v>
      </c>
      <c r="T339" s="11">
        <f t="shared" si="24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21"/>
        <v>1.7914326647564469</v>
      </c>
      <c r="H340">
        <v>1690</v>
      </c>
      <c r="I340" s="6">
        <f t="shared" si="22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 "/")</f>
        <v>theater</v>
      </c>
      <c r="R340" t="str">
        <v>plays</v>
      </c>
      <c r="S340" s="10">
        <f t="shared" si="23"/>
        <v>40821.208333333336</v>
      </c>
      <c r="T340" s="11">
        <f t="shared" si="24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21"/>
        <v>0.79951577402787966</v>
      </c>
      <c r="H341">
        <v>1297</v>
      </c>
      <c r="I341" s="6">
        <f t="shared" si="22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 "/")</f>
        <v>theater</v>
      </c>
      <c r="R341" t="str">
        <v>plays</v>
      </c>
      <c r="S341" s="10">
        <f t="shared" si="23"/>
        <v>42949.208333333328</v>
      </c>
      <c r="T341" s="11">
        <f t="shared" si="24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21"/>
        <v>0.94242587601078165</v>
      </c>
      <c r="H342">
        <v>393</v>
      </c>
      <c r="I342" s="6">
        <f t="shared" si="22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 "/")</f>
        <v>photography</v>
      </c>
      <c r="R342" t="str">
        <v>photography books</v>
      </c>
      <c r="S342" s="10">
        <f t="shared" si="23"/>
        <v>40889.25</v>
      </c>
      <c r="T342" s="11">
        <f t="shared" si="24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21"/>
        <v>0.84669291338582675</v>
      </c>
      <c r="H343">
        <v>1257</v>
      </c>
      <c r="I343" s="6">
        <f t="shared" si="22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 "/")</f>
        <v>music</v>
      </c>
      <c r="R343" t="str">
        <v>indie rock</v>
      </c>
      <c r="S343" s="10">
        <f t="shared" si="23"/>
        <v>42244.208333333328</v>
      </c>
      <c r="T343" s="11">
        <f t="shared" si="24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21"/>
        <v>0.66521920668058454</v>
      </c>
      <c r="H344">
        <v>328</v>
      </c>
      <c r="I344" s="6">
        <f t="shared" si="22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 "/")</f>
        <v>theater</v>
      </c>
      <c r="R344" t="str">
        <v>plays</v>
      </c>
      <c r="S344" s="10">
        <f t="shared" si="23"/>
        <v>41475.208333333336</v>
      </c>
      <c r="T344" s="11">
        <f t="shared" si="24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21"/>
        <v>0.53922222222222227</v>
      </c>
      <c r="H345">
        <v>147</v>
      </c>
      <c r="I345" s="6">
        <f t="shared" si="22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 "/")</f>
        <v>theater</v>
      </c>
      <c r="R345" t="str">
        <v>plays</v>
      </c>
      <c r="S345" s="10">
        <f t="shared" si="23"/>
        <v>41597.25</v>
      </c>
      <c r="T345" s="11">
        <f t="shared" si="24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21"/>
        <v>0.41983299595141699</v>
      </c>
      <c r="H346">
        <v>830</v>
      </c>
      <c r="I346" s="6">
        <f t="shared" si="22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 "/")</f>
        <v>games</v>
      </c>
      <c r="R346" t="str">
        <v>video games</v>
      </c>
      <c r="S346" s="10">
        <f t="shared" si="23"/>
        <v>43122.25</v>
      </c>
      <c r="T346" s="11">
        <f t="shared" si="24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21"/>
        <v>0.14694796954314721</v>
      </c>
      <c r="H347">
        <v>331</v>
      </c>
      <c r="I347" s="6">
        <f t="shared" si="22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 "/")</f>
        <v>film &amp; video</v>
      </c>
      <c r="R347" t="str">
        <v>drama</v>
      </c>
      <c r="S347" s="10">
        <f t="shared" si="23"/>
        <v>42194.208333333328</v>
      </c>
      <c r="T347" s="11">
        <f t="shared" si="24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21"/>
        <v>0.34475</v>
      </c>
      <c r="H348">
        <v>25</v>
      </c>
      <c r="I348" s="6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 "/")</f>
        <v>music</v>
      </c>
      <c r="R348" t="str">
        <v>indie rock</v>
      </c>
      <c r="S348" s="10">
        <f t="shared" si="23"/>
        <v>42971.208333333328</v>
      </c>
      <c r="T348" s="11">
        <f t="shared" si="24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21"/>
        <v>14.007777777777777</v>
      </c>
      <c r="H349">
        <v>191</v>
      </c>
      <c r="I349" s="6">
        <f t="shared" si="22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 "/")</f>
        <v>technology</v>
      </c>
      <c r="R349" t="str">
        <v>web</v>
      </c>
      <c r="S349" s="10">
        <f t="shared" si="23"/>
        <v>42046.25</v>
      </c>
      <c r="T349" s="11">
        <f t="shared" si="24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21"/>
        <v>0.71770351758793971</v>
      </c>
      <c r="H350">
        <v>3483</v>
      </c>
      <c r="I350" s="6">
        <f t="shared" si="22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 "/")</f>
        <v>food</v>
      </c>
      <c r="R350" t="str">
        <v>food trucks</v>
      </c>
      <c r="S350" s="10">
        <f t="shared" si="23"/>
        <v>42782.25</v>
      </c>
      <c r="T350" s="11">
        <f t="shared" si="24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21"/>
        <v>0.53074115044247783</v>
      </c>
      <c r="H351">
        <v>923</v>
      </c>
      <c r="I351" s="6">
        <f t="shared" si="22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 "/")</f>
        <v>theater</v>
      </c>
      <c r="R351" t="str">
        <v>plays</v>
      </c>
      <c r="S351" s="10">
        <f t="shared" si="23"/>
        <v>42930.208333333328</v>
      </c>
      <c r="T351" s="11">
        <f t="shared" si="24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21"/>
        <v>0.05</v>
      </c>
      <c r="H352">
        <v>1</v>
      </c>
      <c r="I352" s="6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 "/")</f>
        <v>music</v>
      </c>
      <c r="R352" t="str">
        <v>jazz</v>
      </c>
      <c r="S352" s="10">
        <f t="shared" si="23"/>
        <v>42144.208333333328</v>
      </c>
      <c r="T352" s="11">
        <f t="shared" si="24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21"/>
        <v>1.2770715249662619</v>
      </c>
      <c r="H353">
        <v>2013</v>
      </c>
      <c r="I353" s="6">
        <f t="shared" si="22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 "/")</f>
        <v>music</v>
      </c>
      <c r="R353" t="str">
        <v>rock</v>
      </c>
      <c r="S353" s="10">
        <f t="shared" si="23"/>
        <v>42240.208333333328</v>
      </c>
      <c r="T353" s="11">
        <f t="shared" si="24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21"/>
        <v>0.34892857142857142</v>
      </c>
      <c r="H354">
        <v>33</v>
      </c>
      <c r="I354" s="6">
        <f t="shared" si="22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 "/")</f>
        <v>theater</v>
      </c>
      <c r="R354" t="str">
        <v>plays</v>
      </c>
      <c r="S354" s="10">
        <f t="shared" si="23"/>
        <v>42315.25</v>
      </c>
      <c r="T354" s="11">
        <f t="shared" si="24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21"/>
        <v>4.105982142857143</v>
      </c>
      <c r="H355">
        <v>1703</v>
      </c>
      <c r="I355" s="6">
        <f t="shared" si="22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 "/")</f>
        <v>theater</v>
      </c>
      <c r="R355" t="str">
        <v>plays</v>
      </c>
      <c r="S355" s="10">
        <f t="shared" si="23"/>
        <v>43651.208333333328</v>
      </c>
      <c r="T355" s="11">
        <f t="shared" si="24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21"/>
        <v>1.2373770491803278</v>
      </c>
      <c r="H356">
        <v>80</v>
      </c>
      <c r="I356" s="6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 "/")</f>
        <v>film &amp; video</v>
      </c>
      <c r="R356" t="str">
        <v>documentary</v>
      </c>
      <c r="S356" s="10">
        <f t="shared" si="23"/>
        <v>41520.208333333336</v>
      </c>
      <c r="T356" s="11">
        <f t="shared" si="24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21"/>
        <v>0.58973684210526311</v>
      </c>
      <c r="H357">
        <v>86</v>
      </c>
      <c r="I357" s="6">
        <f t="shared" si="22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 "/")</f>
        <v>technology</v>
      </c>
      <c r="R357" t="str">
        <v>wearables</v>
      </c>
      <c r="S357" s="10">
        <f t="shared" si="23"/>
        <v>42757.25</v>
      </c>
      <c r="T357" s="11">
        <f t="shared" si="24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21"/>
        <v>0.36892473118279567</v>
      </c>
      <c r="H358">
        <v>40</v>
      </c>
      <c r="I358" s="6">
        <f t="shared" si="22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 "/")</f>
        <v>theater</v>
      </c>
      <c r="R358" t="str">
        <v>plays</v>
      </c>
      <c r="S358" s="10">
        <f t="shared" si="23"/>
        <v>40922.25</v>
      </c>
      <c r="T358" s="11">
        <f t="shared" si="24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21"/>
        <v>1.8491304347826087</v>
      </c>
      <c r="H359">
        <v>41</v>
      </c>
      <c r="I359" s="6">
        <f t="shared" si="22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 "/")</f>
        <v>games</v>
      </c>
      <c r="R359" t="str">
        <v>video games</v>
      </c>
      <c r="S359" s="10">
        <f t="shared" si="23"/>
        <v>42250.208333333328</v>
      </c>
      <c r="T359" s="11">
        <f t="shared" si="24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21"/>
        <v>0.11814432989690722</v>
      </c>
      <c r="H360">
        <v>23</v>
      </c>
      <c r="I360" s="6">
        <f t="shared" si="22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 "/")</f>
        <v>photography</v>
      </c>
      <c r="R360" t="str">
        <v>photography books</v>
      </c>
      <c r="S360" s="10">
        <f t="shared" si="23"/>
        <v>43322.208333333328</v>
      </c>
      <c r="T360" s="11">
        <f t="shared" si="24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21"/>
        <v>2.9870000000000001</v>
      </c>
      <c r="H361">
        <v>187</v>
      </c>
      <c r="I361" s="6">
        <f t="shared" si="22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 "/")</f>
        <v>film &amp; video</v>
      </c>
      <c r="R361" t="str">
        <v>animation</v>
      </c>
      <c r="S361" s="10">
        <f t="shared" si="23"/>
        <v>40782.208333333336</v>
      </c>
      <c r="T361" s="11">
        <f t="shared" si="24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21"/>
        <v>2.2635175879396985</v>
      </c>
      <c r="H362">
        <v>2875</v>
      </c>
      <c r="I362" s="6">
        <f t="shared" si="22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 "/")</f>
        <v>theater</v>
      </c>
      <c r="R362" t="str">
        <v>plays</v>
      </c>
      <c r="S362" s="10">
        <f t="shared" si="23"/>
        <v>40544.25</v>
      </c>
      <c r="T362" s="11">
        <f t="shared" si="24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21"/>
        <v>1.7356363636363636</v>
      </c>
      <c r="H363">
        <v>88</v>
      </c>
      <c r="I363" s="6">
        <f t="shared" si="22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 "/")</f>
        <v>theater</v>
      </c>
      <c r="R363" t="str">
        <v>plays</v>
      </c>
      <c r="S363" s="10">
        <f t="shared" si="23"/>
        <v>43015.208333333328</v>
      </c>
      <c r="T363" s="11">
        <f t="shared" si="24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21"/>
        <v>3.7175675675675675</v>
      </c>
      <c r="H364">
        <v>191</v>
      </c>
      <c r="I364" s="6">
        <f t="shared" si="22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 "/")</f>
        <v>music</v>
      </c>
      <c r="R364" t="str">
        <v>rock</v>
      </c>
      <c r="S364" s="10">
        <f t="shared" si="23"/>
        <v>40570.25</v>
      </c>
      <c r="T364" s="11">
        <f t="shared" si="24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21"/>
        <v>1.601923076923077</v>
      </c>
      <c r="H365">
        <v>139</v>
      </c>
      <c r="I365" s="6">
        <f t="shared" si="22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 "/")</f>
        <v>music</v>
      </c>
      <c r="R365" t="str">
        <v>rock</v>
      </c>
      <c r="S365" s="10">
        <f t="shared" si="23"/>
        <v>40904.25</v>
      </c>
      <c r="T365" s="11">
        <f t="shared" si="24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21"/>
        <v>16.163333333333334</v>
      </c>
      <c r="H366">
        <v>186</v>
      </c>
      <c r="I366" s="6">
        <f t="shared" si="22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 "/")</f>
        <v>music</v>
      </c>
      <c r="R366" t="str">
        <v>indie rock</v>
      </c>
      <c r="S366" s="10">
        <f t="shared" si="23"/>
        <v>43164.25</v>
      </c>
      <c r="T366" s="11">
        <f t="shared" si="24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21"/>
        <v>7.3343749999999996</v>
      </c>
      <c r="H367">
        <v>112</v>
      </c>
      <c r="I367" s="6">
        <f t="shared" si="22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 "/")</f>
        <v>theater</v>
      </c>
      <c r="R367" t="str">
        <v>plays</v>
      </c>
      <c r="S367" s="10">
        <f t="shared" si="23"/>
        <v>42733.25</v>
      </c>
      <c r="T367" s="11">
        <f t="shared" si="24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21"/>
        <v>5.9211111111111112</v>
      </c>
      <c r="H368">
        <v>101</v>
      </c>
      <c r="I368" s="6">
        <f t="shared" si="22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 "/")</f>
        <v>theater</v>
      </c>
      <c r="R368" t="str">
        <v>plays</v>
      </c>
      <c r="S368" s="10">
        <f t="shared" si="23"/>
        <v>40546.25</v>
      </c>
      <c r="T368" s="11">
        <f t="shared" si="24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21"/>
        <v>0.18888888888888888</v>
      </c>
      <c r="H369">
        <v>75</v>
      </c>
      <c r="I369" s="6">
        <f t="shared" si="22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 "/")</f>
        <v>theater</v>
      </c>
      <c r="R369" t="str">
        <v>plays</v>
      </c>
      <c r="S369" s="10">
        <f t="shared" si="23"/>
        <v>41930.208333333336</v>
      </c>
      <c r="T369" s="11">
        <f t="shared" si="24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21"/>
        <v>2.7680769230769231</v>
      </c>
      <c r="H370">
        <v>206</v>
      </c>
      <c r="I370" s="6">
        <f t="shared" si="22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 "/")</f>
        <v>film &amp; video</v>
      </c>
      <c r="R370" t="str">
        <v>documentary</v>
      </c>
      <c r="S370" s="10">
        <f t="shared" si="23"/>
        <v>40464.208333333336</v>
      </c>
      <c r="T370" s="11">
        <f t="shared" si="24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21"/>
        <v>2.730185185185185</v>
      </c>
      <c r="H371">
        <v>154</v>
      </c>
      <c r="I371" s="6">
        <f t="shared" si="22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 "/")</f>
        <v>film &amp; video</v>
      </c>
      <c r="R371" t="str">
        <v>television</v>
      </c>
      <c r="S371" s="10">
        <f t="shared" si="23"/>
        <v>41308.25</v>
      </c>
      <c r="T371" s="11">
        <f t="shared" si="24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21"/>
        <v>1.593633125556545</v>
      </c>
      <c r="H372">
        <v>5966</v>
      </c>
      <c r="I372" s="6">
        <f t="shared" si="22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 "/")</f>
        <v>theater</v>
      </c>
      <c r="R372" t="str">
        <v>plays</v>
      </c>
      <c r="S372" s="10">
        <f t="shared" si="23"/>
        <v>43570.208333333328</v>
      </c>
      <c r="T372" s="11">
        <f t="shared" si="24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21"/>
        <v>0.67869978858350954</v>
      </c>
      <c r="H373">
        <v>2176</v>
      </c>
      <c r="I373" s="6">
        <f t="shared" si="22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 "/")</f>
        <v>theater</v>
      </c>
      <c r="R373" t="str">
        <v>plays</v>
      </c>
      <c r="S373" s="10">
        <f t="shared" si="23"/>
        <v>42043.25</v>
      </c>
      <c r="T373" s="11">
        <f t="shared" si="24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21"/>
        <v>15.915555555555555</v>
      </c>
      <c r="H374">
        <v>169</v>
      </c>
      <c r="I374" s="6">
        <f t="shared" si="22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 "/")</f>
        <v>film &amp; video</v>
      </c>
      <c r="R374" t="str">
        <v>documentary</v>
      </c>
      <c r="S374" s="10">
        <f t="shared" si="23"/>
        <v>42012.25</v>
      </c>
      <c r="T374" s="11">
        <f t="shared" si="24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21"/>
        <v>7.3018222222222224</v>
      </c>
      <c r="H375">
        <v>2106</v>
      </c>
      <c r="I375" s="6">
        <f t="shared" si="22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 "/")</f>
        <v>theater</v>
      </c>
      <c r="R375" t="str">
        <v>plays</v>
      </c>
      <c r="S375" s="10">
        <f t="shared" si="23"/>
        <v>42964.208333333328</v>
      </c>
      <c r="T375" s="11">
        <f t="shared" si="24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21"/>
        <v>0.13185782556750297</v>
      </c>
      <c r="H376">
        <v>441</v>
      </c>
      <c r="I376" s="6">
        <f t="shared" si="22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 "/")</f>
        <v>film &amp; video</v>
      </c>
      <c r="R376" t="str">
        <v>documentary</v>
      </c>
      <c r="S376" s="10">
        <f t="shared" si="23"/>
        <v>43476.25</v>
      </c>
      <c r="T376" s="11">
        <f t="shared" si="24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21"/>
        <v>0.54777777777777781</v>
      </c>
      <c r="H377">
        <v>25</v>
      </c>
      <c r="I377" s="6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 "/")</f>
        <v>music</v>
      </c>
      <c r="R377" t="str">
        <v>indie rock</v>
      </c>
      <c r="S377" s="10">
        <f t="shared" si="23"/>
        <v>42293.208333333328</v>
      </c>
      <c r="T377" s="11">
        <f t="shared" si="24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21"/>
        <v>3.6102941176470589</v>
      </c>
      <c r="H378">
        <v>131</v>
      </c>
      <c r="I378" s="6">
        <f t="shared" si="22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 "/")</f>
        <v>music</v>
      </c>
      <c r="R378" t="str">
        <v>rock</v>
      </c>
      <c r="S378" s="10">
        <f t="shared" si="23"/>
        <v>41826.208333333336</v>
      </c>
      <c r="T378" s="11">
        <f t="shared" si="24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21"/>
        <v>0.10257545271629778</v>
      </c>
      <c r="H379">
        <v>127</v>
      </c>
      <c r="I379" s="6">
        <f t="shared" si="22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 "/")</f>
        <v>theater</v>
      </c>
      <c r="R379" t="str">
        <v>plays</v>
      </c>
      <c r="S379" s="10">
        <f t="shared" si="23"/>
        <v>43760.208333333328</v>
      </c>
      <c r="T379" s="11">
        <f t="shared" si="24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21"/>
        <v>0.13962962962962963</v>
      </c>
      <c r="H380">
        <v>355</v>
      </c>
      <c r="I380" s="6">
        <f t="shared" si="22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 "/")</f>
        <v>film &amp; video</v>
      </c>
      <c r="R380" t="str">
        <v>documentary</v>
      </c>
      <c r="S380" s="10">
        <f t="shared" si="23"/>
        <v>43241.208333333328</v>
      </c>
      <c r="T380" s="11">
        <f t="shared" si="24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21"/>
        <v>0.40444444444444444</v>
      </c>
      <c r="H381">
        <v>44</v>
      </c>
      <c r="I381" s="6">
        <f t="shared" si="22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 "/")</f>
        <v>theater</v>
      </c>
      <c r="R381" t="str">
        <v>plays</v>
      </c>
      <c r="S381" s="10">
        <f t="shared" si="23"/>
        <v>40843.208333333336</v>
      </c>
      <c r="T381" s="11">
        <f t="shared" si="24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21"/>
        <v>1.6032</v>
      </c>
      <c r="H382">
        <v>84</v>
      </c>
      <c r="I382" s="6">
        <f t="shared" si="22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 "/")</f>
        <v>theater</v>
      </c>
      <c r="R382" t="str">
        <v>plays</v>
      </c>
      <c r="S382" s="10">
        <f t="shared" si="23"/>
        <v>41448.208333333336</v>
      </c>
      <c r="T382" s="11">
        <f t="shared" si="24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21"/>
        <v>1.8394339622641509</v>
      </c>
      <c r="H383">
        <v>155</v>
      </c>
      <c r="I383" s="6">
        <f t="shared" si="22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 "/")</f>
        <v>theater</v>
      </c>
      <c r="R383" t="str">
        <v>plays</v>
      </c>
      <c r="S383" s="10">
        <f t="shared" si="23"/>
        <v>42163.208333333328</v>
      </c>
      <c r="T383" s="11">
        <f t="shared" si="24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21"/>
        <v>0.63769230769230767</v>
      </c>
      <c r="H384">
        <v>67</v>
      </c>
      <c r="I384" s="6">
        <f t="shared" si="22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 "/")</f>
        <v>photography</v>
      </c>
      <c r="R384" t="str">
        <v>photography books</v>
      </c>
      <c r="S384" s="10">
        <f t="shared" si="23"/>
        <v>43024.208333333328</v>
      </c>
      <c r="T384" s="11">
        <f t="shared" si="24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21"/>
        <v>2.2538095238095237</v>
      </c>
      <c r="H385">
        <v>189</v>
      </c>
      <c r="I385" s="6">
        <f t="shared" si="22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 "/")</f>
        <v>food</v>
      </c>
      <c r="R385" t="str">
        <v>food trucks</v>
      </c>
      <c r="S385" s="10">
        <f t="shared" si="23"/>
        <v>43509.25</v>
      </c>
      <c r="T385" s="11">
        <f t="shared" si="24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ref="G386:G449" si="25">E386/D386</f>
        <v>1.7200961538461539</v>
      </c>
      <c r="H386">
        <v>4799</v>
      </c>
      <c r="I386" s="6">
        <f t="shared" ref="I386:I449" si="26">IF(E386,E386/H386,0)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 "/")</f>
        <v>film &amp; video</v>
      </c>
      <c r="R386" t="str">
        <v>documentary</v>
      </c>
      <c r="S386" s="10">
        <f t="shared" ref="S386:S449" si="27">(((L386/60)/60)/24)+DATE(1970,1,1)</f>
        <v>42776.25</v>
      </c>
      <c r="T386" s="11">
        <f t="shared" ref="T386:T449" si="28">(((M386/60)/60)/24)+DATE(1970,1,1)</f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si="25"/>
        <v>1.4616709511568124</v>
      </c>
      <c r="H387">
        <v>1137</v>
      </c>
      <c r="I387" s="6">
        <f t="shared" si="26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 "/")</f>
        <v>publishing</v>
      </c>
      <c r="R387" t="str">
        <v>nonfiction</v>
      </c>
      <c r="S387" s="10">
        <f t="shared" si="27"/>
        <v>43553.208333333328</v>
      </c>
      <c r="T387" s="11">
        <f t="shared" si="28"/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si="25"/>
        <v>0.76423616236162362</v>
      </c>
      <c r="H388">
        <v>1068</v>
      </c>
      <c r="I388" s="6">
        <f t="shared" si="26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 "/")</f>
        <v>theater</v>
      </c>
      <c r="R388" t="str">
        <v>plays</v>
      </c>
      <c r="S388" s="10">
        <f t="shared" si="27"/>
        <v>40355.208333333336</v>
      </c>
      <c r="T388" s="11">
        <f t="shared" si="28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25"/>
        <v>0.39261467889908258</v>
      </c>
      <c r="H389">
        <v>424</v>
      </c>
      <c r="I389" s="6">
        <f t="shared" si="2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 "/")</f>
        <v>technology</v>
      </c>
      <c r="R389" t="str">
        <v>wearables</v>
      </c>
      <c r="S389" s="10">
        <f t="shared" si="27"/>
        <v>41072.208333333336</v>
      </c>
      <c r="T389" s="11">
        <f t="shared" si="28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25"/>
        <v>0.11270034843205574</v>
      </c>
      <c r="H390">
        <v>145</v>
      </c>
      <c r="I390" s="6">
        <f t="shared" si="2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 "/")</f>
        <v>music</v>
      </c>
      <c r="R390" t="str">
        <v>indie rock</v>
      </c>
      <c r="S390" s="10">
        <f t="shared" si="27"/>
        <v>40912.25</v>
      </c>
      <c r="T390" s="11">
        <f t="shared" si="28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25"/>
        <v>1.2211084337349398</v>
      </c>
      <c r="H391">
        <v>1152</v>
      </c>
      <c r="I391" s="6">
        <f t="shared" si="2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 "/")</f>
        <v>theater</v>
      </c>
      <c r="R391" t="str">
        <v>plays</v>
      </c>
      <c r="S391" s="10">
        <f t="shared" si="27"/>
        <v>40479.208333333336</v>
      </c>
      <c r="T391" s="11">
        <f t="shared" si="28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25"/>
        <v>1.8654166666666667</v>
      </c>
      <c r="H392">
        <v>50</v>
      </c>
      <c r="I392" s="6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 "/")</f>
        <v>photography</v>
      </c>
      <c r="R392" t="str">
        <v>photography books</v>
      </c>
      <c r="S392" s="10">
        <f t="shared" si="27"/>
        <v>41530.208333333336</v>
      </c>
      <c r="T392" s="11">
        <f t="shared" si="28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25"/>
        <v>7.27317880794702E-2</v>
      </c>
      <c r="H393">
        <v>151</v>
      </c>
      <c r="I393" s="6">
        <f t="shared" si="2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 "/")</f>
        <v>publishing</v>
      </c>
      <c r="R393" t="str">
        <v>nonfiction</v>
      </c>
      <c r="S393" s="10">
        <f t="shared" si="27"/>
        <v>41653.25</v>
      </c>
      <c r="T393" s="11">
        <f t="shared" si="28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25"/>
        <v>0.65642371234207963</v>
      </c>
      <c r="H394">
        <v>1608</v>
      </c>
      <c r="I394" s="6">
        <f t="shared" si="2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 "/")</f>
        <v>technology</v>
      </c>
      <c r="R394" t="str">
        <v>wearables</v>
      </c>
      <c r="S394" s="10">
        <f t="shared" si="27"/>
        <v>40549.25</v>
      </c>
      <c r="T394" s="11">
        <f t="shared" si="28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25"/>
        <v>2.2896178343949045</v>
      </c>
      <c r="H395">
        <v>3059</v>
      </c>
      <c r="I395" s="6">
        <f t="shared" si="2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 "/")</f>
        <v>music</v>
      </c>
      <c r="R395" t="str">
        <v>jazz</v>
      </c>
      <c r="S395" s="10">
        <f t="shared" si="27"/>
        <v>42933.208333333328</v>
      </c>
      <c r="T395" s="11">
        <f t="shared" si="28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25"/>
        <v>4.6937499999999996</v>
      </c>
      <c r="H396">
        <v>34</v>
      </c>
      <c r="I396" s="6">
        <f t="shared" si="2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 "/")</f>
        <v>film &amp; video</v>
      </c>
      <c r="R396" t="str">
        <v>documentary</v>
      </c>
      <c r="S396" s="10">
        <f t="shared" si="27"/>
        <v>41484.208333333336</v>
      </c>
      <c r="T396" s="11">
        <f t="shared" si="28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25"/>
        <v>1.3011267605633803</v>
      </c>
      <c r="H397">
        <v>220</v>
      </c>
      <c r="I397" s="6">
        <f t="shared" si="2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 "/")</f>
        <v>theater</v>
      </c>
      <c r="R397" t="str">
        <v>plays</v>
      </c>
      <c r="S397" s="10">
        <f t="shared" si="27"/>
        <v>40885.25</v>
      </c>
      <c r="T397" s="11">
        <f t="shared" si="28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25"/>
        <v>1.6705422993492407</v>
      </c>
      <c r="H398">
        <v>1604</v>
      </c>
      <c r="I398" s="6">
        <f t="shared" si="2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 "/")</f>
        <v>film &amp; video</v>
      </c>
      <c r="R398" t="str">
        <v>drama</v>
      </c>
      <c r="S398" s="10">
        <f t="shared" si="27"/>
        <v>43378.208333333328</v>
      </c>
      <c r="T398" s="11">
        <f t="shared" si="28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25"/>
        <v>1.738641975308642</v>
      </c>
      <c r="H399">
        <v>454</v>
      </c>
      <c r="I399" s="6">
        <f t="shared" si="2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 "/")</f>
        <v>music</v>
      </c>
      <c r="R399" t="str">
        <v>rock</v>
      </c>
      <c r="S399" s="10">
        <f t="shared" si="27"/>
        <v>41417.208333333336</v>
      </c>
      <c r="T399" s="11">
        <f t="shared" si="28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25"/>
        <v>7.1776470588235295</v>
      </c>
      <c r="H400">
        <v>123</v>
      </c>
      <c r="I400" s="6">
        <f t="shared" si="2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 "/")</f>
        <v>film &amp; video</v>
      </c>
      <c r="R400" t="str">
        <v>animation</v>
      </c>
      <c r="S400" s="10">
        <f t="shared" si="27"/>
        <v>43228.208333333328</v>
      </c>
      <c r="T400" s="11">
        <f t="shared" si="28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25"/>
        <v>0.63850976361767731</v>
      </c>
      <c r="H401">
        <v>941</v>
      </c>
      <c r="I401" s="6">
        <f t="shared" si="2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 "/")</f>
        <v>music</v>
      </c>
      <c r="R401" t="str">
        <v>indie rock</v>
      </c>
      <c r="S401" s="10">
        <f t="shared" si="27"/>
        <v>40576.25</v>
      </c>
      <c r="T401" s="11">
        <f t="shared" si="28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25"/>
        <v>0.02</v>
      </c>
      <c r="H402">
        <v>1</v>
      </c>
      <c r="I402" s="6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 "/")</f>
        <v>photography</v>
      </c>
      <c r="R402" t="str">
        <v>photography books</v>
      </c>
      <c r="S402" s="10">
        <f t="shared" si="27"/>
        <v>41502.208333333336</v>
      </c>
      <c r="T402" s="11">
        <f t="shared" si="28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25"/>
        <v>15.302222222222222</v>
      </c>
      <c r="H403">
        <v>299</v>
      </c>
      <c r="I403" s="6">
        <f t="shared" si="2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 "/")</f>
        <v>theater</v>
      </c>
      <c r="R403" t="str">
        <v>plays</v>
      </c>
      <c r="S403" s="10">
        <f t="shared" si="27"/>
        <v>43765.208333333328</v>
      </c>
      <c r="T403" s="11">
        <f t="shared" si="28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25"/>
        <v>0.40356164383561643</v>
      </c>
      <c r="H404">
        <v>40</v>
      </c>
      <c r="I404" s="6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 "/")</f>
        <v>film &amp; video</v>
      </c>
      <c r="R404" t="str">
        <v>shorts</v>
      </c>
      <c r="S404" s="10">
        <f t="shared" si="27"/>
        <v>40914.25</v>
      </c>
      <c r="T404" s="11">
        <f t="shared" si="28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25"/>
        <v>0.86220633299284988</v>
      </c>
      <c r="H405">
        <v>3015</v>
      </c>
      <c r="I405" s="6">
        <f t="shared" si="2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 "/")</f>
        <v>theater</v>
      </c>
      <c r="R405" t="str">
        <v>plays</v>
      </c>
      <c r="S405" s="10">
        <f t="shared" si="27"/>
        <v>40310.208333333336</v>
      </c>
      <c r="T405" s="11">
        <f t="shared" si="28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25"/>
        <v>3.1558486707566464</v>
      </c>
      <c r="H406">
        <v>2237</v>
      </c>
      <c r="I406" s="6">
        <f t="shared" si="2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 "/")</f>
        <v>theater</v>
      </c>
      <c r="R406" t="str">
        <v>plays</v>
      </c>
      <c r="S406" s="10">
        <f t="shared" si="27"/>
        <v>43053.25</v>
      </c>
      <c r="T406" s="11">
        <f t="shared" si="28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25"/>
        <v>0.89618243243243245</v>
      </c>
      <c r="H407">
        <v>435</v>
      </c>
      <c r="I407" s="6">
        <f t="shared" si="2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 "/")</f>
        <v>theater</v>
      </c>
      <c r="R407" t="str">
        <v>plays</v>
      </c>
      <c r="S407" s="10">
        <f t="shared" si="27"/>
        <v>43255.208333333328</v>
      </c>
      <c r="T407" s="11">
        <f t="shared" si="28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25"/>
        <v>1.8214503816793892</v>
      </c>
      <c r="H408">
        <v>645</v>
      </c>
      <c r="I408" s="6">
        <f t="shared" si="2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 "/")</f>
        <v>film &amp; video</v>
      </c>
      <c r="R408" t="str">
        <v>documentary</v>
      </c>
      <c r="S408" s="10">
        <f t="shared" si="27"/>
        <v>41304.25</v>
      </c>
      <c r="T408" s="11">
        <f t="shared" si="28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25"/>
        <v>3.5588235294117645</v>
      </c>
      <c r="H409">
        <v>484</v>
      </c>
      <c r="I409" s="6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 "/")</f>
        <v>theater</v>
      </c>
      <c r="R409" t="str">
        <v>plays</v>
      </c>
      <c r="S409" s="10">
        <f t="shared" si="27"/>
        <v>43751.208333333328</v>
      </c>
      <c r="T409" s="11">
        <f t="shared" si="28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25"/>
        <v>1.3183695652173912</v>
      </c>
      <c r="H410">
        <v>154</v>
      </c>
      <c r="I410" s="6">
        <f t="shared" si="2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 "/")</f>
        <v>film &amp; video</v>
      </c>
      <c r="R410" t="str">
        <v>documentary</v>
      </c>
      <c r="S410" s="10">
        <f t="shared" si="27"/>
        <v>42541.208333333328</v>
      </c>
      <c r="T410" s="11">
        <f t="shared" si="28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25"/>
        <v>0.46315634218289087</v>
      </c>
      <c r="H411">
        <v>714</v>
      </c>
      <c r="I411" s="6">
        <f t="shared" si="2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 "/")</f>
        <v>music</v>
      </c>
      <c r="R411" t="str">
        <v>rock</v>
      </c>
      <c r="S411" s="10">
        <f t="shared" si="27"/>
        <v>42843.208333333328</v>
      </c>
      <c r="T411" s="11">
        <f t="shared" si="28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25"/>
        <v>0.36132726089785294</v>
      </c>
      <c r="H412">
        <v>1111</v>
      </c>
      <c r="I412" s="6">
        <f t="shared" si="2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 "/")</f>
        <v>games</v>
      </c>
      <c r="R412" t="str">
        <v>mobile games</v>
      </c>
      <c r="S412" s="10">
        <f t="shared" si="27"/>
        <v>42122.208333333328</v>
      </c>
      <c r="T412" s="11">
        <f t="shared" si="28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25"/>
        <v>1.0462820512820512</v>
      </c>
      <c r="H413">
        <v>82</v>
      </c>
      <c r="I413" s="6">
        <f t="shared" si="2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 "/")</f>
        <v>theater</v>
      </c>
      <c r="R413" t="str">
        <v>plays</v>
      </c>
      <c r="S413" s="10">
        <f t="shared" si="27"/>
        <v>42884.208333333328</v>
      </c>
      <c r="T413" s="11">
        <f t="shared" si="28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25"/>
        <v>6.6885714285714286</v>
      </c>
      <c r="H414">
        <v>134</v>
      </c>
      <c r="I414" s="6">
        <f t="shared" si="2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 "/")</f>
        <v>publishing</v>
      </c>
      <c r="R414" t="str">
        <v>fiction</v>
      </c>
      <c r="S414" s="10">
        <f t="shared" si="27"/>
        <v>41642.25</v>
      </c>
      <c r="T414" s="11">
        <f t="shared" si="28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25"/>
        <v>0.62072823218997364</v>
      </c>
      <c r="H415">
        <v>1089</v>
      </c>
      <c r="I415" s="6">
        <f t="shared" si="2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 "/")</f>
        <v>film &amp; video</v>
      </c>
      <c r="R415" t="str">
        <v>animation</v>
      </c>
      <c r="S415" s="10">
        <f t="shared" si="27"/>
        <v>43431.25</v>
      </c>
      <c r="T415" s="11">
        <f t="shared" si="28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25"/>
        <v>0.84699787460148779</v>
      </c>
      <c r="H416">
        <v>5497</v>
      </c>
      <c r="I416" s="6">
        <f t="shared" si="2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 "/")</f>
        <v>food</v>
      </c>
      <c r="R416" t="str">
        <v>food trucks</v>
      </c>
      <c r="S416" s="10">
        <f t="shared" si="27"/>
        <v>40288.208333333336</v>
      </c>
      <c r="T416" s="11">
        <f t="shared" si="28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25"/>
        <v>0.11059030837004405</v>
      </c>
      <c r="H417">
        <v>418</v>
      </c>
      <c r="I417" s="6">
        <f t="shared" si="2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 "/")</f>
        <v>theater</v>
      </c>
      <c r="R417" t="str">
        <v>plays</v>
      </c>
      <c r="S417" s="10">
        <f t="shared" si="27"/>
        <v>40921.25</v>
      </c>
      <c r="T417" s="11">
        <f t="shared" si="28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25"/>
        <v>0.43838781575037145</v>
      </c>
      <c r="H418">
        <v>1439</v>
      </c>
      <c r="I418" s="6">
        <f t="shared" si="2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 "/")</f>
        <v>film &amp; video</v>
      </c>
      <c r="R418" t="str">
        <v>documentary</v>
      </c>
      <c r="S418" s="10">
        <f t="shared" si="27"/>
        <v>40560.25</v>
      </c>
      <c r="T418" s="11">
        <f t="shared" si="28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25"/>
        <v>0.55470588235294116</v>
      </c>
      <c r="H419">
        <v>15</v>
      </c>
      <c r="I419" s="6">
        <f t="shared" si="2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 "/")</f>
        <v>theater</v>
      </c>
      <c r="R419" t="str">
        <v>plays</v>
      </c>
      <c r="S419" s="10">
        <f t="shared" si="27"/>
        <v>43407.208333333328</v>
      </c>
      <c r="T419" s="11">
        <f t="shared" si="28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25"/>
        <v>0.57399511301160655</v>
      </c>
      <c r="H420">
        <v>1999</v>
      </c>
      <c r="I420" s="6">
        <f t="shared" si="2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 "/")</f>
        <v>film &amp; video</v>
      </c>
      <c r="R420" t="str">
        <v>documentary</v>
      </c>
      <c r="S420" s="10">
        <f t="shared" si="27"/>
        <v>41035.208333333336</v>
      </c>
      <c r="T420" s="11">
        <f t="shared" si="28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25"/>
        <v>1.2343497363796134</v>
      </c>
      <c r="H421">
        <v>5203</v>
      </c>
      <c r="I421" s="6">
        <f t="shared" si="2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 "/")</f>
        <v>technology</v>
      </c>
      <c r="R421" t="str">
        <v>web</v>
      </c>
      <c r="S421" s="10">
        <f t="shared" si="27"/>
        <v>40899.25</v>
      </c>
      <c r="T421" s="11">
        <f t="shared" si="28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25"/>
        <v>1.2846</v>
      </c>
      <c r="H422">
        <v>94</v>
      </c>
      <c r="I422" s="6">
        <f t="shared" si="2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 "/")</f>
        <v>theater</v>
      </c>
      <c r="R422" t="str">
        <v>plays</v>
      </c>
      <c r="S422" s="10">
        <f t="shared" si="27"/>
        <v>42911.208333333328</v>
      </c>
      <c r="T422" s="11">
        <f t="shared" si="28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25"/>
        <v>0.63989361702127656</v>
      </c>
      <c r="H423">
        <v>118</v>
      </c>
      <c r="I423" s="6">
        <f t="shared" si="2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 "/")</f>
        <v>technology</v>
      </c>
      <c r="R423" t="str">
        <v>wearables</v>
      </c>
      <c r="S423" s="10">
        <f t="shared" si="27"/>
        <v>42915.208333333328</v>
      </c>
      <c r="T423" s="11">
        <f t="shared" si="28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25"/>
        <v>1.2729885057471264</v>
      </c>
      <c r="H424">
        <v>205</v>
      </c>
      <c r="I424" s="6">
        <f t="shared" si="2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 "/")</f>
        <v>theater</v>
      </c>
      <c r="R424" t="str">
        <v>plays</v>
      </c>
      <c r="S424" s="10">
        <f t="shared" si="27"/>
        <v>40285.208333333336</v>
      </c>
      <c r="T424" s="11">
        <f t="shared" si="28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25"/>
        <v>0.10638024357239513</v>
      </c>
      <c r="H425">
        <v>162</v>
      </c>
      <c r="I425" s="6">
        <f t="shared" si="2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 "/")</f>
        <v>food</v>
      </c>
      <c r="R425" t="str">
        <v>food trucks</v>
      </c>
      <c r="S425" s="10">
        <f t="shared" si="27"/>
        <v>40808.208333333336</v>
      </c>
      <c r="T425" s="11">
        <f t="shared" si="28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25"/>
        <v>0.40470588235294119</v>
      </c>
      <c r="H426">
        <v>83</v>
      </c>
      <c r="I426" s="6">
        <f t="shared" si="2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 "/")</f>
        <v>music</v>
      </c>
      <c r="R426" t="str">
        <v>indie rock</v>
      </c>
      <c r="S426" s="10">
        <f t="shared" si="27"/>
        <v>43208.208333333328</v>
      </c>
      <c r="T426" s="11">
        <f t="shared" si="28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25"/>
        <v>2.8766666666666665</v>
      </c>
      <c r="H427">
        <v>92</v>
      </c>
      <c r="I427" s="6">
        <f t="shared" si="2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 "/")</f>
        <v>photography</v>
      </c>
      <c r="R427" t="str">
        <v>photography books</v>
      </c>
      <c r="S427" s="10">
        <f t="shared" si="27"/>
        <v>42213.208333333328</v>
      </c>
      <c r="T427" s="11">
        <f t="shared" si="28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25"/>
        <v>5.7294444444444448</v>
      </c>
      <c r="H428">
        <v>219</v>
      </c>
      <c r="I428" s="6">
        <f t="shared" si="2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 "/")</f>
        <v>theater</v>
      </c>
      <c r="R428" t="str">
        <v>plays</v>
      </c>
      <c r="S428" s="10">
        <f t="shared" si="27"/>
        <v>41332.25</v>
      </c>
      <c r="T428" s="11">
        <f t="shared" si="28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25"/>
        <v>1.1290429799426933</v>
      </c>
      <c r="H429">
        <v>2526</v>
      </c>
      <c r="I429" s="6">
        <f t="shared" si="2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 "/")</f>
        <v>theater</v>
      </c>
      <c r="R429" t="str">
        <v>plays</v>
      </c>
      <c r="S429" s="10">
        <f t="shared" si="27"/>
        <v>41895.208333333336</v>
      </c>
      <c r="T429" s="11">
        <f t="shared" si="28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25"/>
        <v>0.46387573964497042</v>
      </c>
      <c r="H430">
        <v>747</v>
      </c>
      <c r="I430" s="6">
        <f t="shared" si="2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 "/")</f>
        <v>film &amp; video</v>
      </c>
      <c r="R430" t="str">
        <v>animation</v>
      </c>
      <c r="S430" s="10">
        <f t="shared" si="27"/>
        <v>40585.25</v>
      </c>
      <c r="T430" s="11">
        <f t="shared" si="28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25"/>
        <v>0.90675916230366493</v>
      </c>
      <c r="H431">
        <v>2138</v>
      </c>
      <c r="I431" s="6">
        <f t="shared" si="2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 "/")</f>
        <v>photography</v>
      </c>
      <c r="R431" t="str">
        <v>photography books</v>
      </c>
      <c r="S431" s="10">
        <f t="shared" si="27"/>
        <v>41680.25</v>
      </c>
      <c r="T431" s="11">
        <f t="shared" si="28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25"/>
        <v>0.67740740740740746</v>
      </c>
      <c r="H432">
        <v>84</v>
      </c>
      <c r="I432" s="6">
        <f t="shared" si="2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 "/")</f>
        <v>theater</v>
      </c>
      <c r="R432" t="str">
        <v>plays</v>
      </c>
      <c r="S432" s="10">
        <f t="shared" si="27"/>
        <v>43737.208333333328</v>
      </c>
      <c r="T432" s="11">
        <f t="shared" si="28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25"/>
        <v>1.9249019607843136</v>
      </c>
      <c r="H433">
        <v>94</v>
      </c>
      <c r="I433" s="6">
        <f t="shared" si="2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 "/")</f>
        <v>theater</v>
      </c>
      <c r="R433" t="str">
        <v>plays</v>
      </c>
      <c r="S433" s="10">
        <f t="shared" si="27"/>
        <v>43273.208333333328</v>
      </c>
      <c r="T433" s="11">
        <f t="shared" si="28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25"/>
        <v>0.82714285714285718</v>
      </c>
      <c r="H434">
        <v>91</v>
      </c>
      <c r="I434" s="6">
        <f t="shared" si="2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 "/")</f>
        <v>theater</v>
      </c>
      <c r="R434" t="str">
        <v>plays</v>
      </c>
      <c r="S434" s="10">
        <f t="shared" si="27"/>
        <v>41761.208333333336</v>
      </c>
      <c r="T434" s="11">
        <f t="shared" si="28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25"/>
        <v>0.54163920922570019</v>
      </c>
      <c r="H435">
        <v>792</v>
      </c>
      <c r="I435" s="6">
        <f t="shared" si="2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 "/")</f>
        <v>film &amp; video</v>
      </c>
      <c r="R435" t="str">
        <v>documentary</v>
      </c>
      <c r="S435" s="10">
        <f t="shared" si="27"/>
        <v>41603.25</v>
      </c>
      <c r="T435" s="11">
        <f t="shared" si="28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25"/>
        <v>0.16722222222222222</v>
      </c>
      <c r="H436">
        <v>10</v>
      </c>
      <c r="I436" s="6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 "/")</f>
        <v>theater</v>
      </c>
      <c r="R436" t="str">
        <v>plays</v>
      </c>
      <c r="S436" s="10">
        <f t="shared" si="27"/>
        <v>42705.25</v>
      </c>
      <c r="T436" s="11">
        <f t="shared" si="28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25"/>
        <v>1.168766404199475</v>
      </c>
      <c r="H437">
        <v>1713</v>
      </c>
      <c r="I437" s="6">
        <f t="shared" si="2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 "/")</f>
        <v>theater</v>
      </c>
      <c r="R437" t="str">
        <v>plays</v>
      </c>
      <c r="S437" s="10">
        <f t="shared" si="27"/>
        <v>41988.25</v>
      </c>
      <c r="T437" s="11">
        <f t="shared" si="28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25"/>
        <v>10.521538461538462</v>
      </c>
      <c r="H438">
        <v>249</v>
      </c>
      <c r="I438" s="6">
        <f t="shared" si="2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 "/")</f>
        <v>music</v>
      </c>
      <c r="R438" t="str">
        <v>jazz</v>
      </c>
      <c r="S438" s="10">
        <f t="shared" si="27"/>
        <v>43575.208333333328</v>
      </c>
      <c r="T438" s="11">
        <f t="shared" si="28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25"/>
        <v>1.2307407407407407</v>
      </c>
      <c r="H439">
        <v>192</v>
      </c>
      <c r="I439" s="6">
        <f t="shared" si="26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 "/")</f>
        <v>film &amp; video</v>
      </c>
      <c r="R439" t="str">
        <v>animation</v>
      </c>
      <c r="S439" s="10">
        <f t="shared" si="27"/>
        <v>42260.208333333328</v>
      </c>
      <c r="T439" s="11">
        <f t="shared" si="28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25"/>
        <v>1.7863855421686747</v>
      </c>
      <c r="H440">
        <v>247</v>
      </c>
      <c r="I440" s="6">
        <f t="shared" si="2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 "/")</f>
        <v>theater</v>
      </c>
      <c r="R440" t="str">
        <v>plays</v>
      </c>
      <c r="S440" s="10">
        <f t="shared" si="27"/>
        <v>41337.25</v>
      </c>
      <c r="T440" s="11">
        <f t="shared" si="28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25"/>
        <v>3.5528169014084505</v>
      </c>
      <c r="H441">
        <v>2293</v>
      </c>
      <c r="I441" s="6">
        <f t="shared" si="2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 "/")</f>
        <v>film &amp; video</v>
      </c>
      <c r="R441" t="str">
        <v>science fiction</v>
      </c>
      <c r="S441" s="10">
        <f t="shared" si="27"/>
        <v>42680.208333333328</v>
      </c>
      <c r="T441" s="11">
        <f t="shared" si="28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25"/>
        <v>1.6190634146341463</v>
      </c>
      <c r="H442">
        <v>3131</v>
      </c>
      <c r="I442" s="6">
        <f t="shared" si="2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 "/")</f>
        <v>film &amp; video</v>
      </c>
      <c r="R442" t="str">
        <v>television</v>
      </c>
      <c r="S442" s="10">
        <f t="shared" si="27"/>
        <v>42916.208333333328</v>
      </c>
      <c r="T442" s="11">
        <f t="shared" si="28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25"/>
        <v>0.24914285714285714</v>
      </c>
      <c r="H443">
        <v>32</v>
      </c>
      <c r="I443" s="6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 "/")</f>
        <v>technology</v>
      </c>
      <c r="R443" t="str">
        <v>wearables</v>
      </c>
      <c r="S443" s="10">
        <f t="shared" si="27"/>
        <v>41025.208333333336</v>
      </c>
      <c r="T443" s="11">
        <f t="shared" si="28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25"/>
        <v>1.9872222222222222</v>
      </c>
      <c r="H444">
        <v>143</v>
      </c>
      <c r="I444" s="6">
        <f t="shared" si="2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 "/")</f>
        <v>theater</v>
      </c>
      <c r="R444" t="str">
        <v>plays</v>
      </c>
      <c r="S444" s="10">
        <f t="shared" si="27"/>
        <v>42980.208333333328</v>
      </c>
      <c r="T444" s="11">
        <f t="shared" si="28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25"/>
        <v>0.34752688172043011</v>
      </c>
      <c r="H445">
        <v>90</v>
      </c>
      <c r="I445" s="6">
        <f t="shared" si="2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 "/")</f>
        <v>theater</v>
      </c>
      <c r="R445" t="str">
        <v>plays</v>
      </c>
      <c r="S445" s="10">
        <f t="shared" si="27"/>
        <v>40451.208333333336</v>
      </c>
      <c r="T445" s="11">
        <f t="shared" si="28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25"/>
        <v>1.7641935483870967</v>
      </c>
      <c r="H446">
        <v>296</v>
      </c>
      <c r="I446" s="6">
        <f t="shared" si="2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 "/")</f>
        <v>music</v>
      </c>
      <c r="R446" t="str">
        <v>indie rock</v>
      </c>
      <c r="S446" s="10">
        <f t="shared" si="27"/>
        <v>40748.208333333336</v>
      </c>
      <c r="T446" s="11">
        <f t="shared" si="28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25"/>
        <v>5.1138095238095236</v>
      </c>
      <c r="H447">
        <v>170</v>
      </c>
      <c r="I447" s="6">
        <f t="shared" si="2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 "/")</f>
        <v>theater</v>
      </c>
      <c r="R447" t="str">
        <v>plays</v>
      </c>
      <c r="S447" s="10">
        <f t="shared" si="27"/>
        <v>40515.25</v>
      </c>
      <c r="T447" s="11">
        <f t="shared" si="28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25"/>
        <v>0.82044117647058823</v>
      </c>
      <c r="H448">
        <v>186</v>
      </c>
      <c r="I448" s="6">
        <f t="shared" si="2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 "/")</f>
        <v>technology</v>
      </c>
      <c r="R448" t="str">
        <v>wearables</v>
      </c>
      <c r="S448" s="10">
        <f t="shared" si="27"/>
        <v>41261.25</v>
      </c>
      <c r="T448" s="11">
        <f t="shared" si="28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25"/>
        <v>0.24326030927835052</v>
      </c>
      <c r="H449">
        <v>439</v>
      </c>
      <c r="I449" s="6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 "/")</f>
        <v>film &amp; video</v>
      </c>
      <c r="R449" t="str">
        <v>television</v>
      </c>
      <c r="S449" s="10">
        <f t="shared" si="27"/>
        <v>43088.25</v>
      </c>
      <c r="T449" s="11">
        <f t="shared" si="28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ref="G450:G513" si="29">E450/D450</f>
        <v>0.50482758620689661</v>
      </c>
      <c r="H450">
        <v>605</v>
      </c>
      <c r="I450" s="6">
        <f t="shared" ref="I450:I513" si="30">IF(E450,E450/H450,0)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 "/")</f>
        <v>games</v>
      </c>
      <c r="R450" t="str">
        <v>video games</v>
      </c>
      <c r="S450" s="10">
        <f t="shared" ref="S450:S513" si="31">(((L450/60)/60)/24)+DATE(1970,1,1)</f>
        <v>41378.208333333336</v>
      </c>
      <c r="T450" s="11">
        <f t="shared" ref="T450:T513" si="32">(((M450/60)/60)/24)+DATE(1970,1,1)</f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si="29"/>
        <v>9.67</v>
      </c>
      <c r="H451">
        <v>86</v>
      </c>
      <c r="I451" s="6">
        <f t="shared" si="30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 "/")</f>
        <v>games</v>
      </c>
      <c r="R451" t="str">
        <v>video games</v>
      </c>
      <c r="S451" s="10">
        <f t="shared" si="31"/>
        <v>43530.25</v>
      </c>
      <c r="T451" s="11">
        <f t="shared" si="32"/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si="29"/>
        <v>0.04</v>
      </c>
      <c r="H452">
        <v>1</v>
      </c>
      <c r="I452" s="6">
        <f t="shared" si="30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 "/")</f>
        <v>film &amp; video</v>
      </c>
      <c r="R452" t="str">
        <v>animation</v>
      </c>
      <c r="S452" s="10">
        <f t="shared" si="31"/>
        <v>43394.208333333328</v>
      </c>
      <c r="T452" s="11">
        <f t="shared" si="32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29"/>
        <v>1.2284501347708894</v>
      </c>
      <c r="H453">
        <v>6286</v>
      </c>
      <c r="I453" s="6">
        <f t="shared" si="3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 "/")</f>
        <v>music</v>
      </c>
      <c r="R453" t="str">
        <v>rock</v>
      </c>
      <c r="S453" s="10">
        <f t="shared" si="31"/>
        <v>42935.208333333328</v>
      </c>
      <c r="T453" s="11">
        <f t="shared" si="32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29"/>
        <v>0.63437500000000002</v>
      </c>
      <c r="H454">
        <v>31</v>
      </c>
      <c r="I454" s="6">
        <f t="shared" si="3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 "/")</f>
        <v>film &amp; video</v>
      </c>
      <c r="R454" t="str">
        <v>drama</v>
      </c>
      <c r="S454" s="10">
        <f t="shared" si="31"/>
        <v>40365.208333333336</v>
      </c>
      <c r="T454" s="11">
        <f t="shared" si="32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29"/>
        <v>0.56331688596491225</v>
      </c>
      <c r="H455">
        <v>1181</v>
      </c>
      <c r="I455" s="6">
        <f t="shared" si="3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 "/")</f>
        <v>film &amp; video</v>
      </c>
      <c r="R455" t="str">
        <v>science fiction</v>
      </c>
      <c r="S455" s="10">
        <f t="shared" si="31"/>
        <v>42705.25</v>
      </c>
      <c r="T455" s="11">
        <f t="shared" si="32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29"/>
        <v>0.44074999999999998</v>
      </c>
      <c r="H456">
        <v>39</v>
      </c>
      <c r="I456" s="6">
        <f t="shared" si="3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 "/")</f>
        <v>film &amp; video</v>
      </c>
      <c r="R456" t="str">
        <v>drama</v>
      </c>
      <c r="S456" s="10">
        <f t="shared" si="31"/>
        <v>41568.208333333336</v>
      </c>
      <c r="T456" s="11">
        <f t="shared" si="32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29"/>
        <v>1.1837253218884121</v>
      </c>
      <c r="H457">
        <v>3727</v>
      </c>
      <c r="I457" s="6">
        <f t="shared" si="3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 "/")</f>
        <v>theater</v>
      </c>
      <c r="R457" t="str">
        <v>plays</v>
      </c>
      <c r="S457" s="10">
        <f t="shared" si="31"/>
        <v>40809.208333333336</v>
      </c>
      <c r="T457" s="11">
        <f t="shared" si="32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29"/>
        <v>1.041243169398907</v>
      </c>
      <c r="H458">
        <v>1605</v>
      </c>
      <c r="I458" s="6">
        <f t="shared" si="3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 "/")</f>
        <v>music</v>
      </c>
      <c r="R458" t="str">
        <v>indie rock</v>
      </c>
      <c r="S458" s="10">
        <f t="shared" si="31"/>
        <v>43141.25</v>
      </c>
      <c r="T458" s="11">
        <f t="shared" si="32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29"/>
        <v>0.26640000000000003</v>
      </c>
      <c r="H459">
        <v>46</v>
      </c>
      <c r="I459" s="6">
        <f t="shared" si="3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 "/")</f>
        <v>theater</v>
      </c>
      <c r="R459" t="str">
        <v>plays</v>
      </c>
      <c r="S459" s="10">
        <f t="shared" si="31"/>
        <v>42657.208333333328</v>
      </c>
      <c r="T459" s="11">
        <f t="shared" si="32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29"/>
        <v>3.5120118343195266</v>
      </c>
      <c r="H460">
        <v>2120</v>
      </c>
      <c r="I460" s="6">
        <f t="shared" si="3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 "/")</f>
        <v>theater</v>
      </c>
      <c r="R460" t="str">
        <v>plays</v>
      </c>
      <c r="S460" s="10">
        <f t="shared" si="31"/>
        <v>40265.208333333336</v>
      </c>
      <c r="T460" s="11">
        <f t="shared" si="32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29"/>
        <v>0.90063492063492068</v>
      </c>
      <c r="H461">
        <v>105</v>
      </c>
      <c r="I461" s="6">
        <f t="shared" si="3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 "/")</f>
        <v>film &amp; video</v>
      </c>
      <c r="R461" t="str">
        <v>documentary</v>
      </c>
      <c r="S461" s="10">
        <f t="shared" si="31"/>
        <v>42001.25</v>
      </c>
      <c r="T461" s="11">
        <f t="shared" si="32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29"/>
        <v>1.7162500000000001</v>
      </c>
      <c r="H462">
        <v>50</v>
      </c>
      <c r="I462" s="6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 "/")</f>
        <v>theater</v>
      </c>
      <c r="R462" t="str">
        <v>plays</v>
      </c>
      <c r="S462" s="10">
        <f t="shared" si="31"/>
        <v>40399.208333333336</v>
      </c>
      <c r="T462" s="11">
        <f t="shared" si="32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29"/>
        <v>1.4104655870445344</v>
      </c>
      <c r="H463">
        <v>2080</v>
      </c>
      <c r="I463" s="6">
        <f t="shared" si="3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 "/")</f>
        <v>film &amp; video</v>
      </c>
      <c r="R463" t="str">
        <v>drama</v>
      </c>
      <c r="S463" s="10">
        <f t="shared" si="31"/>
        <v>41757.208333333336</v>
      </c>
      <c r="T463" s="11">
        <f t="shared" si="32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29"/>
        <v>0.30579449152542371</v>
      </c>
      <c r="H464">
        <v>535</v>
      </c>
      <c r="I464" s="6">
        <f t="shared" si="3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 "/")</f>
        <v>games</v>
      </c>
      <c r="R464" t="str">
        <v>mobile games</v>
      </c>
      <c r="S464" s="10">
        <f t="shared" si="31"/>
        <v>41304.25</v>
      </c>
      <c r="T464" s="11">
        <f t="shared" si="32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29"/>
        <v>1.0816455696202532</v>
      </c>
      <c r="H465">
        <v>2105</v>
      </c>
      <c r="I465" s="6">
        <f t="shared" si="3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 "/")</f>
        <v>film &amp; video</v>
      </c>
      <c r="R465" t="str">
        <v>animation</v>
      </c>
      <c r="S465" s="10">
        <f t="shared" si="31"/>
        <v>41639.25</v>
      </c>
      <c r="T465" s="11">
        <f t="shared" si="32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29"/>
        <v>1.3345505617977529</v>
      </c>
      <c r="H466">
        <v>2436</v>
      </c>
      <c r="I466" s="6">
        <f t="shared" si="3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 "/")</f>
        <v>theater</v>
      </c>
      <c r="R466" t="str">
        <v>plays</v>
      </c>
      <c r="S466" s="10">
        <f t="shared" si="31"/>
        <v>43142.25</v>
      </c>
      <c r="T466" s="11">
        <f t="shared" si="32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29"/>
        <v>1.8785106382978722</v>
      </c>
      <c r="H467">
        <v>80</v>
      </c>
      <c r="I467" s="6">
        <f t="shared" si="30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 "/")</f>
        <v>publishing</v>
      </c>
      <c r="R467" t="str">
        <v>translations</v>
      </c>
      <c r="S467" s="10">
        <f t="shared" si="31"/>
        <v>43127.25</v>
      </c>
      <c r="T467" s="11">
        <f t="shared" si="32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29"/>
        <v>3.32</v>
      </c>
      <c r="H468">
        <v>42</v>
      </c>
      <c r="I468" s="6">
        <f t="shared" si="3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 "/")</f>
        <v>technology</v>
      </c>
      <c r="R468" t="str">
        <v>wearables</v>
      </c>
      <c r="S468" s="10">
        <f t="shared" si="31"/>
        <v>41409.208333333336</v>
      </c>
      <c r="T468" s="11">
        <f t="shared" si="32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29"/>
        <v>5.7521428571428572</v>
      </c>
      <c r="H469">
        <v>139</v>
      </c>
      <c r="I469" s="6">
        <f t="shared" si="3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 "/")</f>
        <v>technology</v>
      </c>
      <c r="R469" t="str">
        <v>web</v>
      </c>
      <c r="S469" s="10">
        <f t="shared" si="31"/>
        <v>42331.25</v>
      </c>
      <c r="T469" s="11">
        <f t="shared" si="32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29"/>
        <v>0.40500000000000003</v>
      </c>
      <c r="H470">
        <v>16</v>
      </c>
      <c r="I470" s="6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 "/")</f>
        <v>theater</v>
      </c>
      <c r="R470" t="str">
        <v>plays</v>
      </c>
      <c r="S470" s="10">
        <f t="shared" si="31"/>
        <v>43569.208333333328</v>
      </c>
      <c r="T470" s="11">
        <f t="shared" si="32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29"/>
        <v>1.8442857142857143</v>
      </c>
      <c r="H471">
        <v>159</v>
      </c>
      <c r="I471" s="6">
        <f t="shared" si="3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 "/")</f>
        <v>film &amp; video</v>
      </c>
      <c r="R471" t="str">
        <v>drama</v>
      </c>
      <c r="S471" s="10">
        <f t="shared" si="31"/>
        <v>42142.208333333328</v>
      </c>
      <c r="T471" s="11">
        <f t="shared" si="32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29"/>
        <v>2.8580555555555556</v>
      </c>
      <c r="H472">
        <v>381</v>
      </c>
      <c r="I472" s="6">
        <f t="shared" si="3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 "/")</f>
        <v>technology</v>
      </c>
      <c r="R472" t="str">
        <v>wearables</v>
      </c>
      <c r="S472" s="10">
        <f t="shared" si="31"/>
        <v>42716.25</v>
      </c>
      <c r="T472" s="11">
        <f t="shared" si="32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29"/>
        <v>3.19</v>
      </c>
      <c r="H473">
        <v>194</v>
      </c>
      <c r="I473" s="6">
        <f t="shared" si="3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 "/")</f>
        <v>food</v>
      </c>
      <c r="R473" t="str">
        <v>food trucks</v>
      </c>
      <c r="S473" s="10">
        <f t="shared" si="31"/>
        <v>41031.208333333336</v>
      </c>
      <c r="T473" s="11">
        <f t="shared" si="32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29"/>
        <v>0.39234070221066319</v>
      </c>
      <c r="H474">
        <v>575</v>
      </c>
      <c r="I474" s="6">
        <f t="shared" si="3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 "/")</f>
        <v>music</v>
      </c>
      <c r="R474" t="str">
        <v>rock</v>
      </c>
      <c r="S474" s="10">
        <f t="shared" si="31"/>
        <v>43535.208333333328</v>
      </c>
      <c r="T474" s="11">
        <f t="shared" si="32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29"/>
        <v>1.7814000000000001</v>
      </c>
      <c r="H475">
        <v>106</v>
      </c>
      <c r="I475" s="6">
        <f t="shared" si="3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 "/")</f>
        <v>music</v>
      </c>
      <c r="R475" t="str">
        <v>electric music</v>
      </c>
      <c r="S475" s="10">
        <f t="shared" si="31"/>
        <v>43277.208333333328</v>
      </c>
      <c r="T475" s="11">
        <f t="shared" si="32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29"/>
        <v>3.6515</v>
      </c>
      <c r="H476">
        <v>142</v>
      </c>
      <c r="I476" s="6">
        <f t="shared" si="3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 "/")</f>
        <v>film &amp; video</v>
      </c>
      <c r="R476" t="str">
        <v>television</v>
      </c>
      <c r="S476" s="10">
        <f t="shared" si="31"/>
        <v>41989.25</v>
      </c>
      <c r="T476" s="11">
        <f t="shared" si="32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29"/>
        <v>1.1394594594594594</v>
      </c>
      <c r="H477">
        <v>211</v>
      </c>
      <c r="I477" s="6">
        <f t="shared" si="3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 "/")</f>
        <v>publishing</v>
      </c>
      <c r="R477" t="str">
        <v>translations</v>
      </c>
      <c r="S477" s="10">
        <f t="shared" si="31"/>
        <v>41450.208333333336</v>
      </c>
      <c r="T477" s="11">
        <f t="shared" si="32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29"/>
        <v>0.29828720626631855</v>
      </c>
      <c r="H478">
        <v>1120</v>
      </c>
      <c r="I478" s="6">
        <f t="shared" si="3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 "/")</f>
        <v>publishing</v>
      </c>
      <c r="R478" t="str">
        <v>fiction</v>
      </c>
      <c r="S478" s="10">
        <f t="shared" si="31"/>
        <v>43322.208333333328</v>
      </c>
      <c r="T478" s="11">
        <f t="shared" si="32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29"/>
        <v>0.54270588235294115</v>
      </c>
      <c r="H479">
        <v>113</v>
      </c>
      <c r="I479" s="6">
        <f t="shared" si="3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 "/")</f>
        <v>film &amp; video</v>
      </c>
      <c r="R479" t="str">
        <v>science fiction</v>
      </c>
      <c r="S479" s="10">
        <f t="shared" si="31"/>
        <v>40720.208333333336</v>
      </c>
      <c r="T479" s="11">
        <f t="shared" si="32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29"/>
        <v>2.3634156976744185</v>
      </c>
      <c r="H480">
        <v>2756</v>
      </c>
      <c r="I480" s="6">
        <f t="shared" si="3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 "/")</f>
        <v>technology</v>
      </c>
      <c r="R480" t="str">
        <v>wearables</v>
      </c>
      <c r="S480" s="10">
        <f t="shared" si="31"/>
        <v>42072.208333333328</v>
      </c>
      <c r="T480" s="11">
        <f t="shared" si="32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29"/>
        <v>5.1291666666666664</v>
      </c>
      <c r="H481">
        <v>173</v>
      </c>
      <c r="I481" s="6">
        <f t="shared" si="3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 "/")</f>
        <v>food</v>
      </c>
      <c r="R481" t="str">
        <v>food trucks</v>
      </c>
      <c r="S481" s="10">
        <f t="shared" si="31"/>
        <v>42945.208333333328</v>
      </c>
      <c r="T481" s="11">
        <f t="shared" si="32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29"/>
        <v>1.0065116279069768</v>
      </c>
      <c r="H482">
        <v>87</v>
      </c>
      <c r="I482" s="6">
        <f t="shared" si="3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 "/")</f>
        <v>photography</v>
      </c>
      <c r="R482" t="str">
        <v>photography books</v>
      </c>
      <c r="S482" s="10">
        <f t="shared" si="31"/>
        <v>40248.25</v>
      </c>
      <c r="T482" s="11">
        <f t="shared" si="32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29"/>
        <v>0.81348423194303154</v>
      </c>
      <c r="H483">
        <v>1538</v>
      </c>
      <c r="I483" s="6">
        <f t="shared" si="3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 "/")</f>
        <v>theater</v>
      </c>
      <c r="R483" t="str">
        <v>plays</v>
      </c>
      <c r="S483" s="10">
        <f t="shared" si="31"/>
        <v>41913.208333333336</v>
      </c>
      <c r="T483" s="11">
        <f t="shared" si="32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29"/>
        <v>0.16404761904761905</v>
      </c>
      <c r="H484">
        <v>9</v>
      </c>
      <c r="I484" s="6">
        <f t="shared" si="3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 "/")</f>
        <v>publishing</v>
      </c>
      <c r="R484" t="str">
        <v>fiction</v>
      </c>
      <c r="S484" s="10">
        <f t="shared" si="31"/>
        <v>40963.25</v>
      </c>
      <c r="T484" s="11">
        <f t="shared" si="32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29"/>
        <v>0.52774617067833696</v>
      </c>
      <c r="H485">
        <v>554</v>
      </c>
      <c r="I485" s="6">
        <f t="shared" si="3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 "/")</f>
        <v>theater</v>
      </c>
      <c r="R485" t="str">
        <v>plays</v>
      </c>
      <c r="S485" s="10">
        <f t="shared" si="31"/>
        <v>43811.25</v>
      </c>
      <c r="T485" s="11">
        <f t="shared" si="32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29"/>
        <v>2.6020608108108108</v>
      </c>
      <c r="H486">
        <v>1572</v>
      </c>
      <c r="I486" s="6">
        <f t="shared" si="3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 "/")</f>
        <v>food</v>
      </c>
      <c r="R486" t="str">
        <v>food trucks</v>
      </c>
      <c r="S486" s="10">
        <f t="shared" si="31"/>
        <v>41855.208333333336</v>
      </c>
      <c r="T486" s="11">
        <f t="shared" si="32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29"/>
        <v>0.30732891832229581</v>
      </c>
      <c r="H487">
        <v>648</v>
      </c>
      <c r="I487" s="6">
        <f t="shared" si="3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 "/")</f>
        <v>theater</v>
      </c>
      <c r="R487" t="str">
        <v>plays</v>
      </c>
      <c r="S487" s="10">
        <f t="shared" si="31"/>
        <v>43626.208333333328</v>
      </c>
      <c r="T487" s="11">
        <f t="shared" si="32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29"/>
        <v>0.13500000000000001</v>
      </c>
      <c r="H488">
        <v>21</v>
      </c>
      <c r="I488" s="6">
        <f t="shared" si="3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 "/")</f>
        <v>publishing</v>
      </c>
      <c r="R488" t="str">
        <v>translations</v>
      </c>
      <c r="S488" s="10">
        <f t="shared" si="31"/>
        <v>43168.25</v>
      </c>
      <c r="T488" s="11">
        <f t="shared" si="32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29"/>
        <v>1.7862556663644606</v>
      </c>
      <c r="H489">
        <v>2346</v>
      </c>
      <c r="I489" s="6">
        <f t="shared" si="3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 "/")</f>
        <v>theater</v>
      </c>
      <c r="R489" t="str">
        <v>plays</v>
      </c>
      <c r="S489" s="10">
        <f t="shared" si="31"/>
        <v>42845.208333333328</v>
      </c>
      <c r="T489" s="11">
        <f t="shared" si="32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29"/>
        <v>2.2005660377358489</v>
      </c>
      <c r="H490">
        <v>115</v>
      </c>
      <c r="I490" s="6">
        <f t="shared" si="3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 "/")</f>
        <v>theater</v>
      </c>
      <c r="R490" t="str">
        <v>plays</v>
      </c>
      <c r="S490" s="10">
        <f t="shared" si="31"/>
        <v>42403.25</v>
      </c>
      <c r="T490" s="11">
        <f t="shared" si="32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29"/>
        <v>1.015108695652174</v>
      </c>
      <c r="H491">
        <v>85</v>
      </c>
      <c r="I491" s="6">
        <f t="shared" si="3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 "/")</f>
        <v>technology</v>
      </c>
      <c r="R491" t="str">
        <v>wearables</v>
      </c>
      <c r="S491" s="10">
        <f t="shared" si="31"/>
        <v>40406.208333333336</v>
      </c>
      <c r="T491" s="11">
        <f t="shared" si="32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29"/>
        <v>1.915</v>
      </c>
      <c r="H492">
        <v>144</v>
      </c>
      <c r="I492" s="6">
        <f t="shared" si="3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 "/")</f>
        <v>journalism</v>
      </c>
      <c r="R492" t="str">
        <v>audio</v>
      </c>
      <c r="S492" s="10">
        <f t="shared" si="31"/>
        <v>43786.25</v>
      </c>
      <c r="T492" s="11">
        <f t="shared" si="32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29"/>
        <v>3.0534683098591549</v>
      </c>
      <c r="H493">
        <v>2443</v>
      </c>
      <c r="I493" s="6">
        <f t="shared" si="3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 "/")</f>
        <v>food</v>
      </c>
      <c r="R493" t="str">
        <v>food trucks</v>
      </c>
      <c r="S493" s="10">
        <f t="shared" si="31"/>
        <v>41456.208333333336</v>
      </c>
      <c r="T493" s="11">
        <f t="shared" si="32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29"/>
        <v>0.23995287958115183</v>
      </c>
      <c r="H494">
        <v>595</v>
      </c>
      <c r="I494" s="6">
        <f t="shared" si="3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 "/")</f>
        <v>film &amp; video</v>
      </c>
      <c r="R494" t="str">
        <v>shorts</v>
      </c>
      <c r="S494" s="10">
        <f t="shared" si="31"/>
        <v>40336.208333333336</v>
      </c>
      <c r="T494" s="11">
        <f t="shared" si="32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29"/>
        <v>7.2377777777777776</v>
      </c>
      <c r="H495">
        <v>64</v>
      </c>
      <c r="I495" s="6">
        <f t="shared" si="30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 "/")</f>
        <v>photography</v>
      </c>
      <c r="R495" t="str">
        <v>photography books</v>
      </c>
      <c r="S495" s="10">
        <f t="shared" si="31"/>
        <v>43645.208333333328</v>
      </c>
      <c r="T495" s="11">
        <f t="shared" si="32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29"/>
        <v>5.4736000000000002</v>
      </c>
      <c r="H496">
        <v>268</v>
      </c>
      <c r="I496" s="6">
        <f t="shared" si="3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 "/")</f>
        <v>technology</v>
      </c>
      <c r="R496" t="str">
        <v>wearables</v>
      </c>
      <c r="S496" s="10">
        <f t="shared" si="31"/>
        <v>40990.208333333336</v>
      </c>
      <c r="T496" s="11">
        <f t="shared" si="32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29"/>
        <v>4.1449999999999996</v>
      </c>
      <c r="H497">
        <v>195</v>
      </c>
      <c r="I497" s="6">
        <f t="shared" si="3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 "/")</f>
        <v>theater</v>
      </c>
      <c r="R497" t="str">
        <v>plays</v>
      </c>
      <c r="S497" s="10">
        <f t="shared" si="31"/>
        <v>41800.208333333336</v>
      </c>
      <c r="T497" s="11">
        <f t="shared" si="32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29"/>
        <v>9.0696409140369975E-3</v>
      </c>
      <c r="H498">
        <v>54</v>
      </c>
      <c r="I498" s="6">
        <f t="shared" si="3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 "/")</f>
        <v>film &amp; video</v>
      </c>
      <c r="R498" t="str">
        <v>animation</v>
      </c>
      <c r="S498" s="10">
        <f t="shared" si="31"/>
        <v>42876.208333333328</v>
      </c>
      <c r="T498" s="11">
        <f t="shared" si="32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29"/>
        <v>0.34173469387755101</v>
      </c>
      <c r="H499">
        <v>120</v>
      </c>
      <c r="I499" s="6">
        <f t="shared" si="3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 "/")</f>
        <v>technology</v>
      </c>
      <c r="R499" t="str">
        <v>wearables</v>
      </c>
      <c r="S499" s="10">
        <f t="shared" si="31"/>
        <v>42724.25</v>
      </c>
      <c r="T499" s="11">
        <f t="shared" si="32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29"/>
        <v>0.239488107549121</v>
      </c>
      <c r="H500">
        <v>579</v>
      </c>
      <c r="I500" s="6">
        <f t="shared" si="3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 "/")</f>
        <v>technology</v>
      </c>
      <c r="R500" t="str">
        <v>web</v>
      </c>
      <c r="S500" s="10">
        <f t="shared" si="31"/>
        <v>42005.25</v>
      </c>
      <c r="T500" s="11">
        <f t="shared" si="32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29"/>
        <v>0.48072649572649573</v>
      </c>
      <c r="H501">
        <v>2072</v>
      </c>
      <c r="I501" s="6">
        <f t="shared" si="3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 "/")</f>
        <v>film &amp; video</v>
      </c>
      <c r="R501" t="str">
        <v>documentary</v>
      </c>
      <c r="S501" s="10">
        <f t="shared" si="31"/>
        <v>42444.208333333328</v>
      </c>
      <c r="T501" s="11">
        <f t="shared" si="32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29"/>
        <v>0</v>
      </c>
      <c r="H502">
        <v>0</v>
      </c>
      <c r="I502" s="6">
        <f t="shared" si="30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 "/")</f>
        <v>theater</v>
      </c>
      <c r="R502" t="str">
        <v>plays</v>
      </c>
      <c r="S502" s="10">
        <f t="shared" si="31"/>
        <v>41395.208333333336</v>
      </c>
      <c r="T502" s="11">
        <f t="shared" si="32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29"/>
        <v>0.70145182291666663</v>
      </c>
      <c r="H503">
        <v>1796</v>
      </c>
      <c r="I503" s="6">
        <f t="shared" si="3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 "/")</f>
        <v>film &amp; video</v>
      </c>
      <c r="R503" t="str">
        <v>documentary</v>
      </c>
      <c r="S503" s="10">
        <f t="shared" si="31"/>
        <v>41345.208333333336</v>
      </c>
      <c r="T503" s="11">
        <f t="shared" si="32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29"/>
        <v>5.2992307692307694</v>
      </c>
      <c r="H504">
        <v>186</v>
      </c>
      <c r="I504" s="6">
        <f t="shared" si="3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 "/")</f>
        <v>games</v>
      </c>
      <c r="R504" t="str">
        <v>video games</v>
      </c>
      <c r="S504" s="10">
        <f t="shared" si="31"/>
        <v>41117.208333333336</v>
      </c>
      <c r="T504" s="11">
        <f t="shared" si="32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29"/>
        <v>1.8032549019607844</v>
      </c>
      <c r="H505">
        <v>460</v>
      </c>
      <c r="I505" s="6">
        <f t="shared" si="3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 "/")</f>
        <v>film &amp; video</v>
      </c>
      <c r="R505" t="str">
        <v>drama</v>
      </c>
      <c r="S505" s="10">
        <f t="shared" si="31"/>
        <v>42186.208333333328</v>
      </c>
      <c r="T505" s="11">
        <f t="shared" si="32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29"/>
        <v>0.92320000000000002</v>
      </c>
      <c r="H506">
        <v>62</v>
      </c>
      <c r="I506" s="6">
        <f t="shared" si="3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 "/")</f>
        <v>music</v>
      </c>
      <c r="R506" t="str">
        <v>rock</v>
      </c>
      <c r="S506" s="10">
        <f t="shared" si="31"/>
        <v>42142.208333333328</v>
      </c>
      <c r="T506" s="11">
        <f t="shared" si="32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29"/>
        <v>0.13901001112347053</v>
      </c>
      <c r="H507">
        <v>347</v>
      </c>
      <c r="I507" s="6">
        <f t="shared" si="3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 "/")</f>
        <v>publishing</v>
      </c>
      <c r="R507" t="str">
        <v>radio &amp; podcasts</v>
      </c>
      <c r="S507" s="10">
        <f t="shared" si="31"/>
        <v>41341.25</v>
      </c>
      <c r="T507" s="11">
        <f t="shared" si="32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29"/>
        <v>9.2707777777777771</v>
      </c>
      <c r="H508">
        <v>2528</v>
      </c>
      <c r="I508" s="6">
        <f t="shared" si="3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 "/")</f>
        <v>theater</v>
      </c>
      <c r="R508" t="str">
        <v>plays</v>
      </c>
      <c r="S508" s="10">
        <f t="shared" si="31"/>
        <v>43062.25</v>
      </c>
      <c r="T508" s="11">
        <f t="shared" si="32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29"/>
        <v>0.39857142857142858</v>
      </c>
      <c r="H509">
        <v>19</v>
      </c>
      <c r="I509" s="6">
        <f t="shared" si="3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 "/")</f>
        <v>technology</v>
      </c>
      <c r="R509" t="str">
        <v>web</v>
      </c>
      <c r="S509" s="10">
        <f t="shared" si="31"/>
        <v>41373.208333333336</v>
      </c>
      <c r="T509" s="11">
        <f t="shared" si="32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29"/>
        <v>1.1222929936305732</v>
      </c>
      <c r="H510">
        <v>3657</v>
      </c>
      <c r="I510" s="6">
        <f t="shared" si="3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 "/")</f>
        <v>theater</v>
      </c>
      <c r="R510" t="str">
        <v>plays</v>
      </c>
      <c r="S510" s="10">
        <f t="shared" si="31"/>
        <v>43310.208333333328</v>
      </c>
      <c r="T510" s="11">
        <f t="shared" si="32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29"/>
        <v>0.70925816023738875</v>
      </c>
      <c r="H511">
        <v>1258</v>
      </c>
      <c r="I511" s="6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 "/")</f>
        <v>theater</v>
      </c>
      <c r="R511" t="str">
        <v>plays</v>
      </c>
      <c r="S511" s="10">
        <f t="shared" si="31"/>
        <v>41034.208333333336</v>
      </c>
      <c r="T511" s="11">
        <f t="shared" si="32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29"/>
        <v>1.1908974358974358</v>
      </c>
      <c r="H512">
        <v>131</v>
      </c>
      <c r="I512" s="6">
        <f t="shared" si="3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 "/")</f>
        <v>film &amp; video</v>
      </c>
      <c r="R512" t="str">
        <v>drama</v>
      </c>
      <c r="S512" s="10">
        <f t="shared" si="31"/>
        <v>43251.208333333328</v>
      </c>
      <c r="T512" s="11">
        <f t="shared" si="32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29"/>
        <v>0.24017591339648173</v>
      </c>
      <c r="H513">
        <v>362</v>
      </c>
      <c r="I513" s="6">
        <f t="shared" si="3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 "/")</f>
        <v>theater</v>
      </c>
      <c r="R513" t="str">
        <v>plays</v>
      </c>
      <c r="S513" s="10">
        <f t="shared" si="31"/>
        <v>43671.208333333328</v>
      </c>
      <c r="T513" s="11">
        <f t="shared" si="32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ref="G514:G577" si="33">E514/D514</f>
        <v>1.3931868131868133</v>
      </c>
      <c r="H514">
        <v>239</v>
      </c>
      <c r="I514" s="6">
        <f t="shared" ref="I514:I577" si="34">IF(E514,E514/H514,0)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 "/")</f>
        <v>games</v>
      </c>
      <c r="R514" t="str">
        <v>video games</v>
      </c>
      <c r="S514" s="10">
        <f t="shared" ref="S514:S577" si="35">(((L514/60)/60)/24)+DATE(1970,1,1)</f>
        <v>41825.208333333336</v>
      </c>
      <c r="T514" s="11">
        <f t="shared" ref="T514:T577" si="36">(((M514/60)/60)/24)+DATE(1970,1,1)</f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si="33"/>
        <v>0.39277108433734942</v>
      </c>
      <c r="H515">
        <v>35</v>
      </c>
      <c r="I515" s="6">
        <f t="shared" si="34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 "/")</f>
        <v>film &amp; video</v>
      </c>
      <c r="R515" t="str">
        <v>television</v>
      </c>
      <c r="S515" s="10">
        <f t="shared" si="35"/>
        <v>40430.208333333336</v>
      </c>
      <c r="T515" s="11">
        <f t="shared" si="36"/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si="33"/>
        <v>0.22439077144917088</v>
      </c>
      <c r="H516">
        <v>528</v>
      </c>
      <c r="I516" s="6">
        <f t="shared" si="34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 "/")</f>
        <v>music</v>
      </c>
      <c r="R516" t="str">
        <v>rock</v>
      </c>
      <c r="S516" s="10">
        <f t="shared" si="35"/>
        <v>41614.25</v>
      </c>
      <c r="T516" s="11">
        <f t="shared" si="36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33"/>
        <v>0.55779069767441858</v>
      </c>
      <c r="H517">
        <v>133</v>
      </c>
      <c r="I517" s="6">
        <f t="shared" si="3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 "/")</f>
        <v>theater</v>
      </c>
      <c r="R517" t="str">
        <v>plays</v>
      </c>
      <c r="S517" s="10">
        <f t="shared" si="35"/>
        <v>40900.25</v>
      </c>
      <c r="T517" s="11">
        <f t="shared" si="36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33"/>
        <v>0.42523125996810207</v>
      </c>
      <c r="H518">
        <v>846</v>
      </c>
      <c r="I518" s="6">
        <f t="shared" si="3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 "/")</f>
        <v>publishing</v>
      </c>
      <c r="R518" t="str">
        <v>nonfiction</v>
      </c>
      <c r="S518" s="10">
        <f t="shared" si="35"/>
        <v>40396.208333333336</v>
      </c>
      <c r="T518" s="11">
        <f t="shared" si="36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33"/>
        <v>1.1200000000000001</v>
      </c>
      <c r="H519">
        <v>78</v>
      </c>
      <c r="I519" s="6">
        <f t="shared" si="3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 "/")</f>
        <v>food</v>
      </c>
      <c r="R519" t="str">
        <v>food trucks</v>
      </c>
      <c r="S519" s="10">
        <f t="shared" si="35"/>
        <v>42860.208333333328</v>
      </c>
      <c r="T519" s="11">
        <f t="shared" si="36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33"/>
        <v>7.0681818181818179E-2</v>
      </c>
      <c r="H520">
        <v>10</v>
      </c>
      <c r="I520" s="6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 "/")</f>
        <v>film &amp; video</v>
      </c>
      <c r="R520" t="str">
        <v>animation</v>
      </c>
      <c r="S520" s="10">
        <f t="shared" si="35"/>
        <v>43154.25</v>
      </c>
      <c r="T520" s="11">
        <f t="shared" si="36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33"/>
        <v>1.0174563871693867</v>
      </c>
      <c r="H521">
        <v>1773</v>
      </c>
      <c r="I521" s="6">
        <f t="shared" si="3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 "/")</f>
        <v>music</v>
      </c>
      <c r="R521" t="str">
        <v>rock</v>
      </c>
      <c r="S521" s="10">
        <f t="shared" si="35"/>
        <v>42012.25</v>
      </c>
      <c r="T521" s="11">
        <f t="shared" si="36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33"/>
        <v>4.2575000000000003</v>
      </c>
      <c r="H522">
        <v>32</v>
      </c>
      <c r="I522" s="6">
        <f t="shared" si="34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 "/")</f>
        <v>theater</v>
      </c>
      <c r="R522" t="str">
        <v>plays</v>
      </c>
      <c r="S522" s="10">
        <f t="shared" si="35"/>
        <v>43574.208333333328</v>
      </c>
      <c r="T522" s="11">
        <f t="shared" si="36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33"/>
        <v>1.4553947368421052</v>
      </c>
      <c r="H523">
        <v>369</v>
      </c>
      <c r="I523" s="6">
        <f t="shared" si="3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 "/")</f>
        <v>film &amp; video</v>
      </c>
      <c r="R523" t="str">
        <v>drama</v>
      </c>
      <c r="S523" s="10">
        <f t="shared" si="35"/>
        <v>42605.208333333328</v>
      </c>
      <c r="T523" s="11">
        <f t="shared" si="36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33"/>
        <v>0.32453465346534655</v>
      </c>
      <c r="H524">
        <v>191</v>
      </c>
      <c r="I524" s="6">
        <f t="shared" si="3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 "/")</f>
        <v>film &amp; video</v>
      </c>
      <c r="R524" t="str">
        <v>shorts</v>
      </c>
      <c r="S524" s="10">
        <f t="shared" si="35"/>
        <v>41093.208333333336</v>
      </c>
      <c r="T524" s="11">
        <f t="shared" si="36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33"/>
        <v>7.003333333333333</v>
      </c>
      <c r="H525">
        <v>89</v>
      </c>
      <c r="I525" s="6">
        <f t="shared" si="3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 "/")</f>
        <v>film &amp; video</v>
      </c>
      <c r="R525" t="str">
        <v>shorts</v>
      </c>
      <c r="S525" s="10">
        <f t="shared" si="35"/>
        <v>40241.25</v>
      </c>
      <c r="T525" s="11">
        <f t="shared" si="36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33"/>
        <v>0.83904860392967939</v>
      </c>
      <c r="H526">
        <v>1979</v>
      </c>
      <c r="I526" s="6">
        <f t="shared" si="3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 "/")</f>
        <v>theater</v>
      </c>
      <c r="R526" t="str">
        <v>plays</v>
      </c>
      <c r="S526" s="10">
        <f t="shared" si="35"/>
        <v>40294.208333333336</v>
      </c>
      <c r="T526" s="11">
        <f t="shared" si="36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33"/>
        <v>0.84190476190476193</v>
      </c>
      <c r="H527">
        <v>63</v>
      </c>
      <c r="I527" s="6">
        <f t="shared" si="3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 "/")</f>
        <v>technology</v>
      </c>
      <c r="R527" t="str">
        <v>wearables</v>
      </c>
      <c r="S527" s="10">
        <f t="shared" si="35"/>
        <v>40505.25</v>
      </c>
      <c r="T527" s="11">
        <f t="shared" si="36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33"/>
        <v>1.5595180722891566</v>
      </c>
      <c r="H528">
        <v>147</v>
      </c>
      <c r="I528" s="6">
        <f t="shared" si="3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 "/")</f>
        <v>theater</v>
      </c>
      <c r="R528" t="str">
        <v>plays</v>
      </c>
      <c r="S528" s="10">
        <f t="shared" si="35"/>
        <v>42364.25</v>
      </c>
      <c r="T528" s="11">
        <f t="shared" si="36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33"/>
        <v>0.99619450317124736</v>
      </c>
      <c r="H529">
        <v>6080</v>
      </c>
      <c r="I529" s="6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 "/")</f>
        <v>film &amp; video</v>
      </c>
      <c r="R529" t="str">
        <v>animation</v>
      </c>
      <c r="S529" s="10">
        <f t="shared" si="35"/>
        <v>42405.25</v>
      </c>
      <c r="T529" s="11">
        <f t="shared" si="36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33"/>
        <v>0.80300000000000005</v>
      </c>
      <c r="H530">
        <v>80</v>
      </c>
      <c r="I530" s="6">
        <f t="shared" si="3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 "/")</f>
        <v>music</v>
      </c>
      <c r="R530" t="str">
        <v>indie rock</v>
      </c>
      <c r="S530" s="10">
        <f t="shared" si="35"/>
        <v>41601.25</v>
      </c>
      <c r="T530" s="11">
        <f t="shared" si="36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33"/>
        <v>0.11254901960784314</v>
      </c>
      <c r="H531">
        <v>9</v>
      </c>
      <c r="I531" s="6">
        <f t="shared" si="3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 "/")</f>
        <v>games</v>
      </c>
      <c r="R531" t="str">
        <v>video games</v>
      </c>
      <c r="S531" s="10">
        <f t="shared" si="35"/>
        <v>41769.208333333336</v>
      </c>
      <c r="T531" s="11">
        <f t="shared" si="36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33"/>
        <v>0.91740952380952379</v>
      </c>
      <c r="H532">
        <v>1784</v>
      </c>
      <c r="I532" s="6">
        <f t="shared" si="3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 "/")</f>
        <v>publishing</v>
      </c>
      <c r="R532" t="str">
        <v>fiction</v>
      </c>
      <c r="S532" s="10">
        <f t="shared" si="35"/>
        <v>40421.208333333336</v>
      </c>
      <c r="T532" s="11">
        <f t="shared" si="36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33"/>
        <v>0.95521156936261387</v>
      </c>
      <c r="H533">
        <v>3640</v>
      </c>
      <c r="I533" s="6">
        <f t="shared" si="3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 "/")</f>
        <v>games</v>
      </c>
      <c r="R533" t="str">
        <v>video games</v>
      </c>
      <c r="S533" s="10">
        <f t="shared" si="35"/>
        <v>41589.25</v>
      </c>
      <c r="T533" s="11">
        <f t="shared" si="36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33"/>
        <v>5.0287499999999996</v>
      </c>
      <c r="H534">
        <v>126</v>
      </c>
      <c r="I534" s="6">
        <f t="shared" si="3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 "/")</f>
        <v>theater</v>
      </c>
      <c r="R534" t="str">
        <v>plays</v>
      </c>
      <c r="S534" s="10">
        <f t="shared" si="35"/>
        <v>43125.25</v>
      </c>
      <c r="T534" s="11">
        <f t="shared" si="36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33"/>
        <v>1.5924394463667819</v>
      </c>
      <c r="H535">
        <v>2218</v>
      </c>
      <c r="I535" s="6">
        <f t="shared" si="3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 "/")</f>
        <v>music</v>
      </c>
      <c r="R535" t="str">
        <v>indie rock</v>
      </c>
      <c r="S535" s="10">
        <f t="shared" si="35"/>
        <v>41479.208333333336</v>
      </c>
      <c r="T535" s="11">
        <f t="shared" si="36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33"/>
        <v>0.15022446689113356</v>
      </c>
      <c r="H536">
        <v>243</v>
      </c>
      <c r="I536" s="6">
        <f t="shared" si="3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 "/")</f>
        <v>film &amp; video</v>
      </c>
      <c r="R536" t="str">
        <v>drama</v>
      </c>
      <c r="S536" s="10">
        <f t="shared" si="35"/>
        <v>43329.208333333328</v>
      </c>
      <c r="T536" s="11">
        <f t="shared" si="36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33"/>
        <v>4.820384615384615</v>
      </c>
      <c r="H537">
        <v>202</v>
      </c>
      <c r="I537" s="6">
        <f t="shared" si="3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 "/")</f>
        <v>theater</v>
      </c>
      <c r="R537" t="str">
        <v>plays</v>
      </c>
      <c r="S537" s="10">
        <f t="shared" si="35"/>
        <v>43259.208333333328</v>
      </c>
      <c r="T537" s="11">
        <f t="shared" si="36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33"/>
        <v>1.4996938775510205</v>
      </c>
      <c r="H538">
        <v>140</v>
      </c>
      <c r="I538" s="6">
        <f t="shared" si="3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 "/")</f>
        <v>publishing</v>
      </c>
      <c r="R538" t="str">
        <v>fiction</v>
      </c>
      <c r="S538" s="10">
        <f t="shared" si="35"/>
        <v>40414.208333333336</v>
      </c>
      <c r="T538" s="11">
        <f t="shared" si="36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33"/>
        <v>1.1722156398104266</v>
      </c>
      <c r="H539">
        <v>1052</v>
      </c>
      <c r="I539" s="6">
        <f t="shared" si="3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 "/")</f>
        <v>film &amp; video</v>
      </c>
      <c r="R539" t="str">
        <v>documentary</v>
      </c>
      <c r="S539" s="10">
        <f t="shared" si="35"/>
        <v>43342.208333333328</v>
      </c>
      <c r="T539" s="11">
        <f t="shared" si="36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33"/>
        <v>0.37695968274950431</v>
      </c>
      <c r="H540">
        <v>1296</v>
      </c>
      <c r="I540" s="6">
        <f t="shared" si="3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 "/")</f>
        <v>games</v>
      </c>
      <c r="R540" t="str">
        <v>mobile games</v>
      </c>
      <c r="S540" s="10">
        <f t="shared" si="35"/>
        <v>41539.208333333336</v>
      </c>
      <c r="T540" s="11">
        <f t="shared" si="36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33"/>
        <v>0.72653061224489801</v>
      </c>
      <c r="H541">
        <v>77</v>
      </c>
      <c r="I541" s="6">
        <f t="shared" si="3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 "/")</f>
        <v>food</v>
      </c>
      <c r="R541" t="str">
        <v>food trucks</v>
      </c>
      <c r="S541" s="10">
        <f t="shared" si="35"/>
        <v>43647.208333333328</v>
      </c>
      <c r="T541" s="11">
        <f t="shared" si="36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33"/>
        <v>2.6598113207547169</v>
      </c>
      <c r="H542">
        <v>247</v>
      </c>
      <c r="I542" s="6">
        <f t="shared" si="3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 "/")</f>
        <v>photography</v>
      </c>
      <c r="R542" t="str">
        <v>photography books</v>
      </c>
      <c r="S542" s="10">
        <f t="shared" si="35"/>
        <v>43225.208333333328</v>
      </c>
      <c r="T542" s="11">
        <f t="shared" si="36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33"/>
        <v>0.24205617977528091</v>
      </c>
      <c r="H543">
        <v>395</v>
      </c>
      <c r="I543" s="6">
        <f t="shared" si="3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 "/")</f>
        <v>games</v>
      </c>
      <c r="R543" t="str">
        <v>mobile games</v>
      </c>
      <c r="S543" s="10">
        <f t="shared" si="35"/>
        <v>42165.208333333328</v>
      </c>
      <c r="T543" s="11">
        <f t="shared" si="36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33"/>
        <v>2.5064935064935064E-2</v>
      </c>
      <c r="H544">
        <v>49</v>
      </c>
      <c r="I544" s="6">
        <f t="shared" si="3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 "/")</f>
        <v>music</v>
      </c>
      <c r="R544" t="str">
        <v>indie rock</v>
      </c>
      <c r="S544" s="10">
        <f t="shared" si="35"/>
        <v>42391.25</v>
      </c>
      <c r="T544" s="11">
        <f t="shared" si="36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33"/>
        <v>0.1632979976442874</v>
      </c>
      <c r="H545">
        <v>180</v>
      </c>
      <c r="I545" s="6">
        <f t="shared" si="3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 "/")</f>
        <v>games</v>
      </c>
      <c r="R545" t="str">
        <v>video games</v>
      </c>
      <c r="S545" s="10">
        <f t="shared" si="35"/>
        <v>41528.208333333336</v>
      </c>
      <c r="T545" s="11">
        <f t="shared" si="36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33"/>
        <v>2.7650000000000001</v>
      </c>
      <c r="H546">
        <v>84</v>
      </c>
      <c r="I546" s="6">
        <f t="shared" si="3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 "/")</f>
        <v>music</v>
      </c>
      <c r="R546" t="str">
        <v>rock</v>
      </c>
      <c r="S546" s="10">
        <f t="shared" si="35"/>
        <v>42377.25</v>
      </c>
      <c r="T546" s="11">
        <f t="shared" si="36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33"/>
        <v>0.88803571428571426</v>
      </c>
      <c r="H547">
        <v>2690</v>
      </c>
      <c r="I547" s="6">
        <f t="shared" si="3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 "/")</f>
        <v>theater</v>
      </c>
      <c r="R547" t="str">
        <v>plays</v>
      </c>
      <c r="S547" s="10">
        <f t="shared" si="35"/>
        <v>43824.25</v>
      </c>
      <c r="T547" s="11">
        <f t="shared" si="36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33"/>
        <v>1.6357142857142857</v>
      </c>
      <c r="H548">
        <v>88</v>
      </c>
      <c r="I548" s="6">
        <f t="shared" si="3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 "/")</f>
        <v>theater</v>
      </c>
      <c r="R548" t="str">
        <v>plays</v>
      </c>
      <c r="S548" s="10">
        <f t="shared" si="35"/>
        <v>43360.208333333328</v>
      </c>
      <c r="T548" s="11">
        <f t="shared" si="36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33"/>
        <v>9.69</v>
      </c>
      <c r="H549">
        <v>156</v>
      </c>
      <c r="I549" s="6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 "/")</f>
        <v>film &amp; video</v>
      </c>
      <c r="R549" t="str">
        <v>drama</v>
      </c>
      <c r="S549" s="10">
        <f t="shared" si="35"/>
        <v>42029.25</v>
      </c>
      <c r="T549" s="11">
        <f t="shared" si="36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33"/>
        <v>2.7091376701966716</v>
      </c>
      <c r="H550">
        <v>2985</v>
      </c>
      <c r="I550" s="6">
        <f t="shared" si="3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 "/")</f>
        <v>theater</v>
      </c>
      <c r="R550" t="str">
        <v>plays</v>
      </c>
      <c r="S550" s="10">
        <f t="shared" si="35"/>
        <v>42461.208333333328</v>
      </c>
      <c r="T550" s="11">
        <f t="shared" si="36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33"/>
        <v>2.8421355932203389</v>
      </c>
      <c r="H551">
        <v>762</v>
      </c>
      <c r="I551" s="6">
        <f t="shared" si="3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 "/")</f>
        <v>technology</v>
      </c>
      <c r="R551" t="str">
        <v>wearables</v>
      </c>
      <c r="S551" s="10">
        <f t="shared" si="35"/>
        <v>41422.208333333336</v>
      </c>
      <c r="T551" s="11">
        <f t="shared" si="36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33"/>
        <v>0.04</v>
      </c>
      <c r="H552">
        <v>1</v>
      </c>
      <c r="I552" s="6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 "/")</f>
        <v>music</v>
      </c>
      <c r="R552" t="str">
        <v>indie rock</v>
      </c>
      <c r="S552" s="10">
        <f t="shared" si="35"/>
        <v>40968.25</v>
      </c>
      <c r="T552" s="11">
        <f t="shared" si="36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33"/>
        <v>0.58632981676846196</v>
      </c>
      <c r="H553">
        <v>2779</v>
      </c>
      <c r="I553" s="6">
        <f t="shared" si="3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 "/")</f>
        <v>technology</v>
      </c>
      <c r="R553" t="str">
        <v>web</v>
      </c>
      <c r="S553" s="10">
        <f t="shared" si="35"/>
        <v>41993.25</v>
      </c>
      <c r="T553" s="11">
        <f t="shared" si="36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33"/>
        <v>0.98511111111111116</v>
      </c>
      <c r="H554">
        <v>92</v>
      </c>
      <c r="I554" s="6">
        <f t="shared" si="3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 "/")</f>
        <v>theater</v>
      </c>
      <c r="R554" t="str">
        <v>plays</v>
      </c>
      <c r="S554" s="10">
        <f t="shared" si="35"/>
        <v>42700.25</v>
      </c>
      <c r="T554" s="11">
        <f t="shared" si="36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33"/>
        <v>0.43975381008206332</v>
      </c>
      <c r="H555">
        <v>1028</v>
      </c>
      <c r="I555" s="6">
        <f t="shared" si="3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 "/")</f>
        <v>music</v>
      </c>
      <c r="R555" t="str">
        <v>rock</v>
      </c>
      <c r="S555" s="10">
        <f t="shared" si="35"/>
        <v>40545.25</v>
      </c>
      <c r="T555" s="11">
        <f t="shared" si="36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33"/>
        <v>1.5166315789473683</v>
      </c>
      <c r="H556">
        <v>554</v>
      </c>
      <c r="I556" s="6">
        <f t="shared" si="3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 "/")</f>
        <v>music</v>
      </c>
      <c r="R556" t="str">
        <v>indie rock</v>
      </c>
      <c r="S556" s="10">
        <f t="shared" si="35"/>
        <v>42723.25</v>
      </c>
      <c r="T556" s="11">
        <f t="shared" si="36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33"/>
        <v>2.2363492063492063</v>
      </c>
      <c r="H557">
        <v>135</v>
      </c>
      <c r="I557" s="6">
        <f t="shared" si="3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 "/")</f>
        <v>music</v>
      </c>
      <c r="R557" t="str">
        <v>rock</v>
      </c>
      <c r="S557" s="10">
        <f t="shared" si="35"/>
        <v>41731.208333333336</v>
      </c>
      <c r="T557" s="11">
        <f t="shared" si="36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33"/>
        <v>2.3975</v>
      </c>
      <c r="H558">
        <v>122</v>
      </c>
      <c r="I558" s="6">
        <f t="shared" si="3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 "/")</f>
        <v>publishing</v>
      </c>
      <c r="R558" t="str">
        <v>translations</v>
      </c>
      <c r="S558" s="10">
        <f t="shared" si="35"/>
        <v>40792.208333333336</v>
      </c>
      <c r="T558" s="11">
        <f t="shared" si="36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33"/>
        <v>1.9933333333333334</v>
      </c>
      <c r="H559">
        <v>221</v>
      </c>
      <c r="I559" s="6">
        <f t="shared" si="3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 "/")</f>
        <v>film &amp; video</v>
      </c>
      <c r="R559" t="str">
        <v>science fiction</v>
      </c>
      <c r="S559" s="10">
        <f t="shared" si="35"/>
        <v>42279.208333333328</v>
      </c>
      <c r="T559" s="11">
        <f t="shared" si="36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33"/>
        <v>1.373448275862069</v>
      </c>
      <c r="H560">
        <v>126</v>
      </c>
      <c r="I560" s="6">
        <f t="shared" si="3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 "/")</f>
        <v>theater</v>
      </c>
      <c r="R560" t="str">
        <v>plays</v>
      </c>
      <c r="S560" s="10">
        <f t="shared" si="35"/>
        <v>42424.25</v>
      </c>
      <c r="T560" s="11">
        <f t="shared" si="36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33"/>
        <v>1.009696106362773</v>
      </c>
      <c r="H561">
        <v>1022</v>
      </c>
      <c r="I561" s="6">
        <f t="shared" si="3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 "/")</f>
        <v>theater</v>
      </c>
      <c r="R561" t="str">
        <v>plays</v>
      </c>
      <c r="S561" s="10">
        <f t="shared" si="35"/>
        <v>42584.208333333328</v>
      </c>
      <c r="T561" s="11">
        <f t="shared" si="36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33"/>
        <v>7.9416000000000002</v>
      </c>
      <c r="H562">
        <v>3177</v>
      </c>
      <c r="I562" s="6">
        <f t="shared" si="3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 "/")</f>
        <v>film &amp; video</v>
      </c>
      <c r="R562" t="str">
        <v>animation</v>
      </c>
      <c r="S562" s="10">
        <f t="shared" si="35"/>
        <v>40865.25</v>
      </c>
      <c r="T562" s="11">
        <f t="shared" si="36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33"/>
        <v>3.6970000000000001</v>
      </c>
      <c r="H563">
        <v>198</v>
      </c>
      <c r="I563" s="6">
        <f t="shared" si="3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 "/")</f>
        <v>theater</v>
      </c>
      <c r="R563" t="str">
        <v>plays</v>
      </c>
      <c r="S563" s="10">
        <f t="shared" si="35"/>
        <v>40833.208333333336</v>
      </c>
      <c r="T563" s="11">
        <f t="shared" si="36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33"/>
        <v>0.12818181818181817</v>
      </c>
      <c r="H564">
        <v>26</v>
      </c>
      <c r="I564" s="6">
        <f t="shared" si="3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 "/")</f>
        <v>music</v>
      </c>
      <c r="R564" t="str">
        <v>rock</v>
      </c>
      <c r="S564" s="10">
        <f t="shared" si="35"/>
        <v>43536.208333333328</v>
      </c>
      <c r="T564" s="11">
        <f t="shared" si="36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33"/>
        <v>1.3802702702702703</v>
      </c>
      <c r="H565">
        <v>85</v>
      </c>
      <c r="I565" s="6">
        <f t="shared" si="3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 "/")</f>
        <v>film &amp; video</v>
      </c>
      <c r="R565" t="str">
        <v>documentary</v>
      </c>
      <c r="S565" s="10">
        <f t="shared" si="35"/>
        <v>43417.25</v>
      </c>
      <c r="T565" s="11">
        <f t="shared" si="36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33"/>
        <v>0.83813278008298753</v>
      </c>
      <c r="H566">
        <v>1790</v>
      </c>
      <c r="I566" s="6">
        <f t="shared" si="3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 "/")</f>
        <v>theater</v>
      </c>
      <c r="R566" t="str">
        <v>plays</v>
      </c>
      <c r="S566" s="10">
        <f t="shared" si="35"/>
        <v>42078.208333333328</v>
      </c>
      <c r="T566" s="11">
        <f t="shared" si="36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33"/>
        <v>2.0460063224446787</v>
      </c>
      <c r="H567">
        <v>3596</v>
      </c>
      <c r="I567" s="6">
        <f t="shared" si="3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 "/")</f>
        <v>theater</v>
      </c>
      <c r="R567" t="str">
        <v>plays</v>
      </c>
      <c r="S567" s="10">
        <f t="shared" si="35"/>
        <v>40862.25</v>
      </c>
      <c r="T567" s="11">
        <f t="shared" si="36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33"/>
        <v>0.44344086021505374</v>
      </c>
      <c r="H568">
        <v>37</v>
      </c>
      <c r="I568" s="6">
        <f t="shared" si="3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 "/")</f>
        <v>music</v>
      </c>
      <c r="R568" t="str">
        <v>electric music</v>
      </c>
      <c r="S568" s="10">
        <f t="shared" si="35"/>
        <v>42424.25</v>
      </c>
      <c r="T568" s="11">
        <f t="shared" si="36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33"/>
        <v>2.1860294117647059</v>
      </c>
      <c r="H569">
        <v>244</v>
      </c>
      <c r="I569" s="6">
        <f t="shared" si="3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 "/")</f>
        <v>music</v>
      </c>
      <c r="R569" t="str">
        <v>rock</v>
      </c>
      <c r="S569" s="10">
        <f t="shared" si="35"/>
        <v>41830.208333333336</v>
      </c>
      <c r="T569" s="11">
        <f t="shared" si="36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33"/>
        <v>1.8603314917127072</v>
      </c>
      <c r="H570">
        <v>5180</v>
      </c>
      <c r="I570" s="6">
        <f t="shared" si="3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 "/")</f>
        <v>theater</v>
      </c>
      <c r="R570" t="str">
        <v>plays</v>
      </c>
      <c r="S570" s="10">
        <f t="shared" si="35"/>
        <v>40374.208333333336</v>
      </c>
      <c r="T570" s="11">
        <f t="shared" si="36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33"/>
        <v>2.3733830845771142</v>
      </c>
      <c r="H571">
        <v>589</v>
      </c>
      <c r="I571" s="6">
        <f t="shared" si="3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 "/")</f>
        <v>film &amp; video</v>
      </c>
      <c r="R571" t="str">
        <v>animation</v>
      </c>
      <c r="S571" s="10">
        <f t="shared" si="35"/>
        <v>40554.25</v>
      </c>
      <c r="T571" s="11">
        <f t="shared" si="36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33"/>
        <v>3.0565384615384614</v>
      </c>
      <c r="H572">
        <v>2725</v>
      </c>
      <c r="I572" s="6">
        <f t="shared" si="3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 "/")</f>
        <v>music</v>
      </c>
      <c r="R572" t="str">
        <v>rock</v>
      </c>
      <c r="S572" s="10">
        <f t="shared" si="35"/>
        <v>41993.25</v>
      </c>
      <c r="T572" s="11">
        <f t="shared" si="36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33"/>
        <v>0.94142857142857139</v>
      </c>
      <c r="H573">
        <v>35</v>
      </c>
      <c r="I573" s="6">
        <f t="shared" si="3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 "/")</f>
        <v>film &amp; video</v>
      </c>
      <c r="R573" t="str">
        <v>shorts</v>
      </c>
      <c r="S573" s="10">
        <f t="shared" si="35"/>
        <v>42174.208333333328</v>
      </c>
      <c r="T573" s="11">
        <f t="shared" si="36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33"/>
        <v>0.54400000000000004</v>
      </c>
      <c r="H574">
        <v>94</v>
      </c>
      <c r="I574" s="6">
        <f t="shared" si="3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 "/")</f>
        <v>music</v>
      </c>
      <c r="R574" t="str">
        <v>rock</v>
      </c>
      <c r="S574" s="10">
        <f t="shared" si="35"/>
        <v>42275.208333333328</v>
      </c>
      <c r="T574" s="11">
        <f t="shared" si="36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33"/>
        <v>1.1188059701492536</v>
      </c>
      <c r="H575">
        <v>300</v>
      </c>
      <c r="I575" s="6">
        <f t="shared" si="3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 "/")</f>
        <v>journalism</v>
      </c>
      <c r="R575" t="str">
        <v>audio</v>
      </c>
      <c r="S575" s="10">
        <f t="shared" si="35"/>
        <v>41761.208333333336</v>
      </c>
      <c r="T575" s="11">
        <f t="shared" si="36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33"/>
        <v>3.6914814814814814</v>
      </c>
      <c r="H576">
        <v>144</v>
      </c>
      <c r="I576" s="6">
        <f t="shared" si="3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 "/")</f>
        <v>food</v>
      </c>
      <c r="R576" t="str">
        <v>food trucks</v>
      </c>
      <c r="S576" s="10">
        <f t="shared" si="35"/>
        <v>43806.25</v>
      </c>
      <c r="T576" s="11">
        <f t="shared" si="36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33"/>
        <v>0.62930372148859548</v>
      </c>
      <c r="H577">
        <v>558</v>
      </c>
      <c r="I577" s="6">
        <f t="shared" si="3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 "/")</f>
        <v>theater</v>
      </c>
      <c r="R577" t="str">
        <v>plays</v>
      </c>
      <c r="S577" s="10">
        <f t="shared" si="35"/>
        <v>41779.208333333336</v>
      </c>
      <c r="T577" s="11">
        <f t="shared" si="36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ref="G578:G641" si="37">E578/D578</f>
        <v>0.6492783505154639</v>
      </c>
      <c r="H578">
        <v>64</v>
      </c>
      <c r="I578" s="6">
        <f t="shared" ref="I578:I641" si="38">IF(E578,E578/H578,0)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 "/")</f>
        <v>theater</v>
      </c>
      <c r="R578" t="str">
        <v>plays</v>
      </c>
      <c r="S578" s="10">
        <f t="shared" ref="S578:S641" si="39">(((L578/60)/60)/24)+DATE(1970,1,1)</f>
        <v>43040.208333333328</v>
      </c>
      <c r="T578" s="11">
        <f t="shared" ref="T578:T641" si="40">(((M578/60)/60)/24)+DATE(1970,1,1)</f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si="37"/>
        <v>0.18853658536585366</v>
      </c>
      <c r="H579">
        <v>37</v>
      </c>
      <c r="I579" s="6">
        <f t="shared" si="38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 "/")</f>
        <v>music</v>
      </c>
      <c r="R579" t="str">
        <v>jazz</v>
      </c>
      <c r="S579" s="10">
        <f t="shared" si="39"/>
        <v>40613.25</v>
      </c>
      <c r="T579" s="11">
        <f t="shared" si="40"/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si="37"/>
        <v>0.1675440414507772</v>
      </c>
      <c r="H580">
        <v>245</v>
      </c>
      <c r="I580" s="6">
        <f t="shared" si="38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 "/")</f>
        <v>film &amp; video</v>
      </c>
      <c r="R580" t="str">
        <v>science fiction</v>
      </c>
      <c r="S580" s="10">
        <f t="shared" si="39"/>
        <v>40878.25</v>
      </c>
      <c r="T580" s="11">
        <f t="shared" si="40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37"/>
        <v>1.0111290322580646</v>
      </c>
      <c r="H581">
        <v>87</v>
      </c>
      <c r="I581" s="6">
        <f t="shared" si="3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 "/")</f>
        <v>music</v>
      </c>
      <c r="R581" t="str">
        <v>jazz</v>
      </c>
      <c r="S581" s="10">
        <f t="shared" si="39"/>
        <v>40762.208333333336</v>
      </c>
      <c r="T581" s="11">
        <f t="shared" si="40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37"/>
        <v>3.4150228310502282</v>
      </c>
      <c r="H582">
        <v>3116</v>
      </c>
      <c r="I582" s="6">
        <f t="shared" si="3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 "/")</f>
        <v>theater</v>
      </c>
      <c r="R582" t="str">
        <v>plays</v>
      </c>
      <c r="S582" s="10">
        <f t="shared" si="39"/>
        <v>41696.25</v>
      </c>
      <c r="T582" s="11">
        <f t="shared" si="40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37"/>
        <v>0.64016666666666666</v>
      </c>
      <c r="H583">
        <v>71</v>
      </c>
      <c r="I583" s="6">
        <f t="shared" si="3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 "/")</f>
        <v>technology</v>
      </c>
      <c r="R583" t="str">
        <v>web</v>
      </c>
      <c r="S583" s="10">
        <f t="shared" si="39"/>
        <v>40662.208333333336</v>
      </c>
      <c r="T583" s="11">
        <f t="shared" si="40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37"/>
        <v>0.5208045977011494</v>
      </c>
      <c r="H584">
        <v>42</v>
      </c>
      <c r="I584" s="6">
        <f t="shared" si="3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 "/")</f>
        <v>games</v>
      </c>
      <c r="R584" t="str">
        <v>video games</v>
      </c>
      <c r="S584" s="10">
        <f t="shared" si="39"/>
        <v>42165.208333333328</v>
      </c>
      <c r="T584" s="11">
        <f t="shared" si="40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37"/>
        <v>3.2240211640211642</v>
      </c>
      <c r="H585">
        <v>909</v>
      </c>
      <c r="I585" s="6">
        <f t="shared" si="3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 "/")</f>
        <v>film &amp; video</v>
      </c>
      <c r="R585" t="str">
        <v>documentary</v>
      </c>
      <c r="S585" s="10">
        <f t="shared" si="39"/>
        <v>40959.25</v>
      </c>
      <c r="T585" s="11">
        <f t="shared" si="40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37"/>
        <v>1.1950810185185186</v>
      </c>
      <c r="H586">
        <v>1613</v>
      </c>
      <c r="I586" s="6">
        <f t="shared" si="3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 "/")</f>
        <v>technology</v>
      </c>
      <c r="R586" t="str">
        <v>web</v>
      </c>
      <c r="S586" s="10">
        <f t="shared" si="39"/>
        <v>41024.208333333336</v>
      </c>
      <c r="T586" s="11">
        <f t="shared" si="40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37"/>
        <v>1.4679775280898877</v>
      </c>
      <c r="H587">
        <v>136</v>
      </c>
      <c r="I587" s="6">
        <f t="shared" si="3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 "/")</f>
        <v>publishing</v>
      </c>
      <c r="R587" t="str">
        <v>translations</v>
      </c>
      <c r="S587" s="10">
        <f t="shared" si="39"/>
        <v>40255.208333333336</v>
      </c>
      <c r="T587" s="11">
        <f t="shared" si="40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37"/>
        <v>9.5057142857142853</v>
      </c>
      <c r="H588">
        <v>130</v>
      </c>
      <c r="I588" s="6">
        <f t="shared" si="3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 "/")</f>
        <v>music</v>
      </c>
      <c r="R588" t="str">
        <v>rock</v>
      </c>
      <c r="S588" s="10">
        <f t="shared" si="39"/>
        <v>40499.25</v>
      </c>
      <c r="T588" s="11">
        <f t="shared" si="40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37"/>
        <v>0.72893617021276591</v>
      </c>
      <c r="H589">
        <v>156</v>
      </c>
      <c r="I589" s="6">
        <f t="shared" si="3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 "/")</f>
        <v>food</v>
      </c>
      <c r="R589" t="str">
        <v>food trucks</v>
      </c>
      <c r="S589" s="10">
        <f t="shared" si="39"/>
        <v>43484.25</v>
      </c>
      <c r="T589" s="11">
        <f t="shared" si="40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37"/>
        <v>0.7900824873096447</v>
      </c>
      <c r="H590">
        <v>1368</v>
      </c>
      <c r="I590" s="6">
        <f t="shared" si="3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 "/")</f>
        <v>theater</v>
      </c>
      <c r="R590" t="str">
        <v>plays</v>
      </c>
      <c r="S590" s="10">
        <f t="shared" si="39"/>
        <v>40262.208333333336</v>
      </c>
      <c r="T590" s="11">
        <f t="shared" si="40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37"/>
        <v>0.64721518987341775</v>
      </c>
      <c r="H591">
        <v>102</v>
      </c>
      <c r="I591" s="6">
        <f t="shared" si="3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 "/")</f>
        <v>film &amp; video</v>
      </c>
      <c r="R591" t="str">
        <v>documentary</v>
      </c>
      <c r="S591" s="10">
        <f t="shared" si="39"/>
        <v>42190.208333333328</v>
      </c>
      <c r="T591" s="11">
        <f t="shared" si="40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37"/>
        <v>0.82028169014084507</v>
      </c>
      <c r="H592">
        <v>86</v>
      </c>
      <c r="I592" s="6">
        <f t="shared" si="3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 "/")</f>
        <v>publishing</v>
      </c>
      <c r="R592" t="str">
        <v>radio &amp; podcasts</v>
      </c>
      <c r="S592" s="10">
        <f t="shared" si="39"/>
        <v>41994.25</v>
      </c>
      <c r="T592" s="11">
        <f t="shared" si="40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37"/>
        <v>10.376666666666667</v>
      </c>
      <c r="H593">
        <v>102</v>
      </c>
      <c r="I593" s="6">
        <f t="shared" si="3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 "/")</f>
        <v>games</v>
      </c>
      <c r="R593" t="str">
        <v>video games</v>
      </c>
      <c r="S593" s="10">
        <f t="shared" si="39"/>
        <v>40373.208333333336</v>
      </c>
      <c r="T593" s="11">
        <f t="shared" si="40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37"/>
        <v>0.12910076530612244</v>
      </c>
      <c r="H594">
        <v>253</v>
      </c>
      <c r="I594" s="6">
        <f t="shared" si="3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 "/")</f>
        <v>theater</v>
      </c>
      <c r="R594" t="str">
        <v>plays</v>
      </c>
      <c r="S594" s="10">
        <f t="shared" si="39"/>
        <v>41789.208333333336</v>
      </c>
      <c r="T594" s="11">
        <f t="shared" si="40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37"/>
        <v>1.5484210526315789</v>
      </c>
      <c r="H595">
        <v>4006</v>
      </c>
      <c r="I595" s="6">
        <f t="shared" si="3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 "/")</f>
        <v>film &amp; video</v>
      </c>
      <c r="R595" t="str">
        <v>animation</v>
      </c>
      <c r="S595" s="10">
        <f t="shared" si="39"/>
        <v>41724.208333333336</v>
      </c>
      <c r="T595" s="11">
        <f t="shared" si="40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37"/>
        <v>7.0991735537190084E-2</v>
      </c>
      <c r="H596">
        <v>157</v>
      </c>
      <c r="I596" s="6">
        <f t="shared" si="3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 "/")</f>
        <v>theater</v>
      </c>
      <c r="R596" t="str">
        <v>plays</v>
      </c>
      <c r="S596" s="10">
        <f t="shared" si="39"/>
        <v>42548.208333333328</v>
      </c>
      <c r="T596" s="11">
        <f t="shared" si="40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37"/>
        <v>2.0852773826458035</v>
      </c>
      <c r="H597">
        <v>1629</v>
      </c>
      <c r="I597" s="6">
        <f t="shared" si="3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 "/")</f>
        <v>theater</v>
      </c>
      <c r="R597" t="str">
        <v>plays</v>
      </c>
      <c r="S597" s="10">
        <f t="shared" si="39"/>
        <v>40253.208333333336</v>
      </c>
      <c r="T597" s="11">
        <f t="shared" si="40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37"/>
        <v>0.99683544303797467</v>
      </c>
      <c r="H598">
        <v>183</v>
      </c>
      <c r="I598" s="6">
        <f t="shared" si="3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 "/")</f>
        <v>film &amp; video</v>
      </c>
      <c r="R598" t="str">
        <v>drama</v>
      </c>
      <c r="S598" s="10">
        <f t="shared" si="39"/>
        <v>42434.25</v>
      </c>
      <c r="T598" s="11">
        <f t="shared" si="40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37"/>
        <v>2.0159756097560977</v>
      </c>
      <c r="H599">
        <v>2188</v>
      </c>
      <c r="I599" s="6">
        <f t="shared" si="3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 "/")</f>
        <v>theater</v>
      </c>
      <c r="R599" t="str">
        <v>plays</v>
      </c>
      <c r="S599" s="10">
        <f t="shared" si="39"/>
        <v>43786.25</v>
      </c>
      <c r="T599" s="11">
        <f t="shared" si="40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37"/>
        <v>1.6209032258064515</v>
      </c>
      <c r="H600">
        <v>2409</v>
      </c>
      <c r="I600" s="6">
        <f t="shared" si="3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 "/")</f>
        <v>music</v>
      </c>
      <c r="R600" t="str">
        <v>rock</v>
      </c>
      <c r="S600" s="10">
        <f t="shared" si="39"/>
        <v>40344.208333333336</v>
      </c>
      <c r="T600" s="11">
        <f t="shared" si="40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37"/>
        <v>3.6436208125445471E-2</v>
      </c>
      <c r="H601">
        <v>82</v>
      </c>
      <c r="I601" s="6">
        <f t="shared" si="3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 "/")</f>
        <v>film &amp; video</v>
      </c>
      <c r="R601" t="str">
        <v>documentary</v>
      </c>
      <c r="S601" s="10">
        <f t="shared" si="39"/>
        <v>42047.25</v>
      </c>
      <c r="T601" s="11">
        <f t="shared" si="40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37"/>
        <v>0.05</v>
      </c>
      <c r="H602">
        <v>1</v>
      </c>
      <c r="I602" s="6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 "/")</f>
        <v>food</v>
      </c>
      <c r="R602" t="str">
        <v>food trucks</v>
      </c>
      <c r="S602" s="10">
        <f t="shared" si="39"/>
        <v>41485.208333333336</v>
      </c>
      <c r="T602" s="11">
        <f t="shared" si="40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37"/>
        <v>2.0663492063492064</v>
      </c>
      <c r="H603">
        <v>194</v>
      </c>
      <c r="I603" s="6">
        <f t="shared" si="3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 "/")</f>
        <v>technology</v>
      </c>
      <c r="R603" t="str">
        <v>wearables</v>
      </c>
      <c r="S603" s="10">
        <f t="shared" si="39"/>
        <v>41789.208333333336</v>
      </c>
      <c r="T603" s="11">
        <f t="shared" si="40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37"/>
        <v>1.2823628691983122</v>
      </c>
      <c r="H604">
        <v>1140</v>
      </c>
      <c r="I604" s="6">
        <f t="shared" si="3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 "/")</f>
        <v>theater</v>
      </c>
      <c r="R604" t="str">
        <v>plays</v>
      </c>
      <c r="S604" s="10">
        <f t="shared" si="39"/>
        <v>42160.208333333328</v>
      </c>
      <c r="T604" s="11">
        <f t="shared" si="40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37"/>
        <v>1.1966037735849056</v>
      </c>
      <c r="H605">
        <v>102</v>
      </c>
      <c r="I605" s="6">
        <f t="shared" si="3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 "/")</f>
        <v>theater</v>
      </c>
      <c r="R605" t="str">
        <v>plays</v>
      </c>
      <c r="S605" s="10">
        <f t="shared" si="39"/>
        <v>43573.208333333328</v>
      </c>
      <c r="T605" s="11">
        <f t="shared" si="40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37"/>
        <v>1.7073055242390078</v>
      </c>
      <c r="H606">
        <v>2857</v>
      </c>
      <c r="I606" s="6">
        <f t="shared" si="3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 "/")</f>
        <v>theater</v>
      </c>
      <c r="R606" t="str">
        <v>plays</v>
      </c>
      <c r="S606" s="10">
        <f t="shared" si="39"/>
        <v>40565.25</v>
      </c>
      <c r="T606" s="11">
        <f t="shared" si="40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37"/>
        <v>1.8721212121212121</v>
      </c>
      <c r="H607">
        <v>107</v>
      </c>
      <c r="I607" s="6">
        <f t="shared" si="3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 "/")</f>
        <v>publishing</v>
      </c>
      <c r="R607" t="str">
        <v>nonfiction</v>
      </c>
      <c r="S607" s="10">
        <f t="shared" si="39"/>
        <v>42280.208333333328</v>
      </c>
      <c r="T607" s="11">
        <f t="shared" si="40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37"/>
        <v>1.8838235294117647</v>
      </c>
      <c r="H608">
        <v>160</v>
      </c>
      <c r="I608" s="6">
        <f t="shared" si="38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 "/")</f>
        <v>music</v>
      </c>
      <c r="R608" t="str">
        <v>rock</v>
      </c>
      <c r="S608" s="10">
        <f t="shared" si="39"/>
        <v>42436.25</v>
      </c>
      <c r="T608" s="11">
        <f t="shared" si="40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37"/>
        <v>1.3129869186046512</v>
      </c>
      <c r="H609">
        <v>2230</v>
      </c>
      <c r="I609" s="6">
        <f t="shared" si="3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 "/")</f>
        <v>food</v>
      </c>
      <c r="R609" t="str">
        <v>food trucks</v>
      </c>
      <c r="S609" s="10">
        <f t="shared" si="39"/>
        <v>41721.208333333336</v>
      </c>
      <c r="T609" s="11">
        <f t="shared" si="40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37"/>
        <v>2.8397435897435899</v>
      </c>
      <c r="H610">
        <v>316</v>
      </c>
      <c r="I610" s="6">
        <f t="shared" si="3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 "/")</f>
        <v>music</v>
      </c>
      <c r="R610" t="str">
        <v>jazz</v>
      </c>
      <c r="S610" s="10">
        <f t="shared" si="39"/>
        <v>43530.25</v>
      </c>
      <c r="T610" s="11">
        <f t="shared" si="40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37"/>
        <v>1.2041999999999999</v>
      </c>
      <c r="H611">
        <v>117</v>
      </c>
      <c r="I611" s="6">
        <f t="shared" si="3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 "/")</f>
        <v>film &amp; video</v>
      </c>
      <c r="R611" t="str">
        <v>science fiction</v>
      </c>
      <c r="S611" s="10">
        <f t="shared" si="39"/>
        <v>43481.25</v>
      </c>
      <c r="T611" s="11">
        <f t="shared" si="40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37"/>
        <v>4.1905607476635511</v>
      </c>
      <c r="H612">
        <v>6406</v>
      </c>
      <c r="I612" s="6">
        <f t="shared" si="3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 "/")</f>
        <v>theater</v>
      </c>
      <c r="R612" t="str">
        <v>plays</v>
      </c>
      <c r="S612" s="10">
        <f t="shared" si="39"/>
        <v>41259.25</v>
      </c>
      <c r="T612" s="11">
        <f t="shared" si="40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37"/>
        <v>0.13853658536585367</v>
      </c>
      <c r="H613">
        <v>15</v>
      </c>
      <c r="I613" s="6">
        <f t="shared" si="3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 "/")</f>
        <v>theater</v>
      </c>
      <c r="R613" t="str">
        <v>plays</v>
      </c>
      <c r="S613" s="10">
        <f t="shared" si="39"/>
        <v>41480.208333333336</v>
      </c>
      <c r="T613" s="11">
        <f t="shared" si="40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37"/>
        <v>1.3943548387096774</v>
      </c>
      <c r="H614">
        <v>192</v>
      </c>
      <c r="I614" s="6">
        <f t="shared" si="3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 "/")</f>
        <v>music</v>
      </c>
      <c r="R614" t="str">
        <v>electric music</v>
      </c>
      <c r="S614" s="10">
        <f t="shared" si="39"/>
        <v>40474.208333333336</v>
      </c>
      <c r="T614" s="11">
        <f t="shared" si="40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37"/>
        <v>1.74</v>
      </c>
      <c r="H615">
        <v>26</v>
      </c>
      <c r="I615" s="6">
        <f t="shared" si="3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 "/")</f>
        <v>theater</v>
      </c>
      <c r="R615" t="str">
        <v>plays</v>
      </c>
      <c r="S615" s="10">
        <f t="shared" si="39"/>
        <v>42973.208333333328</v>
      </c>
      <c r="T615" s="11">
        <f t="shared" si="40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37"/>
        <v>1.5549056603773586</v>
      </c>
      <c r="H616">
        <v>723</v>
      </c>
      <c r="I616" s="6">
        <f t="shared" si="3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 "/")</f>
        <v>theater</v>
      </c>
      <c r="R616" t="str">
        <v>plays</v>
      </c>
      <c r="S616" s="10">
        <f t="shared" si="39"/>
        <v>42746.25</v>
      </c>
      <c r="T616" s="11">
        <f t="shared" si="40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37"/>
        <v>1.7044705882352942</v>
      </c>
      <c r="H617">
        <v>170</v>
      </c>
      <c r="I617" s="6">
        <f t="shared" si="3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 "/")</f>
        <v>theater</v>
      </c>
      <c r="R617" t="str">
        <v>plays</v>
      </c>
      <c r="S617" s="10">
        <f t="shared" si="39"/>
        <v>42489.208333333328</v>
      </c>
      <c r="T617" s="11">
        <f t="shared" si="40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37"/>
        <v>1.8951562500000001</v>
      </c>
      <c r="H618">
        <v>238</v>
      </c>
      <c r="I618" s="6">
        <f t="shared" si="3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 "/")</f>
        <v>music</v>
      </c>
      <c r="R618" t="str">
        <v>indie rock</v>
      </c>
      <c r="S618" s="10">
        <f t="shared" si="39"/>
        <v>41537.208333333336</v>
      </c>
      <c r="T618" s="11">
        <f t="shared" si="40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37"/>
        <v>2.4971428571428573</v>
      </c>
      <c r="H619">
        <v>55</v>
      </c>
      <c r="I619" s="6">
        <f t="shared" si="3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 "/")</f>
        <v>theater</v>
      </c>
      <c r="R619" t="str">
        <v>plays</v>
      </c>
      <c r="S619" s="10">
        <f t="shared" si="39"/>
        <v>41794.208333333336</v>
      </c>
      <c r="T619" s="11">
        <f t="shared" si="40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37"/>
        <v>0.48860523665659616</v>
      </c>
      <c r="H620">
        <v>1198</v>
      </c>
      <c r="I620" s="6">
        <f t="shared" si="3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 "/")</f>
        <v>publishing</v>
      </c>
      <c r="R620" t="str">
        <v>nonfiction</v>
      </c>
      <c r="S620" s="10">
        <f t="shared" si="39"/>
        <v>41396.208333333336</v>
      </c>
      <c r="T620" s="11">
        <f t="shared" si="40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37"/>
        <v>0.28461970393057684</v>
      </c>
      <c r="H621">
        <v>648</v>
      </c>
      <c r="I621" s="6">
        <f t="shared" si="3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 "/")</f>
        <v>theater</v>
      </c>
      <c r="R621" t="str">
        <v>plays</v>
      </c>
      <c r="S621" s="10">
        <f t="shared" si="39"/>
        <v>40669.208333333336</v>
      </c>
      <c r="T621" s="11">
        <f t="shared" si="40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37"/>
        <v>2.6802325581395348</v>
      </c>
      <c r="H622">
        <v>128</v>
      </c>
      <c r="I622" s="6">
        <f t="shared" si="3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 "/")</f>
        <v>photography</v>
      </c>
      <c r="R622" t="str">
        <v>photography books</v>
      </c>
      <c r="S622" s="10">
        <f t="shared" si="39"/>
        <v>42559.208333333328</v>
      </c>
      <c r="T622" s="11">
        <f t="shared" si="40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37"/>
        <v>6.1980078125000002</v>
      </c>
      <c r="H623">
        <v>2144</v>
      </c>
      <c r="I623" s="6">
        <f t="shared" si="3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 "/")</f>
        <v>theater</v>
      </c>
      <c r="R623" t="str">
        <v>plays</v>
      </c>
      <c r="S623" s="10">
        <f t="shared" si="39"/>
        <v>42626.208333333328</v>
      </c>
      <c r="T623" s="11">
        <f t="shared" si="40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37"/>
        <v>3.1301587301587303E-2</v>
      </c>
      <c r="H624">
        <v>64</v>
      </c>
      <c r="I624" s="6">
        <f t="shared" si="38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 "/")</f>
        <v>music</v>
      </c>
      <c r="R624" t="str">
        <v>indie rock</v>
      </c>
      <c r="S624" s="10">
        <f t="shared" si="39"/>
        <v>43205.208333333328</v>
      </c>
      <c r="T624" s="11">
        <f t="shared" si="40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37"/>
        <v>1.5992152704135738</v>
      </c>
      <c r="H625">
        <v>2693</v>
      </c>
      <c r="I625" s="6">
        <f t="shared" si="3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 "/")</f>
        <v>theater</v>
      </c>
      <c r="R625" t="str">
        <v>plays</v>
      </c>
      <c r="S625" s="10">
        <f t="shared" si="39"/>
        <v>42201.208333333328</v>
      </c>
      <c r="T625" s="11">
        <f t="shared" si="40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37"/>
        <v>2.793921568627451</v>
      </c>
      <c r="H626">
        <v>432</v>
      </c>
      <c r="I626" s="6">
        <f t="shared" si="3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 "/")</f>
        <v>photography</v>
      </c>
      <c r="R626" t="str">
        <v>photography books</v>
      </c>
      <c r="S626" s="10">
        <f t="shared" si="39"/>
        <v>42029.25</v>
      </c>
      <c r="T626" s="11">
        <f t="shared" si="40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37"/>
        <v>0.77373333333333338</v>
      </c>
      <c r="H627">
        <v>62</v>
      </c>
      <c r="I627" s="6">
        <f t="shared" si="3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 "/")</f>
        <v>theater</v>
      </c>
      <c r="R627" t="str">
        <v>plays</v>
      </c>
      <c r="S627" s="10">
        <f t="shared" si="39"/>
        <v>43857.25</v>
      </c>
      <c r="T627" s="11">
        <f t="shared" si="40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37"/>
        <v>2.0632812500000002</v>
      </c>
      <c r="H628">
        <v>189</v>
      </c>
      <c r="I628" s="6">
        <f t="shared" si="3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 "/")</f>
        <v>theater</v>
      </c>
      <c r="R628" t="str">
        <v>plays</v>
      </c>
      <c r="S628" s="10">
        <f t="shared" si="39"/>
        <v>40449.208333333336</v>
      </c>
      <c r="T628" s="11">
        <f t="shared" si="40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37"/>
        <v>6.9424999999999999</v>
      </c>
      <c r="H629">
        <v>154</v>
      </c>
      <c r="I629" s="6">
        <f t="shared" si="3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 "/")</f>
        <v>food</v>
      </c>
      <c r="R629" t="str">
        <v>food trucks</v>
      </c>
      <c r="S629" s="10">
        <f t="shared" si="39"/>
        <v>40345.208333333336</v>
      </c>
      <c r="T629" s="11">
        <f t="shared" si="40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37"/>
        <v>1.5178947368421052</v>
      </c>
      <c r="H630">
        <v>96</v>
      </c>
      <c r="I630" s="6">
        <f t="shared" si="3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 "/")</f>
        <v>music</v>
      </c>
      <c r="R630" t="str">
        <v>indie rock</v>
      </c>
      <c r="S630" s="10">
        <f t="shared" si="39"/>
        <v>40455.208333333336</v>
      </c>
      <c r="T630" s="11">
        <f t="shared" si="40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37"/>
        <v>0.64582072176949945</v>
      </c>
      <c r="H631">
        <v>750</v>
      </c>
      <c r="I631" s="6">
        <f t="shared" si="3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 "/")</f>
        <v>theater</v>
      </c>
      <c r="R631" t="str">
        <v>plays</v>
      </c>
      <c r="S631" s="10">
        <f t="shared" si="39"/>
        <v>42557.208333333328</v>
      </c>
      <c r="T631" s="11">
        <f t="shared" si="40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37"/>
        <v>0.62873684210526315</v>
      </c>
      <c r="H632">
        <v>87</v>
      </c>
      <c r="I632" s="6">
        <f t="shared" si="3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 "/")</f>
        <v>theater</v>
      </c>
      <c r="R632" t="str">
        <v>plays</v>
      </c>
      <c r="S632" s="10">
        <f t="shared" si="39"/>
        <v>43586.208333333328</v>
      </c>
      <c r="T632" s="11">
        <f t="shared" si="40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37"/>
        <v>3.1039864864864866</v>
      </c>
      <c r="H633">
        <v>3063</v>
      </c>
      <c r="I633" s="6">
        <f t="shared" si="3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 "/")</f>
        <v>theater</v>
      </c>
      <c r="R633" t="str">
        <v>plays</v>
      </c>
      <c r="S633" s="10">
        <f t="shared" si="39"/>
        <v>43550.208333333328</v>
      </c>
      <c r="T633" s="11">
        <f t="shared" si="40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37"/>
        <v>0.42859916782246882</v>
      </c>
      <c r="H634">
        <v>278</v>
      </c>
      <c r="I634" s="6">
        <f t="shared" si="3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 "/")</f>
        <v>theater</v>
      </c>
      <c r="R634" t="str">
        <v>plays</v>
      </c>
      <c r="S634" s="10">
        <f t="shared" si="39"/>
        <v>41945.208333333336</v>
      </c>
      <c r="T634" s="11">
        <f t="shared" si="40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37"/>
        <v>0.83119402985074631</v>
      </c>
      <c r="H635">
        <v>105</v>
      </c>
      <c r="I635" s="6">
        <f t="shared" si="3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 "/")</f>
        <v>film &amp; video</v>
      </c>
      <c r="R635" t="str">
        <v>animation</v>
      </c>
      <c r="S635" s="10">
        <f t="shared" si="39"/>
        <v>42315.25</v>
      </c>
      <c r="T635" s="11">
        <f t="shared" si="40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37"/>
        <v>0.78531302876480547</v>
      </c>
      <c r="H636">
        <v>1658</v>
      </c>
      <c r="I636" s="6">
        <f t="shared" si="3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 "/")</f>
        <v>film &amp; video</v>
      </c>
      <c r="R636" t="str">
        <v>television</v>
      </c>
      <c r="S636" s="10">
        <f t="shared" si="39"/>
        <v>42819.208333333328</v>
      </c>
      <c r="T636" s="11">
        <f t="shared" si="40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37"/>
        <v>1.1409352517985611</v>
      </c>
      <c r="H637">
        <v>2266</v>
      </c>
      <c r="I637" s="6">
        <f t="shared" si="3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 "/")</f>
        <v>film &amp; video</v>
      </c>
      <c r="R637" t="str">
        <v>television</v>
      </c>
      <c r="S637" s="10">
        <f t="shared" si="39"/>
        <v>41314.25</v>
      </c>
      <c r="T637" s="11">
        <f t="shared" si="40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37"/>
        <v>0.64537683358624176</v>
      </c>
      <c r="H638">
        <v>2604</v>
      </c>
      <c r="I638" s="6">
        <f t="shared" si="3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 "/")</f>
        <v>film &amp; video</v>
      </c>
      <c r="R638" t="str">
        <v>animation</v>
      </c>
      <c r="S638" s="10">
        <f t="shared" si="39"/>
        <v>40926.25</v>
      </c>
      <c r="T638" s="11">
        <f t="shared" si="40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37"/>
        <v>0.79411764705882348</v>
      </c>
      <c r="H639">
        <v>65</v>
      </c>
      <c r="I639" s="6">
        <f t="shared" si="3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 "/")</f>
        <v>theater</v>
      </c>
      <c r="R639" t="str">
        <v>plays</v>
      </c>
      <c r="S639" s="10">
        <f t="shared" si="39"/>
        <v>42688.25</v>
      </c>
      <c r="T639" s="11">
        <f t="shared" si="40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37"/>
        <v>0.11419117647058824</v>
      </c>
      <c r="H640">
        <v>94</v>
      </c>
      <c r="I640" s="6">
        <f t="shared" si="3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 "/")</f>
        <v>theater</v>
      </c>
      <c r="R640" t="str">
        <v>plays</v>
      </c>
      <c r="S640" s="10">
        <f t="shared" si="39"/>
        <v>40386.208333333336</v>
      </c>
      <c r="T640" s="11">
        <f t="shared" si="40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37"/>
        <v>0.56186046511627907</v>
      </c>
      <c r="H641">
        <v>45</v>
      </c>
      <c r="I641" s="6">
        <f t="shared" si="3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 "/")</f>
        <v>film &amp; video</v>
      </c>
      <c r="R641" t="str">
        <v>drama</v>
      </c>
      <c r="S641" s="10">
        <f t="shared" si="39"/>
        <v>43309.208333333328</v>
      </c>
      <c r="T641" s="11">
        <f t="shared" si="40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ref="G642:G705" si="41">E642/D642</f>
        <v>0.16501669449081802</v>
      </c>
      <c r="H642">
        <v>257</v>
      </c>
      <c r="I642" s="6">
        <f t="shared" ref="I642:I705" si="42">IF(E642,E642/H642,0)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 "/")</f>
        <v>theater</v>
      </c>
      <c r="R642" t="str">
        <v>plays</v>
      </c>
      <c r="S642" s="10">
        <f t="shared" ref="S642:S705" si="43">(((L642/60)/60)/24)+DATE(1970,1,1)</f>
        <v>42387.25</v>
      </c>
      <c r="T642" s="11">
        <f t="shared" ref="T642:T705" si="44">(((M642/60)/60)/24)+DATE(1970,1,1)</f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si="41"/>
        <v>1.1996808510638297</v>
      </c>
      <c r="H643">
        <v>194</v>
      </c>
      <c r="I643" s="6">
        <f t="shared" si="42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 "/")</f>
        <v>theater</v>
      </c>
      <c r="R643" t="str">
        <v>plays</v>
      </c>
      <c r="S643" s="10">
        <f t="shared" si="43"/>
        <v>42786.25</v>
      </c>
      <c r="T643" s="11">
        <f t="shared" si="44"/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si="41"/>
        <v>1.4545652173913044</v>
      </c>
      <c r="H644">
        <v>129</v>
      </c>
      <c r="I644" s="6">
        <f t="shared" si="42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 "/")</f>
        <v>technology</v>
      </c>
      <c r="R644" t="str">
        <v>wearables</v>
      </c>
      <c r="S644" s="10">
        <f t="shared" si="43"/>
        <v>43451.25</v>
      </c>
      <c r="T644" s="11">
        <f t="shared" si="44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41"/>
        <v>2.2138255033557046</v>
      </c>
      <c r="H645">
        <v>375</v>
      </c>
      <c r="I645" s="6">
        <f t="shared" si="4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 "/")</f>
        <v>theater</v>
      </c>
      <c r="R645" t="str">
        <v>plays</v>
      </c>
      <c r="S645" s="10">
        <f t="shared" si="43"/>
        <v>42795.25</v>
      </c>
      <c r="T645" s="11">
        <f t="shared" si="44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41"/>
        <v>0.48396694214876035</v>
      </c>
      <c r="H646">
        <v>2928</v>
      </c>
      <c r="I646" s="6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 "/")</f>
        <v>theater</v>
      </c>
      <c r="R646" t="str">
        <v>plays</v>
      </c>
      <c r="S646" s="10">
        <f t="shared" si="43"/>
        <v>43452.25</v>
      </c>
      <c r="T646" s="11">
        <f t="shared" si="44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41"/>
        <v>0.92911504424778757</v>
      </c>
      <c r="H647">
        <v>4697</v>
      </c>
      <c r="I647" s="6">
        <f t="shared" si="4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 "/")</f>
        <v>music</v>
      </c>
      <c r="R647" t="str">
        <v>rock</v>
      </c>
      <c r="S647" s="10">
        <f t="shared" si="43"/>
        <v>43369.208333333328</v>
      </c>
      <c r="T647" s="11">
        <f t="shared" si="44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41"/>
        <v>0.88599797365754818</v>
      </c>
      <c r="H648">
        <v>2915</v>
      </c>
      <c r="I648" s="6">
        <f t="shared" si="4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 "/")</f>
        <v>games</v>
      </c>
      <c r="R648" t="str">
        <v>video games</v>
      </c>
      <c r="S648" s="10">
        <f t="shared" si="43"/>
        <v>41346.208333333336</v>
      </c>
      <c r="T648" s="11">
        <f t="shared" si="44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41"/>
        <v>0.41399999999999998</v>
      </c>
      <c r="H649">
        <v>18</v>
      </c>
      <c r="I649" s="6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 "/")</f>
        <v>publishing</v>
      </c>
      <c r="R649" t="str">
        <v>translations</v>
      </c>
      <c r="S649" s="10">
        <f t="shared" si="43"/>
        <v>43199.208333333328</v>
      </c>
      <c r="T649" s="11">
        <f t="shared" si="44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41"/>
        <v>0.63056795131845844</v>
      </c>
      <c r="H650">
        <v>723</v>
      </c>
      <c r="I650" s="6">
        <f t="shared" si="4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 "/")</f>
        <v>food</v>
      </c>
      <c r="R650" t="str">
        <v>food trucks</v>
      </c>
      <c r="S650" s="10">
        <f t="shared" si="43"/>
        <v>42922.208333333328</v>
      </c>
      <c r="T650" s="11">
        <f t="shared" si="44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41"/>
        <v>0.48482333607230893</v>
      </c>
      <c r="H651">
        <v>602</v>
      </c>
      <c r="I651" s="6">
        <f t="shared" si="4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 "/")</f>
        <v>theater</v>
      </c>
      <c r="R651" t="str">
        <v>plays</v>
      </c>
      <c r="S651" s="10">
        <f t="shared" si="43"/>
        <v>40471.208333333336</v>
      </c>
      <c r="T651" s="11">
        <f t="shared" si="44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41"/>
        <v>0.02</v>
      </c>
      <c r="H652">
        <v>1</v>
      </c>
      <c r="I652" s="6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 "/")</f>
        <v>music</v>
      </c>
      <c r="R652" t="str">
        <v>jazz</v>
      </c>
      <c r="S652" s="10">
        <f t="shared" si="43"/>
        <v>41828.208333333336</v>
      </c>
      <c r="T652" s="11">
        <f t="shared" si="44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41"/>
        <v>0.88479410269445857</v>
      </c>
      <c r="H653">
        <v>3868</v>
      </c>
      <c r="I653" s="6">
        <f t="shared" si="4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 "/")</f>
        <v>film &amp; video</v>
      </c>
      <c r="R653" t="str">
        <v>shorts</v>
      </c>
      <c r="S653" s="10">
        <f t="shared" si="43"/>
        <v>41692.25</v>
      </c>
      <c r="T653" s="11">
        <f t="shared" si="44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41"/>
        <v>1.2684</v>
      </c>
      <c r="H654">
        <v>409</v>
      </c>
      <c r="I654" s="6">
        <f t="shared" si="4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 "/")</f>
        <v>technology</v>
      </c>
      <c r="R654" t="str">
        <v>web</v>
      </c>
      <c r="S654" s="10">
        <f t="shared" si="43"/>
        <v>42587.208333333328</v>
      </c>
      <c r="T654" s="11">
        <f t="shared" si="44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41"/>
        <v>23.388333333333332</v>
      </c>
      <c r="H655">
        <v>234</v>
      </c>
      <c r="I655" s="6">
        <f t="shared" si="4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 "/")</f>
        <v>technology</v>
      </c>
      <c r="R655" t="str">
        <v>web</v>
      </c>
      <c r="S655" s="10">
        <f t="shared" si="43"/>
        <v>42468.208333333328</v>
      </c>
      <c r="T655" s="11">
        <f t="shared" si="44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41"/>
        <v>5.0838857142857146</v>
      </c>
      <c r="H656">
        <v>3016</v>
      </c>
      <c r="I656" s="6">
        <f t="shared" si="4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 "/")</f>
        <v>music</v>
      </c>
      <c r="R656" t="str">
        <v>metal</v>
      </c>
      <c r="S656" s="10">
        <f t="shared" si="43"/>
        <v>42240.208333333328</v>
      </c>
      <c r="T656" s="11">
        <f t="shared" si="44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41"/>
        <v>1.9147826086956521</v>
      </c>
      <c r="H657">
        <v>264</v>
      </c>
      <c r="I657" s="6">
        <f t="shared" si="4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 "/")</f>
        <v>photography</v>
      </c>
      <c r="R657" t="str">
        <v>photography books</v>
      </c>
      <c r="S657" s="10">
        <f t="shared" si="43"/>
        <v>42796.25</v>
      </c>
      <c r="T657" s="11">
        <f t="shared" si="44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41"/>
        <v>0.42127533783783783</v>
      </c>
      <c r="H658">
        <v>504</v>
      </c>
      <c r="I658" s="6">
        <f t="shared" si="4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 "/")</f>
        <v>food</v>
      </c>
      <c r="R658" t="str">
        <v>food trucks</v>
      </c>
      <c r="S658" s="10">
        <f t="shared" si="43"/>
        <v>43097.25</v>
      </c>
      <c r="T658" s="11">
        <f t="shared" si="44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41"/>
        <v>8.2400000000000001E-2</v>
      </c>
      <c r="H659">
        <v>14</v>
      </c>
      <c r="I659" s="6">
        <f t="shared" si="4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 "/")</f>
        <v>film &amp; video</v>
      </c>
      <c r="R659" t="str">
        <v>science fiction</v>
      </c>
      <c r="S659" s="10">
        <f t="shared" si="43"/>
        <v>43096.25</v>
      </c>
      <c r="T659" s="11">
        <f t="shared" si="44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41"/>
        <v>0.60064638783269964</v>
      </c>
      <c r="H660">
        <v>390</v>
      </c>
      <c r="I660" s="6">
        <f t="shared" si="4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 "/")</f>
        <v>music</v>
      </c>
      <c r="R660" t="str">
        <v>rock</v>
      </c>
      <c r="S660" s="10">
        <f t="shared" si="43"/>
        <v>42246.208333333328</v>
      </c>
      <c r="T660" s="11">
        <f t="shared" si="44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41"/>
        <v>0.47232808616404309</v>
      </c>
      <c r="H661">
        <v>750</v>
      </c>
      <c r="I661" s="6">
        <f t="shared" si="4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 "/")</f>
        <v>film &amp; video</v>
      </c>
      <c r="R661" t="str">
        <v>documentary</v>
      </c>
      <c r="S661" s="10">
        <f t="shared" si="43"/>
        <v>40570.25</v>
      </c>
      <c r="T661" s="11">
        <f t="shared" si="44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41"/>
        <v>0.81736263736263737</v>
      </c>
      <c r="H662">
        <v>77</v>
      </c>
      <c r="I662" s="6">
        <f t="shared" si="4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 "/")</f>
        <v>theater</v>
      </c>
      <c r="R662" t="str">
        <v>plays</v>
      </c>
      <c r="S662" s="10">
        <f t="shared" si="43"/>
        <v>42237.208333333328</v>
      </c>
      <c r="T662" s="11">
        <f t="shared" si="44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41"/>
        <v>0.54187265917603</v>
      </c>
      <c r="H663">
        <v>752</v>
      </c>
      <c r="I663" s="6">
        <f t="shared" si="4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 "/")</f>
        <v>music</v>
      </c>
      <c r="R663" t="str">
        <v>jazz</v>
      </c>
      <c r="S663" s="10">
        <f t="shared" si="43"/>
        <v>40996.208333333336</v>
      </c>
      <c r="T663" s="11">
        <f t="shared" si="44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41"/>
        <v>0.97868131868131869</v>
      </c>
      <c r="H664">
        <v>131</v>
      </c>
      <c r="I664" s="6">
        <f t="shared" si="4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 "/")</f>
        <v>theater</v>
      </c>
      <c r="R664" t="str">
        <v>plays</v>
      </c>
      <c r="S664" s="10">
        <f t="shared" si="43"/>
        <v>43443.25</v>
      </c>
      <c r="T664" s="11">
        <f t="shared" si="44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41"/>
        <v>0.77239999999999998</v>
      </c>
      <c r="H665">
        <v>87</v>
      </c>
      <c r="I665" s="6">
        <f t="shared" si="4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 "/")</f>
        <v>theater</v>
      </c>
      <c r="R665" t="str">
        <v>plays</v>
      </c>
      <c r="S665" s="10">
        <f t="shared" si="43"/>
        <v>40458.208333333336</v>
      </c>
      <c r="T665" s="11">
        <f t="shared" si="44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41"/>
        <v>0.33464735516372796</v>
      </c>
      <c r="H666">
        <v>1063</v>
      </c>
      <c r="I666" s="6">
        <f t="shared" si="4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 "/")</f>
        <v>music</v>
      </c>
      <c r="R666" t="str">
        <v>jazz</v>
      </c>
      <c r="S666" s="10">
        <f t="shared" si="43"/>
        <v>40959.25</v>
      </c>
      <c r="T666" s="11">
        <f t="shared" si="44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41"/>
        <v>2.3958823529411766</v>
      </c>
      <c r="H667">
        <v>272</v>
      </c>
      <c r="I667" s="6">
        <f t="shared" si="4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 "/")</f>
        <v>film &amp; video</v>
      </c>
      <c r="R667" t="str">
        <v>documentary</v>
      </c>
      <c r="S667" s="10">
        <f t="shared" si="43"/>
        <v>40733.208333333336</v>
      </c>
      <c r="T667" s="11">
        <f t="shared" si="44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41"/>
        <v>0.64032258064516134</v>
      </c>
      <c r="H668">
        <v>25</v>
      </c>
      <c r="I668" s="6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 "/")</f>
        <v>theater</v>
      </c>
      <c r="R668" t="str">
        <v>plays</v>
      </c>
      <c r="S668" s="10">
        <f t="shared" si="43"/>
        <v>41516.208333333336</v>
      </c>
      <c r="T668" s="11">
        <f t="shared" si="44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41"/>
        <v>1.7615942028985507</v>
      </c>
      <c r="H669">
        <v>419</v>
      </c>
      <c r="I669" s="6">
        <f t="shared" si="4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 "/")</f>
        <v>journalism</v>
      </c>
      <c r="R669" t="str">
        <v>audio</v>
      </c>
      <c r="S669" s="10">
        <f t="shared" si="43"/>
        <v>41892.208333333336</v>
      </c>
      <c r="T669" s="11">
        <f t="shared" si="44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41"/>
        <v>0.20338181818181819</v>
      </c>
      <c r="H670">
        <v>76</v>
      </c>
      <c r="I670" s="6">
        <f t="shared" si="4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 "/")</f>
        <v>theater</v>
      </c>
      <c r="R670" t="str">
        <v>plays</v>
      </c>
      <c r="S670" s="10">
        <f t="shared" si="43"/>
        <v>41122.208333333336</v>
      </c>
      <c r="T670" s="11">
        <f t="shared" si="44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41"/>
        <v>3.5864754098360656</v>
      </c>
      <c r="H671">
        <v>1621</v>
      </c>
      <c r="I671" s="6">
        <f t="shared" si="4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 "/")</f>
        <v>theater</v>
      </c>
      <c r="R671" t="str">
        <v>plays</v>
      </c>
      <c r="S671" s="10">
        <f t="shared" si="43"/>
        <v>42912.208333333328</v>
      </c>
      <c r="T671" s="11">
        <f t="shared" si="44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41"/>
        <v>4.6885802469135802</v>
      </c>
      <c r="H672">
        <v>1101</v>
      </c>
      <c r="I672" s="6">
        <f t="shared" si="4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 "/")</f>
        <v>music</v>
      </c>
      <c r="R672" t="str">
        <v>indie rock</v>
      </c>
      <c r="S672" s="10">
        <f t="shared" si="43"/>
        <v>42425.25</v>
      </c>
      <c r="T672" s="11">
        <f t="shared" si="44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41"/>
        <v>1.220563524590164</v>
      </c>
      <c r="H673">
        <v>1073</v>
      </c>
      <c r="I673" s="6">
        <f t="shared" si="4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 "/")</f>
        <v>theater</v>
      </c>
      <c r="R673" t="str">
        <v>plays</v>
      </c>
      <c r="S673" s="10">
        <f t="shared" si="43"/>
        <v>40390.208333333336</v>
      </c>
      <c r="T673" s="11">
        <f t="shared" si="44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41"/>
        <v>0.55931783729156137</v>
      </c>
      <c r="H674">
        <v>4428</v>
      </c>
      <c r="I674" s="6">
        <f t="shared" si="4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 "/")</f>
        <v>theater</v>
      </c>
      <c r="R674" t="str">
        <v>plays</v>
      </c>
      <c r="S674" s="10">
        <f t="shared" si="43"/>
        <v>43180.208333333328</v>
      </c>
      <c r="T674" s="11">
        <f t="shared" si="44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41"/>
        <v>0.43660714285714286</v>
      </c>
      <c r="H675">
        <v>58</v>
      </c>
      <c r="I675" s="6">
        <f t="shared" si="4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 "/")</f>
        <v>music</v>
      </c>
      <c r="R675" t="str">
        <v>indie rock</v>
      </c>
      <c r="S675" s="10">
        <f t="shared" si="43"/>
        <v>42475.208333333328</v>
      </c>
      <c r="T675" s="11">
        <f t="shared" si="44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41"/>
        <v>0.33538371411833628</v>
      </c>
      <c r="H676">
        <v>1218</v>
      </c>
      <c r="I676" s="6">
        <f t="shared" si="4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 "/")</f>
        <v>photography</v>
      </c>
      <c r="R676" t="str">
        <v>photography books</v>
      </c>
      <c r="S676" s="10">
        <f t="shared" si="43"/>
        <v>40774.208333333336</v>
      </c>
      <c r="T676" s="11">
        <f t="shared" si="44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41"/>
        <v>1.2297938144329896</v>
      </c>
      <c r="H677">
        <v>331</v>
      </c>
      <c r="I677" s="6">
        <f t="shared" si="4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 "/")</f>
        <v>journalism</v>
      </c>
      <c r="R677" t="str">
        <v>audio</v>
      </c>
      <c r="S677" s="10">
        <f t="shared" si="43"/>
        <v>43719.208333333328</v>
      </c>
      <c r="T677" s="11">
        <f t="shared" si="44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41"/>
        <v>1.8974959871589085</v>
      </c>
      <c r="H678">
        <v>1170</v>
      </c>
      <c r="I678" s="6">
        <f t="shared" si="4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 "/")</f>
        <v>photography</v>
      </c>
      <c r="R678" t="str">
        <v>photography books</v>
      </c>
      <c r="S678" s="10">
        <f t="shared" si="43"/>
        <v>41178.208333333336</v>
      </c>
      <c r="T678" s="11">
        <f t="shared" si="44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41"/>
        <v>0.83622641509433959</v>
      </c>
      <c r="H679">
        <v>111</v>
      </c>
      <c r="I679" s="6">
        <f t="shared" si="4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 "/")</f>
        <v>publishing</v>
      </c>
      <c r="R679" t="str">
        <v>fiction</v>
      </c>
      <c r="S679" s="10">
        <f t="shared" si="43"/>
        <v>42561.208333333328</v>
      </c>
      <c r="T679" s="11">
        <f t="shared" si="44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41"/>
        <v>0.17968844221105529</v>
      </c>
      <c r="H680">
        <v>215</v>
      </c>
      <c r="I680" s="6">
        <f t="shared" si="4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 "/")</f>
        <v>film &amp; video</v>
      </c>
      <c r="R680" t="str">
        <v>drama</v>
      </c>
      <c r="S680" s="10">
        <f t="shared" si="43"/>
        <v>43484.25</v>
      </c>
      <c r="T680" s="11">
        <f t="shared" si="44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41"/>
        <v>10.365</v>
      </c>
      <c r="H681">
        <v>363</v>
      </c>
      <c r="I681" s="6">
        <f t="shared" si="4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 "/")</f>
        <v>food</v>
      </c>
      <c r="R681" t="str">
        <v>food trucks</v>
      </c>
      <c r="S681" s="10">
        <f t="shared" si="43"/>
        <v>43756.208333333328</v>
      </c>
      <c r="T681" s="11">
        <f t="shared" si="44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41"/>
        <v>0.97405219780219776</v>
      </c>
      <c r="H682">
        <v>2955</v>
      </c>
      <c r="I682" s="6">
        <f t="shared" si="4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 "/")</f>
        <v>games</v>
      </c>
      <c r="R682" t="str">
        <v>mobile games</v>
      </c>
      <c r="S682" s="10">
        <f t="shared" si="43"/>
        <v>43813.25</v>
      </c>
      <c r="T682" s="11">
        <f t="shared" si="44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41"/>
        <v>0.86386203150461705</v>
      </c>
      <c r="H683">
        <v>1657</v>
      </c>
      <c r="I683" s="6">
        <f t="shared" si="4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 "/")</f>
        <v>theater</v>
      </c>
      <c r="R683" t="str">
        <v>plays</v>
      </c>
      <c r="S683" s="10">
        <f t="shared" si="43"/>
        <v>40898.25</v>
      </c>
      <c r="T683" s="11">
        <f t="shared" si="44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41"/>
        <v>1.5016666666666667</v>
      </c>
      <c r="H684">
        <v>103</v>
      </c>
      <c r="I684" s="6">
        <f t="shared" si="4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 "/")</f>
        <v>theater</v>
      </c>
      <c r="R684" t="str">
        <v>plays</v>
      </c>
      <c r="S684" s="10">
        <f t="shared" si="43"/>
        <v>41619.25</v>
      </c>
      <c r="T684" s="11">
        <f t="shared" si="44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41"/>
        <v>3.5843478260869563</v>
      </c>
      <c r="H685">
        <v>147</v>
      </c>
      <c r="I685" s="6">
        <f t="shared" si="4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 "/")</f>
        <v>theater</v>
      </c>
      <c r="R685" t="str">
        <v>plays</v>
      </c>
      <c r="S685" s="10">
        <f t="shared" si="43"/>
        <v>43359.208333333328</v>
      </c>
      <c r="T685" s="11">
        <f t="shared" si="44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41"/>
        <v>5.4285714285714288</v>
      </c>
      <c r="H686">
        <v>110</v>
      </c>
      <c r="I686" s="6">
        <f t="shared" si="4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 "/")</f>
        <v>publishing</v>
      </c>
      <c r="R686" t="str">
        <v>nonfiction</v>
      </c>
      <c r="S686" s="10">
        <f t="shared" si="43"/>
        <v>40358.208333333336</v>
      </c>
      <c r="T686" s="11">
        <f t="shared" si="44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41"/>
        <v>0.67500714285714281</v>
      </c>
      <c r="H687">
        <v>926</v>
      </c>
      <c r="I687" s="6">
        <f t="shared" si="4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 "/")</f>
        <v>theater</v>
      </c>
      <c r="R687" t="str">
        <v>plays</v>
      </c>
      <c r="S687" s="10">
        <f t="shared" si="43"/>
        <v>42239.208333333328</v>
      </c>
      <c r="T687" s="11">
        <f t="shared" si="44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41"/>
        <v>1.9174666666666667</v>
      </c>
      <c r="H688">
        <v>134</v>
      </c>
      <c r="I688" s="6">
        <f t="shared" si="4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 "/")</f>
        <v>technology</v>
      </c>
      <c r="R688" t="str">
        <v>wearables</v>
      </c>
      <c r="S688" s="10">
        <f t="shared" si="43"/>
        <v>43186.208333333328</v>
      </c>
      <c r="T688" s="11">
        <f t="shared" si="44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41"/>
        <v>9.32</v>
      </c>
      <c r="H689">
        <v>269</v>
      </c>
      <c r="I689" s="6">
        <f t="shared" si="4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 "/")</f>
        <v>theater</v>
      </c>
      <c r="R689" t="str">
        <v>plays</v>
      </c>
      <c r="S689" s="10">
        <f t="shared" si="43"/>
        <v>42806.25</v>
      </c>
      <c r="T689" s="11">
        <f t="shared" si="44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41"/>
        <v>4.2927586206896553</v>
      </c>
      <c r="H690">
        <v>175</v>
      </c>
      <c r="I690" s="6">
        <f t="shared" si="4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 "/")</f>
        <v>film &amp; video</v>
      </c>
      <c r="R690" t="str">
        <v>television</v>
      </c>
      <c r="S690" s="10">
        <f t="shared" si="43"/>
        <v>43475.25</v>
      </c>
      <c r="T690" s="11">
        <f t="shared" si="44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41"/>
        <v>1.0065753424657535</v>
      </c>
      <c r="H691">
        <v>69</v>
      </c>
      <c r="I691" s="6">
        <f t="shared" si="4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 "/")</f>
        <v>technology</v>
      </c>
      <c r="R691" t="str">
        <v>web</v>
      </c>
      <c r="S691" s="10">
        <f t="shared" si="43"/>
        <v>41576.208333333336</v>
      </c>
      <c r="T691" s="11">
        <f t="shared" si="44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41"/>
        <v>2.266111111111111</v>
      </c>
      <c r="H692">
        <v>190</v>
      </c>
      <c r="I692" s="6">
        <f t="shared" si="4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 "/")</f>
        <v>film &amp; video</v>
      </c>
      <c r="R692" t="str">
        <v>documentary</v>
      </c>
      <c r="S692" s="10">
        <f t="shared" si="43"/>
        <v>40874.25</v>
      </c>
      <c r="T692" s="11">
        <f t="shared" si="44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41"/>
        <v>1.4238</v>
      </c>
      <c r="H693">
        <v>237</v>
      </c>
      <c r="I693" s="6">
        <f t="shared" si="4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 "/")</f>
        <v>film &amp; video</v>
      </c>
      <c r="R693" t="str">
        <v>documentary</v>
      </c>
      <c r="S693" s="10">
        <f t="shared" si="43"/>
        <v>41185.208333333336</v>
      </c>
      <c r="T693" s="11">
        <f t="shared" si="44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41"/>
        <v>0.90633333333333332</v>
      </c>
      <c r="H694">
        <v>77</v>
      </c>
      <c r="I694" s="6">
        <f t="shared" si="4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 "/")</f>
        <v>music</v>
      </c>
      <c r="R694" t="str">
        <v>rock</v>
      </c>
      <c r="S694" s="10">
        <f t="shared" si="43"/>
        <v>43655.208333333328</v>
      </c>
      <c r="T694" s="11">
        <f t="shared" si="44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41"/>
        <v>0.63966740576496672</v>
      </c>
      <c r="H695">
        <v>1748</v>
      </c>
      <c r="I695" s="6">
        <f t="shared" si="4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 "/")</f>
        <v>theater</v>
      </c>
      <c r="R695" t="str">
        <v>plays</v>
      </c>
      <c r="S695" s="10">
        <f t="shared" si="43"/>
        <v>43025.208333333328</v>
      </c>
      <c r="T695" s="11">
        <f t="shared" si="44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41"/>
        <v>0.84131868131868137</v>
      </c>
      <c r="H696">
        <v>79</v>
      </c>
      <c r="I696" s="6">
        <f t="shared" si="4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 "/")</f>
        <v>theater</v>
      </c>
      <c r="R696" t="str">
        <v>plays</v>
      </c>
      <c r="S696" s="10">
        <f t="shared" si="43"/>
        <v>43066.25</v>
      </c>
      <c r="T696" s="11">
        <f t="shared" si="44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41"/>
        <v>1.3393478260869565</v>
      </c>
      <c r="H697">
        <v>196</v>
      </c>
      <c r="I697" s="6">
        <f t="shared" si="4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 "/")</f>
        <v>music</v>
      </c>
      <c r="R697" t="str">
        <v>rock</v>
      </c>
      <c r="S697" s="10">
        <f t="shared" si="43"/>
        <v>42322.25</v>
      </c>
      <c r="T697" s="11">
        <f t="shared" si="44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41"/>
        <v>0.59042047531992692</v>
      </c>
      <c r="H698">
        <v>889</v>
      </c>
      <c r="I698" s="6">
        <f t="shared" si="4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 "/")</f>
        <v>theater</v>
      </c>
      <c r="R698" t="str">
        <v>plays</v>
      </c>
      <c r="S698" s="10">
        <f t="shared" si="43"/>
        <v>42114.208333333328</v>
      </c>
      <c r="T698" s="11">
        <f t="shared" si="44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41"/>
        <v>1.5280062063615205</v>
      </c>
      <c r="H699">
        <v>7295</v>
      </c>
      <c r="I699" s="6">
        <f t="shared" si="4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 "/")</f>
        <v>music</v>
      </c>
      <c r="R699" t="str">
        <v>electric music</v>
      </c>
      <c r="S699" s="10">
        <f t="shared" si="43"/>
        <v>43190.208333333328</v>
      </c>
      <c r="T699" s="11">
        <f t="shared" si="44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41"/>
        <v>4.466912114014252</v>
      </c>
      <c r="H700">
        <v>2893</v>
      </c>
      <c r="I700" s="6">
        <f t="shared" si="4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 "/")</f>
        <v>technology</v>
      </c>
      <c r="R700" t="str">
        <v>wearables</v>
      </c>
      <c r="S700" s="10">
        <f t="shared" si="43"/>
        <v>40871.25</v>
      </c>
      <c r="T700" s="11">
        <f t="shared" si="44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41"/>
        <v>0.8439189189189189</v>
      </c>
      <c r="H701">
        <v>56</v>
      </c>
      <c r="I701" s="6">
        <f t="shared" si="4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 "/")</f>
        <v>film &amp; video</v>
      </c>
      <c r="R701" t="str">
        <v>drama</v>
      </c>
      <c r="S701" s="10">
        <f t="shared" si="43"/>
        <v>43641.208333333328</v>
      </c>
      <c r="T701" s="11">
        <f t="shared" si="44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41"/>
        <v>0.03</v>
      </c>
      <c r="H702">
        <v>1</v>
      </c>
      <c r="I702" s="6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 "/")</f>
        <v>technology</v>
      </c>
      <c r="R702" t="str">
        <v>wearables</v>
      </c>
      <c r="S702" s="10">
        <f t="shared" si="43"/>
        <v>40203.25</v>
      </c>
      <c r="T702" s="11">
        <f t="shared" si="44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41"/>
        <v>1.7502692307692307</v>
      </c>
      <c r="H703">
        <v>820</v>
      </c>
      <c r="I703" s="6">
        <f t="shared" si="4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 "/")</f>
        <v>theater</v>
      </c>
      <c r="R703" t="str">
        <v>plays</v>
      </c>
      <c r="S703" s="10">
        <f t="shared" si="43"/>
        <v>40629.208333333336</v>
      </c>
      <c r="T703" s="11">
        <f t="shared" si="44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41"/>
        <v>0.54137931034482756</v>
      </c>
      <c r="H704">
        <v>83</v>
      </c>
      <c r="I704" s="6">
        <f t="shared" si="4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 "/")</f>
        <v>technology</v>
      </c>
      <c r="R704" t="str">
        <v>wearables</v>
      </c>
      <c r="S704" s="10">
        <f t="shared" si="43"/>
        <v>41477.208333333336</v>
      </c>
      <c r="T704" s="11">
        <f t="shared" si="44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41"/>
        <v>3.1187381703470032</v>
      </c>
      <c r="H705">
        <v>2038</v>
      </c>
      <c r="I705" s="6">
        <f t="shared" si="4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 "/")</f>
        <v>publishing</v>
      </c>
      <c r="R705" t="str">
        <v>translations</v>
      </c>
      <c r="S705" s="10">
        <f t="shared" si="43"/>
        <v>41020.208333333336</v>
      </c>
      <c r="T705" s="11">
        <f t="shared" si="44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ref="G706:G769" si="45">E706/D706</f>
        <v>1.2278160919540231</v>
      </c>
      <c r="H706">
        <v>116</v>
      </c>
      <c r="I706" s="6">
        <f t="shared" ref="I706:I769" si="46">IF(E706,E706/H706,0)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 "/")</f>
        <v>film &amp; video</v>
      </c>
      <c r="R706" t="str">
        <v>animation</v>
      </c>
      <c r="S706" s="10">
        <f t="shared" ref="S706:S769" si="47">(((L706/60)/60)/24)+DATE(1970,1,1)</f>
        <v>42555.208333333328</v>
      </c>
      <c r="T706" s="11">
        <f t="shared" ref="T706:T769" si="48">(((M706/60)/60)/24)+DATE(1970,1,1)</f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si="45"/>
        <v>0.99026517383618151</v>
      </c>
      <c r="H707">
        <v>2025</v>
      </c>
      <c r="I707" s="6">
        <f t="shared" si="46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 "/")</f>
        <v>publishing</v>
      </c>
      <c r="R707" t="str">
        <v>nonfiction</v>
      </c>
      <c r="S707" s="10">
        <f t="shared" si="47"/>
        <v>41619.25</v>
      </c>
      <c r="T707" s="11">
        <f t="shared" si="48"/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si="45"/>
        <v>1.278468634686347</v>
      </c>
      <c r="H708">
        <v>1345</v>
      </c>
      <c r="I708" s="6">
        <f t="shared" si="4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 "/")</f>
        <v>technology</v>
      </c>
      <c r="R708" t="str">
        <v>web</v>
      </c>
      <c r="S708" s="10">
        <f t="shared" si="47"/>
        <v>43471.25</v>
      </c>
      <c r="T708" s="11">
        <f t="shared" si="48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45"/>
        <v>1.5861643835616439</v>
      </c>
      <c r="H709">
        <v>168</v>
      </c>
      <c r="I709" s="6">
        <f t="shared" si="4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 "/")</f>
        <v>film &amp; video</v>
      </c>
      <c r="R709" t="str">
        <v>drama</v>
      </c>
      <c r="S709" s="10">
        <f t="shared" si="47"/>
        <v>43442.25</v>
      </c>
      <c r="T709" s="11">
        <f t="shared" si="48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45"/>
        <v>7.0705882352941174</v>
      </c>
      <c r="H710">
        <v>137</v>
      </c>
      <c r="I710" s="6">
        <f t="shared" si="4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 "/")</f>
        <v>theater</v>
      </c>
      <c r="R710" t="str">
        <v>plays</v>
      </c>
      <c r="S710" s="10">
        <f t="shared" si="47"/>
        <v>42877.208333333328</v>
      </c>
      <c r="T710" s="11">
        <f t="shared" si="48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45"/>
        <v>1.4238775510204082</v>
      </c>
      <c r="H711">
        <v>186</v>
      </c>
      <c r="I711" s="6">
        <f t="shared" si="4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 "/")</f>
        <v>theater</v>
      </c>
      <c r="R711" t="str">
        <v>plays</v>
      </c>
      <c r="S711" s="10">
        <f t="shared" si="47"/>
        <v>41018.208333333336</v>
      </c>
      <c r="T711" s="11">
        <f t="shared" si="48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45"/>
        <v>1.4786046511627906</v>
      </c>
      <c r="H712">
        <v>125</v>
      </c>
      <c r="I712" s="6">
        <f t="shared" si="4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 "/")</f>
        <v>theater</v>
      </c>
      <c r="R712" t="str">
        <v>plays</v>
      </c>
      <c r="S712" s="10">
        <f t="shared" si="47"/>
        <v>43295.208333333328</v>
      </c>
      <c r="T712" s="11">
        <f t="shared" si="48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45"/>
        <v>0.20322580645161289</v>
      </c>
      <c r="H713">
        <v>14</v>
      </c>
      <c r="I713" s="6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 "/")</f>
        <v>theater</v>
      </c>
      <c r="R713" t="str">
        <v>plays</v>
      </c>
      <c r="S713" s="10">
        <f t="shared" si="47"/>
        <v>42393.25</v>
      </c>
      <c r="T713" s="11">
        <f t="shared" si="48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45"/>
        <v>18.40625</v>
      </c>
      <c r="H714">
        <v>202</v>
      </c>
      <c r="I714" s="6">
        <f t="shared" si="4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 "/")</f>
        <v>theater</v>
      </c>
      <c r="R714" t="str">
        <v>plays</v>
      </c>
      <c r="S714" s="10">
        <f t="shared" si="47"/>
        <v>42559.208333333328</v>
      </c>
      <c r="T714" s="11">
        <f t="shared" si="48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45"/>
        <v>1.6194202898550725</v>
      </c>
      <c r="H715">
        <v>103</v>
      </c>
      <c r="I715" s="6">
        <f t="shared" si="4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 "/")</f>
        <v>publishing</v>
      </c>
      <c r="R715" t="str">
        <v>radio &amp; podcasts</v>
      </c>
      <c r="S715" s="10">
        <f t="shared" si="47"/>
        <v>42604.208333333328</v>
      </c>
      <c r="T715" s="11">
        <f t="shared" si="48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45"/>
        <v>4.7282077922077921</v>
      </c>
      <c r="H716">
        <v>1785</v>
      </c>
      <c r="I716" s="6">
        <f t="shared" si="4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 "/")</f>
        <v>music</v>
      </c>
      <c r="R716" t="str">
        <v>rock</v>
      </c>
      <c r="S716" s="10">
        <f t="shared" si="47"/>
        <v>41870.208333333336</v>
      </c>
      <c r="T716" s="11">
        <f t="shared" si="48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45"/>
        <v>0.24466101694915254</v>
      </c>
      <c r="H717">
        <v>656</v>
      </c>
      <c r="I717" s="6">
        <f t="shared" si="4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 "/")</f>
        <v>games</v>
      </c>
      <c r="R717" t="str">
        <v>mobile games</v>
      </c>
      <c r="S717" s="10">
        <f t="shared" si="47"/>
        <v>40397.208333333336</v>
      </c>
      <c r="T717" s="11">
        <f t="shared" si="48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45"/>
        <v>5.1764999999999999</v>
      </c>
      <c r="H718">
        <v>157</v>
      </c>
      <c r="I718" s="6">
        <f t="shared" si="4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 "/")</f>
        <v>theater</v>
      </c>
      <c r="R718" t="str">
        <v>plays</v>
      </c>
      <c r="S718" s="10">
        <f t="shared" si="47"/>
        <v>41465.208333333336</v>
      </c>
      <c r="T718" s="11">
        <f t="shared" si="48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45"/>
        <v>2.4764285714285714</v>
      </c>
      <c r="H719">
        <v>555</v>
      </c>
      <c r="I719" s="6">
        <f t="shared" si="4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 "/")</f>
        <v>film &amp; video</v>
      </c>
      <c r="R719" t="str">
        <v>documentary</v>
      </c>
      <c r="S719" s="10">
        <f t="shared" si="47"/>
        <v>40777.208333333336</v>
      </c>
      <c r="T719" s="11">
        <f t="shared" si="48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45"/>
        <v>1.0020481927710843</v>
      </c>
      <c r="H720">
        <v>297</v>
      </c>
      <c r="I720" s="6">
        <f t="shared" si="4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 "/")</f>
        <v>technology</v>
      </c>
      <c r="R720" t="str">
        <v>wearables</v>
      </c>
      <c r="S720" s="10">
        <f t="shared" si="47"/>
        <v>41442.208333333336</v>
      </c>
      <c r="T720" s="11">
        <f t="shared" si="48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45"/>
        <v>1.53</v>
      </c>
      <c r="H721">
        <v>123</v>
      </c>
      <c r="I721" s="6">
        <f t="shared" si="4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 "/")</f>
        <v>publishing</v>
      </c>
      <c r="R721" t="str">
        <v>fiction</v>
      </c>
      <c r="S721" s="10">
        <f t="shared" si="47"/>
        <v>41058.208333333336</v>
      </c>
      <c r="T721" s="11">
        <f t="shared" si="48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45"/>
        <v>0.37091954022988505</v>
      </c>
      <c r="H722">
        <v>38</v>
      </c>
      <c r="I722" s="6">
        <f t="shared" si="4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 "/")</f>
        <v>theater</v>
      </c>
      <c r="R722" t="str">
        <v>plays</v>
      </c>
      <c r="S722" s="10">
        <f t="shared" si="47"/>
        <v>43152.25</v>
      </c>
      <c r="T722" s="11">
        <f t="shared" si="48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45"/>
        <v>4.3923948220064728E-2</v>
      </c>
      <c r="H723">
        <v>60</v>
      </c>
      <c r="I723" s="6">
        <f t="shared" si="4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 "/")</f>
        <v>music</v>
      </c>
      <c r="R723" t="str">
        <v>rock</v>
      </c>
      <c r="S723" s="10">
        <f t="shared" si="47"/>
        <v>43194.208333333328</v>
      </c>
      <c r="T723" s="11">
        <f t="shared" si="48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45"/>
        <v>1.5650721649484536</v>
      </c>
      <c r="H724">
        <v>3036</v>
      </c>
      <c r="I724" s="6">
        <f t="shared" si="4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 "/")</f>
        <v>film &amp; video</v>
      </c>
      <c r="R724" t="str">
        <v>documentary</v>
      </c>
      <c r="S724" s="10">
        <f t="shared" si="47"/>
        <v>43045.25</v>
      </c>
      <c r="T724" s="11">
        <f t="shared" si="48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45"/>
        <v>2.704081632653061</v>
      </c>
      <c r="H725">
        <v>144</v>
      </c>
      <c r="I725" s="6">
        <f t="shared" si="4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 "/")</f>
        <v>theater</v>
      </c>
      <c r="R725" t="str">
        <v>plays</v>
      </c>
      <c r="S725" s="10">
        <f t="shared" si="47"/>
        <v>42431.25</v>
      </c>
      <c r="T725" s="11">
        <f t="shared" si="48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45"/>
        <v>1.3405952380952382</v>
      </c>
      <c r="H726">
        <v>121</v>
      </c>
      <c r="I726" s="6">
        <f t="shared" si="4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 "/")</f>
        <v>theater</v>
      </c>
      <c r="R726" t="str">
        <v>plays</v>
      </c>
      <c r="S726" s="10">
        <f t="shared" si="47"/>
        <v>41934.208333333336</v>
      </c>
      <c r="T726" s="11">
        <f t="shared" si="48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45"/>
        <v>0.50398033126293995</v>
      </c>
      <c r="H727">
        <v>1596</v>
      </c>
      <c r="I727" s="6">
        <f t="shared" si="4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 "/")</f>
        <v>games</v>
      </c>
      <c r="R727" t="str">
        <v>mobile games</v>
      </c>
      <c r="S727" s="10">
        <f t="shared" si="47"/>
        <v>41958.25</v>
      </c>
      <c r="T727" s="11">
        <f t="shared" si="48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45"/>
        <v>0.88815837937384901</v>
      </c>
      <c r="H728">
        <v>524</v>
      </c>
      <c r="I728" s="6">
        <f t="shared" si="4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 "/")</f>
        <v>theater</v>
      </c>
      <c r="R728" t="str">
        <v>plays</v>
      </c>
      <c r="S728" s="10">
        <f t="shared" si="47"/>
        <v>40476.208333333336</v>
      </c>
      <c r="T728" s="11">
        <f t="shared" si="48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45"/>
        <v>1.65</v>
      </c>
      <c r="H729">
        <v>181</v>
      </c>
      <c r="I729" s="6">
        <f t="shared" si="4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 "/")</f>
        <v>technology</v>
      </c>
      <c r="R729" t="str">
        <v>web</v>
      </c>
      <c r="S729" s="10">
        <f t="shared" si="47"/>
        <v>43485.25</v>
      </c>
      <c r="T729" s="11">
        <f t="shared" si="48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45"/>
        <v>0.17499999999999999</v>
      </c>
      <c r="H730">
        <v>10</v>
      </c>
      <c r="I730" s="6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 "/")</f>
        <v>theater</v>
      </c>
      <c r="R730" t="str">
        <v>plays</v>
      </c>
      <c r="S730" s="10">
        <f t="shared" si="47"/>
        <v>42515.208333333328</v>
      </c>
      <c r="T730" s="11">
        <f t="shared" si="48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45"/>
        <v>1.8566071428571429</v>
      </c>
      <c r="H731">
        <v>122</v>
      </c>
      <c r="I731" s="6">
        <f t="shared" si="4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 "/")</f>
        <v>film &amp; video</v>
      </c>
      <c r="R731" t="str">
        <v>drama</v>
      </c>
      <c r="S731" s="10">
        <f t="shared" si="47"/>
        <v>41309.25</v>
      </c>
      <c r="T731" s="11">
        <f t="shared" si="48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45"/>
        <v>4.1266319444444441</v>
      </c>
      <c r="H732">
        <v>1071</v>
      </c>
      <c r="I732" s="6">
        <f t="shared" si="4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 "/")</f>
        <v>technology</v>
      </c>
      <c r="R732" t="str">
        <v>wearables</v>
      </c>
      <c r="S732" s="10">
        <f t="shared" si="47"/>
        <v>42147.208333333328</v>
      </c>
      <c r="T732" s="11">
        <f t="shared" si="48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45"/>
        <v>0.90249999999999997</v>
      </c>
      <c r="H733">
        <v>219</v>
      </c>
      <c r="I733" s="6">
        <f t="shared" si="4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 "/")</f>
        <v>technology</v>
      </c>
      <c r="R733" t="str">
        <v>web</v>
      </c>
      <c r="S733" s="10">
        <f t="shared" si="47"/>
        <v>42939.208333333328</v>
      </c>
      <c r="T733" s="11">
        <f t="shared" si="48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45"/>
        <v>0.91984615384615387</v>
      </c>
      <c r="H734">
        <v>1121</v>
      </c>
      <c r="I734" s="6">
        <f t="shared" si="4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 "/")</f>
        <v>music</v>
      </c>
      <c r="R734" t="str">
        <v>rock</v>
      </c>
      <c r="S734" s="10">
        <f t="shared" si="47"/>
        <v>42816.208333333328</v>
      </c>
      <c r="T734" s="11">
        <f t="shared" si="48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45"/>
        <v>5.2700632911392402</v>
      </c>
      <c r="H735">
        <v>980</v>
      </c>
      <c r="I735" s="6">
        <f t="shared" si="4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 "/")</f>
        <v>music</v>
      </c>
      <c r="R735" t="str">
        <v>metal</v>
      </c>
      <c r="S735" s="10">
        <f t="shared" si="47"/>
        <v>41844.208333333336</v>
      </c>
      <c r="T735" s="11">
        <f t="shared" si="48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45"/>
        <v>3.1914285714285713</v>
      </c>
      <c r="H736">
        <v>536</v>
      </c>
      <c r="I736" s="6">
        <f t="shared" si="4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 "/")</f>
        <v>theater</v>
      </c>
      <c r="R736" t="str">
        <v>plays</v>
      </c>
      <c r="S736" s="10">
        <f t="shared" si="47"/>
        <v>42763.25</v>
      </c>
      <c r="T736" s="11">
        <f t="shared" si="48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45"/>
        <v>3.5418867924528303</v>
      </c>
      <c r="H737">
        <v>1991</v>
      </c>
      <c r="I737" s="6">
        <f t="shared" si="4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 "/")</f>
        <v>photography</v>
      </c>
      <c r="R737" t="str">
        <v>photography books</v>
      </c>
      <c r="S737" s="10">
        <f t="shared" si="47"/>
        <v>42459.208333333328</v>
      </c>
      <c r="T737" s="11">
        <f t="shared" si="48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45"/>
        <v>0.32896103896103895</v>
      </c>
      <c r="H738">
        <v>29</v>
      </c>
      <c r="I738" s="6">
        <f t="shared" si="4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 "/")</f>
        <v>publishing</v>
      </c>
      <c r="R738" t="str">
        <v>nonfiction</v>
      </c>
      <c r="S738" s="10">
        <f t="shared" si="47"/>
        <v>42055.25</v>
      </c>
      <c r="T738" s="11">
        <f t="shared" si="48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45"/>
        <v>1.358918918918919</v>
      </c>
      <c r="H739">
        <v>180</v>
      </c>
      <c r="I739" s="6">
        <f t="shared" si="4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 "/")</f>
        <v>music</v>
      </c>
      <c r="R739" t="str">
        <v>indie rock</v>
      </c>
      <c r="S739" s="10">
        <f t="shared" si="47"/>
        <v>42685.25</v>
      </c>
      <c r="T739" s="11">
        <f t="shared" si="48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45"/>
        <v>2.0843373493975904E-2</v>
      </c>
      <c r="H740">
        <v>15</v>
      </c>
      <c r="I740" s="6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 "/")</f>
        <v>theater</v>
      </c>
      <c r="R740" t="str">
        <v>plays</v>
      </c>
      <c r="S740" s="10">
        <f t="shared" si="47"/>
        <v>41959.25</v>
      </c>
      <c r="T740" s="11">
        <f t="shared" si="48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45"/>
        <v>0.61</v>
      </c>
      <c r="H741">
        <v>191</v>
      </c>
      <c r="I741" s="6">
        <f t="shared" si="4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 "/")</f>
        <v>music</v>
      </c>
      <c r="R741" t="str">
        <v>indie rock</v>
      </c>
      <c r="S741" s="10">
        <f t="shared" si="47"/>
        <v>41089.208333333336</v>
      </c>
      <c r="T741" s="11">
        <f t="shared" si="48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45"/>
        <v>0.30037735849056602</v>
      </c>
      <c r="H742">
        <v>16</v>
      </c>
      <c r="I742" s="6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 "/")</f>
        <v>theater</v>
      </c>
      <c r="R742" t="str">
        <v>plays</v>
      </c>
      <c r="S742" s="10">
        <f t="shared" si="47"/>
        <v>42769.25</v>
      </c>
      <c r="T742" s="11">
        <f t="shared" si="48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45"/>
        <v>11.791666666666666</v>
      </c>
      <c r="H743">
        <v>130</v>
      </c>
      <c r="I743" s="6">
        <f t="shared" si="4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 "/")</f>
        <v>theater</v>
      </c>
      <c r="R743" t="str">
        <v>plays</v>
      </c>
      <c r="S743" s="10">
        <f t="shared" si="47"/>
        <v>40321.208333333336</v>
      </c>
      <c r="T743" s="11">
        <f t="shared" si="48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45"/>
        <v>11.260833333333334</v>
      </c>
      <c r="H744">
        <v>122</v>
      </c>
      <c r="I744" s="6">
        <f t="shared" si="4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 "/")</f>
        <v>music</v>
      </c>
      <c r="R744" t="str">
        <v>electric music</v>
      </c>
      <c r="S744" s="10">
        <f t="shared" si="47"/>
        <v>40197.25</v>
      </c>
      <c r="T744" s="11">
        <f t="shared" si="48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45"/>
        <v>0.12923076923076923</v>
      </c>
      <c r="H745">
        <v>17</v>
      </c>
      <c r="I745" s="6">
        <f t="shared" si="4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 "/")</f>
        <v>theater</v>
      </c>
      <c r="R745" t="str">
        <v>plays</v>
      </c>
      <c r="S745" s="10">
        <f t="shared" si="47"/>
        <v>42298.208333333328</v>
      </c>
      <c r="T745" s="11">
        <f t="shared" si="48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45"/>
        <v>7.12</v>
      </c>
      <c r="H746">
        <v>140</v>
      </c>
      <c r="I746" s="6">
        <f t="shared" si="4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 "/")</f>
        <v>theater</v>
      </c>
      <c r="R746" t="str">
        <v>plays</v>
      </c>
      <c r="S746" s="10">
        <f t="shared" si="47"/>
        <v>43322.208333333328</v>
      </c>
      <c r="T746" s="11">
        <f t="shared" si="48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45"/>
        <v>0.30304347826086958</v>
      </c>
      <c r="H747">
        <v>34</v>
      </c>
      <c r="I747" s="6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 "/")</f>
        <v>technology</v>
      </c>
      <c r="R747" t="str">
        <v>wearables</v>
      </c>
      <c r="S747" s="10">
        <f t="shared" si="47"/>
        <v>40328.208333333336</v>
      </c>
      <c r="T747" s="11">
        <f t="shared" si="48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45"/>
        <v>2.1250896057347672</v>
      </c>
      <c r="H748">
        <v>3388</v>
      </c>
      <c r="I748" s="6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 "/")</f>
        <v>technology</v>
      </c>
      <c r="R748" t="str">
        <v>web</v>
      </c>
      <c r="S748" s="10">
        <f t="shared" si="47"/>
        <v>40825.208333333336</v>
      </c>
      <c r="T748" s="11">
        <f t="shared" si="48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45"/>
        <v>2.2885714285714287</v>
      </c>
      <c r="H749">
        <v>280</v>
      </c>
      <c r="I749" s="6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 "/")</f>
        <v>theater</v>
      </c>
      <c r="R749" t="str">
        <v>plays</v>
      </c>
      <c r="S749" s="10">
        <f t="shared" si="47"/>
        <v>40423.208333333336</v>
      </c>
      <c r="T749" s="11">
        <f t="shared" si="48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45"/>
        <v>0.34959979476654696</v>
      </c>
      <c r="H750">
        <v>614</v>
      </c>
      <c r="I750" s="6">
        <f t="shared" si="4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 "/")</f>
        <v>film &amp; video</v>
      </c>
      <c r="R750" t="str">
        <v>animation</v>
      </c>
      <c r="S750" s="10">
        <f t="shared" si="47"/>
        <v>40238.25</v>
      </c>
      <c r="T750" s="11">
        <f t="shared" si="48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45"/>
        <v>1.5729069767441861</v>
      </c>
      <c r="H751">
        <v>366</v>
      </c>
      <c r="I751" s="6">
        <f t="shared" si="4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 "/")</f>
        <v>technology</v>
      </c>
      <c r="R751" t="str">
        <v>wearables</v>
      </c>
      <c r="S751" s="10">
        <f t="shared" si="47"/>
        <v>41920.208333333336</v>
      </c>
      <c r="T751" s="11">
        <f t="shared" si="48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45"/>
        <v>0.01</v>
      </c>
      <c r="H752">
        <v>1</v>
      </c>
      <c r="I752" s="6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 "/")</f>
        <v>music</v>
      </c>
      <c r="R752" t="str">
        <v>electric music</v>
      </c>
      <c r="S752" s="10">
        <f t="shared" si="47"/>
        <v>40360.208333333336</v>
      </c>
      <c r="T752" s="11">
        <f t="shared" si="48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45"/>
        <v>2.3230555555555554</v>
      </c>
      <c r="H753">
        <v>270</v>
      </c>
      <c r="I753" s="6">
        <f t="shared" si="4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 "/")</f>
        <v>publishing</v>
      </c>
      <c r="R753" t="str">
        <v>nonfiction</v>
      </c>
      <c r="S753" s="10">
        <f t="shared" si="47"/>
        <v>42446.208333333328</v>
      </c>
      <c r="T753" s="11">
        <f t="shared" si="48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45"/>
        <v>0.92448275862068963</v>
      </c>
      <c r="H754">
        <v>114</v>
      </c>
      <c r="I754" s="6">
        <f t="shared" si="4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 "/")</f>
        <v>theater</v>
      </c>
      <c r="R754" t="str">
        <v>plays</v>
      </c>
      <c r="S754" s="10">
        <f t="shared" si="47"/>
        <v>40395.208333333336</v>
      </c>
      <c r="T754" s="11">
        <f t="shared" si="48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45"/>
        <v>2.5670212765957445</v>
      </c>
      <c r="H755">
        <v>137</v>
      </c>
      <c r="I755" s="6">
        <f t="shared" si="4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 "/")</f>
        <v>photography</v>
      </c>
      <c r="R755" t="str">
        <v>photography books</v>
      </c>
      <c r="S755" s="10">
        <f t="shared" si="47"/>
        <v>40321.208333333336</v>
      </c>
      <c r="T755" s="11">
        <f t="shared" si="48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45"/>
        <v>1.6847017045454546</v>
      </c>
      <c r="H756">
        <v>3205</v>
      </c>
      <c r="I756" s="6">
        <f t="shared" si="4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 "/")</f>
        <v>theater</v>
      </c>
      <c r="R756" t="str">
        <v>plays</v>
      </c>
      <c r="S756" s="10">
        <f t="shared" si="47"/>
        <v>41210.208333333336</v>
      </c>
      <c r="T756" s="11">
        <f t="shared" si="48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45"/>
        <v>1.6657777777777778</v>
      </c>
      <c r="H757">
        <v>288</v>
      </c>
      <c r="I757" s="6">
        <f t="shared" si="4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 "/")</f>
        <v>theater</v>
      </c>
      <c r="R757" t="str">
        <v>plays</v>
      </c>
      <c r="S757" s="10">
        <f t="shared" si="47"/>
        <v>43096.25</v>
      </c>
      <c r="T757" s="11">
        <f t="shared" si="48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45"/>
        <v>7.7207692307692311</v>
      </c>
      <c r="H758">
        <v>148</v>
      </c>
      <c r="I758" s="6">
        <f t="shared" si="4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 "/")</f>
        <v>theater</v>
      </c>
      <c r="R758" t="str">
        <v>plays</v>
      </c>
      <c r="S758" s="10">
        <f t="shared" si="47"/>
        <v>42024.25</v>
      </c>
      <c r="T758" s="11">
        <f t="shared" si="48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45"/>
        <v>4.0685714285714285</v>
      </c>
      <c r="H759">
        <v>114</v>
      </c>
      <c r="I759" s="6">
        <f t="shared" si="4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 "/")</f>
        <v>film &amp; video</v>
      </c>
      <c r="R759" t="str">
        <v>drama</v>
      </c>
      <c r="S759" s="10">
        <f t="shared" si="47"/>
        <v>40675.208333333336</v>
      </c>
      <c r="T759" s="11">
        <f t="shared" si="48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45"/>
        <v>5.6420608108108112</v>
      </c>
      <c r="H760">
        <v>1518</v>
      </c>
      <c r="I760" s="6">
        <f t="shared" si="4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 "/")</f>
        <v>music</v>
      </c>
      <c r="R760" t="str">
        <v>rock</v>
      </c>
      <c r="S760" s="10">
        <f t="shared" si="47"/>
        <v>41936.208333333336</v>
      </c>
      <c r="T760" s="11">
        <f t="shared" si="48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45"/>
        <v>0.6842686567164179</v>
      </c>
      <c r="H761">
        <v>1274</v>
      </c>
      <c r="I761" s="6">
        <f t="shared" si="4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 "/")</f>
        <v>music</v>
      </c>
      <c r="R761" t="str">
        <v>electric music</v>
      </c>
      <c r="S761" s="10">
        <f t="shared" si="47"/>
        <v>43136.25</v>
      </c>
      <c r="T761" s="11">
        <f t="shared" si="48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45"/>
        <v>0.34351966873706002</v>
      </c>
      <c r="H762">
        <v>210</v>
      </c>
      <c r="I762" s="6">
        <f t="shared" si="4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 "/")</f>
        <v>games</v>
      </c>
      <c r="R762" t="str">
        <v>video games</v>
      </c>
      <c r="S762" s="10">
        <f t="shared" si="47"/>
        <v>43678.208333333328</v>
      </c>
      <c r="T762" s="11">
        <f t="shared" si="48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45"/>
        <v>6.5545454545454547</v>
      </c>
      <c r="H763">
        <v>166</v>
      </c>
      <c r="I763" s="6">
        <f t="shared" si="4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 "/")</f>
        <v>music</v>
      </c>
      <c r="R763" t="str">
        <v>rock</v>
      </c>
      <c r="S763" s="10">
        <f t="shared" si="47"/>
        <v>42938.208333333328</v>
      </c>
      <c r="T763" s="11">
        <f t="shared" si="48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45"/>
        <v>1.7725714285714285</v>
      </c>
      <c r="H764">
        <v>100</v>
      </c>
      <c r="I764" s="6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 "/")</f>
        <v>music</v>
      </c>
      <c r="R764" t="str">
        <v>jazz</v>
      </c>
      <c r="S764" s="10">
        <f t="shared" si="47"/>
        <v>41241.25</v>
      </c>
      <c r="T764" s="11">
        <f t="shared" si="48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45"/>
        <v>1.1317857142857144</v>
      </c>
      <c r="H765">
        <v>235</v>
      </c>
      <c r="I765" s="6">
        <f t="shared" si="4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 "/")</f>
        <v>theater</v>
      </c>
      <c r="R765" t="str">
        <v>plays</v>
      </c>
      <c r="S765" s="10">
        <f t="shared" si="47"/>
        <v>41037.208333333336</v>
      </c>
      <c r="T765" s="11">
        <f t="shared" si="48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45"/>
        <v>7.2818181818181822</v>
      </c>
      <c r="H766">
        <v>148</v>
      </c>
      <c r="I766" s="6">
        <f t="shared" si="4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 "/")</f>
        <v>music</v>
      </c>
      <c r="R766" t="str">
        <v>rock</v>
      </c>
      <c r="S766" s="10">
        <f t="shared" si="47"/>
        <v>40676.208333333336</v>
      </c>
      <c r="T766" s="11">
        <f t="shared" si="48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45"/>
        <v>2.0833333333333335</v>
      </c>
      <c r="H767">
        <v>198</v>
      </c>
      <c r="I767" s="6">
        <f t="shared" si="4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 "/")</f>
        <v>music</v>
      </c>
      <c r="R767" t="str">
        <v>indie rock</v>
      </c>
      <c r="S767" s="10">
        <f t="shared" si="47"/>
        <v>42840.208333333328</v>
      </c>
      <c r="T767" s="11">
        <f t="shared" si="48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45"/>
        <v>0.31171232876712329</v>
      </c>
      <c r="H768">
        <v>248</v>
      </c>
      <c r="I768" s="6">
        <f t="shared" si="4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 "/")</f>
        <v>film &amp; video</v>
      </c>
      <c r="R768" t="str">
        <v>science fiction</v>
      </c>
      <c r="S768" s="10">
        <f t="shared" si="47"/>
        <v>43362.208333333328</v>
      </c>
      <c r="T768" s="11">
        <f t="shared" si="48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45"/>
        <v>0.56967078189300413</v>
      </c>
      <c r="H769">
        <v>513</v>
      </c>
      <c r="I769" s="6">
        <f t="shared" si="4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 "/")</f>
        <v>publishing</v>
      </c>
      <c r="R769" t="str">
        <v>translations</v>
      </c>
      <c r="S769" s="10">
        <f t="shared" si="47"/>
        <v>42283.208333333328</v>
      </c>
      <c r="T769" s="11">
        <f t="shared" si="48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ref="G770:G833" si="49">E770/D770</f>
        <v>2.31</v>
      </c>
      <c r="H770">
        <v>150</v>
      </c>
      <c r="I770" s="6">
        <f t="shared" ref="I770:I833" si="50">IF(E770,E770/H770,0)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 "/")</f>
        <v>theater</v>
      </c>
      <c r="R770" t="str">
        <v>plays</v>
      </c>
      <c r="S770" s="10">
        <f t="shared" ref="S770:S833" si="51">(((L770/60)/60)/24)+DATE(1970,1,1)</f>
        <v>41619.25</v>
      </c>
      <c r="T770" s="11">
        <f t="shared" ref="T770:T833" si="52">(((M770/60)/60)/24)+DATE(1970,1,1)</f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si="49"/>
        <v>0.86867834394904464</v>
      </c>
      <c r="H771">
        <v>3410</v>
      </c>
      <c r="I771" s="6">
        <f t="shared" si="50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 "/")</f>
        <v>games</v>
      </c>
      <c r="R771" t="str">
        <v>video games</v>
      </c>
      <c r="S771" s="10">
        <f t="shared" si="51"/>
        <v>41501.208333333336</v>
      </c>
      <c r="T771" s="11">
        <f t="shared" si="52"/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si="49"/>
        <v>2.7074418604651163</v>
      </c>
      <c r="H772">
        <v>216</v>
      </c>
      <c r="I772" s="6">
        <f t="shared" si="50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 "/")</f>
        <v>theater</v>
      </c>
      <c r="R772" t="str">
        <v>plays</v>
      </c>
      <c r="S772" s="10">
        <f t="shared" si="51"/>
        <v>41743.208333333336</v>
      </c>
      <c r="T772" s="11">
        <f t="shared" si="52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49"/>
        <v>0.49446428571428569</v>
      </c>
      <c r="H773">
        <v>26</v>
      </c>
      <c r="I773" s="6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 "/")</f>
        <v>theater</v>
      </c>
      <c r="R773" t="str">
        <v>plays</v>
      </c>
      <c r="S773" s="10">
        <f t="shared" si="51"/>
        <v>43491.25</v>
      </c>
      <c r="T773" s="11">
        <f t="shared" si="52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49"/>
        <v>1.1335962566844919</v>
      </c>
      <c r="H774">
        <v>5139</v>
      </c>
      <c r="I774" s="6">
        <f t="shared" si="50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 "/")</f>
        <v>music</v>
      </c>
      <c r="R774" t="str">
        <v>indie rock</v>
      </c>
      <c r="S774" s="10">
        <f t="shared" si="51"/>
        <v>43505.25</v>
      </c>
      <c r="T774" s="11">
        <f t="shared" si="52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49"/>
        <v>1.9055555555555554</v>
      </c>
      <c r="H775">
        <v>2353</v>
      </c>
      <c r="I775" s="6">
        <f t="shared" si="50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 "/")</f>
        <v>theater</v>
      </c>
      <c r="R775" t="str">
        <v>plays</v>
      </c>
      <c r="S775" s="10">
        <f t="shared" si="51"/>
        <v>42838.208333333328</v>
      </c>
      <c r="T775" s="11">
        <f t="shared" si="52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49"/>
        <v>1.355</v>
      </c>
      <c r="H776">
        <v>78</v>
      </c>
      <c r="I776" s="6">
        <f t="shared" si="50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 "/")</f>
        <v>technology</v>
      </c>
      <c r="R776" t="str">
        <v>web</v>
      </c>
      <c r="S776" s="10">
        <f t="shared" si="51"/>
        <v>42513.208333333328</v>
      </c>
      <c r="T776" s="11">
        <f t="shared" si="52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49"/>
        <v>0.10297872340425532</v>
      </c>
      <c r="H777">
        <v>10</v>
      </c>
      <c r="I777" s="6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 "/")</f>
        <v>music</v>
      </c>
      <c r="R777" t="str">
        <v>rock</v>
      </c>
      <c r="S777" s="10">
        <f t="shared" si="51"/>
        <v>41949.25</v>
      </c>
      <c r="T777" s="11">
        <f t="shared" si="52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49"/>
        <v>0.65544223826714798</v>
      </c>
      <c r="H778">
        <v>2201</v>
      </c>
      <c r="I778" s="6">
        <f t="shared" si="50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 "/")</f>
        <v>theater</v>
      </c>
      <c r="R778" t="str">
        <v>plays</v>
      </c>
      <c r="S778" s="10">
        <f t="shared" si="51"/>
        <v>43650.208333333328</v>
      </c>
      <c r="T778" s="11">
        <f t="shared" si="52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49"/>
        <v>0.49026652452025588</v>
      </c>
      <c r="H779">
        <v>676</v>
      </c>
      <c r="I779" s="6">
        <f t="shared" si="50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 "/")</f>
        <v>theater</v>
      </c>
      <c r="R779" t="str">
        <v>plays</v>
      </c>
      <c r="S779" s="10">
        <f t="shared" si="51"/>
        <v>40809.208333333336</v>
      </c>
      <c r="T779" s="11">
        <f t="shared" si="52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49"/>
        <v>7.8792307692307695</v>
      </c>
      <c r="H780">
        <v>174</v>
      </c>
      <c r="I780" s="6">
        <f t="shared" si="50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 "/")</f>
        <v>film &amp; video</v>
      </c>
      <c r="R780" t="str">
        <v>animation</v>
      </c>
      <c r="S780" s="10">
        <f t="shared" si="51"/>
        <v>40768.208333333336</v>
      </c>
      <c r="T780" s="11">
        <f t="shared" si="52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49"/>
        <v>0.80306347746090156</v>
      </c>
      <c r="H781">
        <v>831</v>
      </c>
      <c r="I781" s="6">
        <f t="shared" si="50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 "/")</f>
        <v>theater</v>
      </c>
      <c r="R781" t="str">
        <v>plays</v>
      </c>
      <c r="S781" s="10">
        <f t="shared" si="51"/>
        <v>42230.208333333328</v>
      </c>
      <c r="T781" s="11">
        <f t="shared" si="52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49"/>
        <v>1.0629411764705883</v>
      </c>
      <c r="H782">
        <v>164</v>
      </c>
      <c r="I782" s="6">
        <f t="shared" si="50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 "/")</f>
        <v>film &amp; video</v>
      </c>
      <c r="R782" t="str">
        <v>drama</v>
      </c>
      <c r="S782" s="10">
        <f t="shared" si="51"/>
        <v>42573.208333333328</v>
      </c>
      <c r="T782" s="11">
        <f t="shared" si="52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49"/>
        <v>0.50735632183908042</v>
      </c>
      <c r="H783">
        <v>56</v>
      </c>
      <c r="I783" s="6">
        <f t="shared" si="50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 "/")</f>
        <v>theater</v>
      </c>
      <c r="R783" t="str">
        <v>plays</v>
      </c>
      <c r="S783" s="10">
        <f t="shared" si="51"/>
        <v>40482.208333333336</v>
      </c>
      <c r="T783" s="11">
        <f t="shared" si="52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49"/>
        <v>2.153137254901961</v>
      </c>
      <c r="H784">
        <v>161</v>
      </c>
      <c r="I784" s="6">
        <f t="shared" si="50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 "/")</f>
        <v>film &amp; video</v>
      </c>
      <c r="R784" t="str">
        <v>animation</v>
      </c>
      <c r="S784" s="10">
        <f t="shared" si="51"/>
        <v>40603.25</v>
      </c>
      <c r="T784" s="11">
        <f t="shared" si="52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49"/>
        <v>1.4122972972972974</v>
      </c>
      <c r="H785">
        <v>138</v>
      </c>
      <c r="I785" s="6">
        <f t="shared" si="50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 "/")</f>
        <v>music</v>
      </c>
      <c r="R785" t="str">
        <v>rock</v>
      </c>
      <c r="S785" s="10">
        <f t="shared" si="51"/>
        <v>41625.25</v>
      </c>
      <c r="T785" s="11">
        <f t="shared" si="52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49"/>
        <v>1.1533745781777278</v>
      </c>
      <c r="H786">
        <v>3308</v>
      </c>
      <c r="I786" s="6">
        <f t="shared" si="50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 "/")</f>
        <v>technology</v>
      </c>
      <c r="R786" t="str">
        <v>web</v>
      </c>
      <c r="S786" s="10">
        <f t="shared" si="51"/>
        <v>42435.25</v>
      </c>
      <c r="T786" s="11">
        <f t="shared" si="52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49"/>
        <v>1.9311940298507462</v>
      </c>
      <c r="H787">
        <v>127</v>
      </c>
      <c r="I787" s="6">
        <f t="shared" si="50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 "/")</f>
        <v>film &amp; video</v>
      </c>
      <c r="R787" t="str">
        <v>animation</v>
      </c>
      <c r="S787" s="10">
        <f t="shared" si="51"/>
        <v>43582.208333333328</v>
      </c>
      <c r="T787" s="11">
        <f t="shared" si="52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49"/>
        <v>7.2973333333333334</v>
      </c>
      <c r="H788">
        <v>207</v>
      </c>
      <c r="I788" s="6">
        <f t="shared" si="50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 "/")</f>
        <v>music</v>
      </c>
      <c r="R788" t="str">
        <v>jazz</v>
      </c>
      <c r="S788" s="10">
        <f t="shared" si="51"/>
        <v>43186.208333333328</v>
      </c>
      <c r="T788" s="11">
        <f t="shared" si="52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49"/>
        <v>0.99663398692810456</v>
      </c>
      <c r="H789">
        <v>859</v>
      </c>
      <c r="I789" s="6">
        <f t="shared" si="50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 "/")</f>
        <v>music</v>
      </c>
      <c r="R789" t="str">
        <v>rock</v>
      </c>
      <c r="S789" s="10">
        <f t="shared" si="51"/>
        <v>40684.208333333336</v>
      </c>
      <c r="T789" s="11">
        <f t="shared" si="52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49"/>
        <v>0.88166666666666671</v>
      </c>
      <c r="H790">
        <v>31</v>
      </c>
      <c r="I790" s="6">
        <f t="shared" si="50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 "/")</f>
        <v>film &amp; video</v>
      </c>
      <c r="R790" t="str">
        <v>animation</v>
      </c>
      <c r="S790" s="10">
        <f t="shared" si="51"/>
        <v>41202.208333333336</v>
      </c>
      <c r="T790" s="11">
        <f t="shared" si="52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49"/>
        <v>0.37233333333333335</v>
      </c>
      <c r="H791">
        <v>45</v>
      </c>
      <c r="I791" s="6">
        <f t="shared" si="50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 "/")</f>
        <v>theater</v>
      </c>
      <c r="R791" t="str">
        <v>plays</v>
      </c>
      <c r="S791" s="10">
        <f t="shared" si="51"/>
        <v>41786.208333333336</v>
      </c>
      <c r="T791" s="11">
        <f t="shared" si="52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49"/>
        <v>0.30540075309306081</v>
      </c>
      <c r="H792">
        <v>1113</v>
      </c>
      <c r="I792" s="6">
        <f t="shared" si="50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 "/")</f>
        <v>theater</v>
      </c>
      <c r="R792" t="str">
        <v>plays</v>
      </c>
      <c r="S792" s="10">
        <f t="shared" si="51"/>
        <v>40223.25</v>
      </c>
      <c r="T792" s="11">
        <f t="shared" si="52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49"/>
        <v>0.25714285714285712</v>
      </c>
      <c r="H793">
        <v>6</v>
      </c>
      <c r="I793" s="6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 "/")</f>
        <v>food</v>
      </c>
      <c r="R793" t="str">
        <v>food trucks</v>
      </c>
      <c r="S793" s="10">
        <f t="shared" si="51"/>
        <v>42715.25</v>
      </c>
      <c r="T793" s="11">
        <f t="shared" si="52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49"/>
        <v>0.34</v>
      </c>
      <c r="H794">
        <v>7</v>
      </c>
      <c r="I794" s="6">
        <f t="shared" si="50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 "/")</f>
        <v>theater</v>
      </c>
      <c r="R794" t="str">
        <v>plays</v>
      </c>
      <c r="S794" s="10">
        <f t="shared" si="51"/>
        <v>41451.208333333336</v>
      </c>
      <c r="T794" s="11">
        <f t="shared" si="52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49"/>
        <v>11.859090909090909</v>
      </c>
      <c r="H795">
        <v>181</v>
      </c>
      <c r="I795" s="6">
        <f t="shared" si="50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 "/")</f>
        <v>publishing</v>
      </c>
      <c r="R795" t="str">
        <v>nonfiction</v>
      </c>
      <c r="S795" s="10">
        <f t="shared" si="51"/>
        <v>41450.208333333336</v>
      </c>
      <c r="T795" s="11">
        <f t="shared" si="52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49"/>
        <v>1.2539393939393939</v>
      </c>
      <c r="H796">
        <v>110</v>
      </c>
      <c r="I796" s="6">
        <f t="shared" si="50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 "/")</f>
        <v>music</v>
      </c>
      <c r="R796" t="str">
        <v>rock</v>
      </c>
      <c r="S796" s="10">
        <f t="shared" si="51"/>
        <v>43091.25</v>
      </c>
      <c r="T796" s="11">
        <f t="shared" si="52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49"/>
        <v>0.14394366197183098</v>
      </c>
      <c r="H797">
        <v>31</v>
      </c>
      <c r="I797" s="6">
        <f t="shared" si="50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 "/")</f>
        <v>film &amp; video</v>
      </c>
      <c r="R797" t="str">
        <v>drama</v>
      </c>
      <c r="S797" s="10">
        <f t="shared" si="51"/>
        <v>42675.208333333328</v>
      </c>
      <c r="T797" s="11">
        <f t="shared" si="52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49"/>
        <v>0.54807692307692313</v>
      </c>
      <c r="H798">
        <v>78</v>
      </c>
      <c r="I798" s="6">
        <f t="shared" si="50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 "/")</f>
        <v>games</v>
      </c>
      <c r="R798" t="str">
        <v>mobile games</v>
      </c>
      <c r="S798" s="10">
        <f t="shared" si="51"/>
        <v>41859.208333333336</v>
      </c>
      <c r="T798" s="11">
        <f t="shared" si="52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49"/>
        <v>1.0963157894736841</v>
      </c>
      <c r="H799">
        <v>185</v>
      </c>
      <c r="I799" s="6">
        <f t="shared" si="50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 "/")</f>
        <v>technology</v>
      </c>
      <c r="R799" t="str">
        <v>web</v>
      </c>
      <c r="S799" s="10">
        <f t="shared" si="51"/>
        <v>43464.25</v>
      </c>
      <c r="T799" s="11">
        <f t="shared" si="52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49"/>
        <v>1.8847058823529412</v>
      </c>
      <c r="H800">
        <v>121</v>
      </c>
      <c r="I800" s="6">
        <f t="shared" si="50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 "/")</f>
        <v>theater</v>
      </c>
      <c r="R800" t="str">
        <v>plays</v>
      </c>
      <c r="S800" s="10">
        <f t="shared" si="51"/>
        <v>41060.208333333336</v>
      </c>
      <c r="T800" s="11">
        <f t="shared" si="52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49"/>
        <v>0.87008284023668636</v>
      </c>
      <c r="H801">
        <v>1225</v>
      </c>
      <c r="I801" s="6">
        <f t="shared" si="50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 "/")</f>
        <v>theater</v>
      </c>
      <c r="R801" t="str">
        <v>plays</v>
      </c>
      <c r="S801" s="10">
        <f t="shared" si="51"/>
        <v>42399.25</v>
      </c>
      <c r="T801" s="11">
        <f t="shared" si="52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49"/>
        <v>0.01</v>
      </c>
      <c r="H802">
        <v>1</v>
      </c>
      <c r="I802" s="6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 "/")</f>
        <v>music</v>
      </c>
      <c r="R802" t="str">
        <v>rock</v>
      </c>
      <c r="S802" s="10">
        <f t="shared" si="51"/>
        <v>42167.208333333328</v>
      </c>
      <c r="T802" s="11">
        <f t="shared" si="52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49"/>
        <v>2.0291304347826089</v>
      </c>
      <c r="H803">
        <v>106</v>
      </c>
      <c r="I803" s="6">
        <f t="shared" si="50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 "/")</f>
        <v>photography</v>
      </c>
      <c r="R803" t="str">
        <v>photography books</v>
      </c>
      <c r="S803" s="10">
        <f t="shared" si="51"/>
        <v>43830.25</v>
      </c>
      <c r="T803" s="11">
        <f t="shared" si="52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49"/>
        <v>1.9703225806451612</v>
      </c>
      <c r="H804">
        <v>142</v>
      </c>
      <c r="I804" s="6">
        <f t="shared" si="50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 "/")</f>
        <v>photography</v>
      </c>
      <c r="R804" t="str">
        <v>photography books</v>
      </c>
      <c r="S804" s="10">
        <f t="shared" si="51"/>
        <v>43650.208333333328</v>
      </c>
      <c r="T804" s="11">
        <f t="shared" si="52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49"/>
        <v>1.07</v>
      </c>
      <c r="H805">
        <v>233</v>
      </c>
      <c r="I805" s="6">
        <f t="shared" si="50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 "/")</f>
        <v>theater</v>
      </c>
      <c r="R805" t="str">
        <v>plays</v>
      </c>
      <c r="S805" s="10">
        <f t="shared" si="51"/>
        <v>43492.25</v>
      </c>
      <c r="T805" s="11">
        <f t="shared" si="52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49"/>
        <v>2.6873076923076922</v>
      </c>
      <c r="H806">
        <v>218</v>
      </c>
      <c r="I806" s="6">
        <f t="shared" si="50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 "/")</f>
        <v>music</v>
      </c>
      <c r="R806" t="str">
        <v>rock</v>
      </c>
      <c r="S806" s="10">
        <f t="shared" si="51"/>
        <v>43102.25</v>
      </c>
      <c r="T806" s="11">
        <f t="shared" si="52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49"/>
        <v>0.50845360824742269</v>
      </c>
      <c r="H807">
        <v>67</v>
      </c>
      <c r="I807" s="6">
        <f t="shared" si="50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 "/")</f>
        <v>film &amp; video</v>
      </c>
      <c r="R807" t="str">
        <v>documentary</v>
      </c>
      <c r="S807" s="10">
        <f t="shared" si="51"/>
        <v>41958.25</v>
      </c>
      <c r="T807" s="11">
        <f t="shared" si="52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49"/>
        <v>11.802857142857142</v>
      </c>
      <c r="H808">
        <v>76</v>
      </c>
      <c r="I808" s="6">
        <f t="shared" si="50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 "/")</f>
        <v>film &amp; video</v>
      </c>
      <c r="R808" t="str">
        <v>drama</v>
      </c>
      <c r="S808" s="10">
        <f t="shared" si="51"/>
        <v>40973.25</v>
      </c>
      <c r="T808" s="11">
        <f t="shared" si="52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49"/>
        <v>2.64</v>
      </c>
      <c r="H809">
        <v>43</v>
      </c>
      <c r="I809" s="6">
        <f t="shared" si="50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 "/")</f>
        <v>theater</v>
      </c>
      <c r="R809" t="str">
        <v>plays</v>
      </c>
      <c r="S809" s="10">
        <f t="shared" si="51"/>
        <v>43753.208333333328</v>
      </c>
      <c r="T809" s="11">
        <f t="shared" si="52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49"/>
        <v>0.30442307692307691</v>
      </c>
      <c r="H810">
        <v>19</v>
      </c>
      <c r="I810" s="6">
        <f t="shared" si="50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 "/")</f>
        <v>food</v>
      </c>
      <c r="R810" t="str">
        <v>food trucks</v>
      </c>
      <c r="S810" s="10">
        <f t="shared" si="51"/>
        <v>42507.208333333328</v>
      </c>
      <c r="T810" s="11">
        <f t="shared" si="52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49"/>
        <v>0.62880681818181816</v>
      </c>
      <c r="H811">
        <v>2108</v>
      </c>
      <c r="I811" s="6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 "/")</f>
        <v>film &amp; video</v>
      </c>
      <c r="R811" t="str">
        <v>documentary</v>
      </c>
      <c r="S811" s="10">
        <f t="shared" si="51"/>
        <v>41135.208333333336</v>
      </c>
      <c r="T811" s="11">
        <f t="shared" si="52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49"/>
        <v>1.9312499999999999</v>
      </c>
      <c r="H812">
        <v>221</v>
      </c>
      <c r="I812" s="6">
        <f t="shared" si="50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 "/")</f>
        <v>theater</v>
      </c>
      <c r="R812" t="str">
        <v>plays</v>
      </c>
      <c r="S812" s="10">
        <f t="shared" si="51"/>
        <v>43067.25</v>
      </c>
      <c r="T812" s="11">
        <f t="shared" si="52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49"/>
        <v>0.77102702702702708</v>
      </c>
      <c r="H813">
        <v>679</v>
      </c>
      <c r="I813" s="6">
        <f t="shared" si="50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 "/")</f>
        <v>games</v>
      </c>
      <c r="R813" t="str">
        <v>video games</v>
      </c>
      <c r="S813" s="10">
        <f t="shared" si="51"/>
        <v>42378.25</v>
      </c>
      <c r="T813" s="11">
        <f t="shared" si="52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49"/>
        <v>2.2552763819095478</v>
      </c>
      <c r="H814">
        <v>2805</v>
      </c>
      <c r="I814" s="6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 "/")</f>
        <v>publishing</v>
      </c>
      <c r="R814" t="str">
        <v>nonfiction</v>
      </c>
      <c r="S814" s="10">
        <f t="shared" si="51"/>
        <v>43206.208333333328</v>
      </c>
      <c r="T814" s="11">
        <f t="shared" si="52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49"/>
        <v>2.3940625</v>
      </c>
      <c r="H815">
        <v>68</v>
      </c>
      <c r="I815" s="6">
        <f t="shared" si="50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 "/")</f>
        <v>games</v>
      </c>
      <c r="R815" t="str">
        <v>video games</v>
      </c>
      <c r="S815" s="10">
        <f t="shared" si="51"/>
        <v>41148.208333333336</v>
      </c>
      <c r="T815" s="11">
        <f t="shared" si="52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49"/>
        <v>0.921875</v>
      </c>
      <c r="H816">
        <v>36</v>
      </c>
      <c r="I816" s="6">
        <f t="shared" si="50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 "/")</f>
        <v>music</v>
      </c>
      <c r="R816" t="str">
        <v>rock</v>
      </c>
      <c r="S816" s="10">
        <f t="shared" si="51"/>
        <v>42517.208333333328</v>
      </c>
      <c r="T816" s="11">
        <f t="shared" si="52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49"/>
        <v>1.3023333333333333</v>
      </c>
      <c r="H817">
        <v>183</v>
      </c>
      <c r="I817" s="6">
        <f t="shared" si="50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 "/")</f>
        <v>music</v>
      </c>
      <c r="R817" t="str">
        <v>rock</v>
      </c>
      <c r="S817" s="10">
        <f t="shared" si="51"/>
        <v>43068.25</v>
      </c>
      <c r="T817" s="11">
        <f t="shared" si="52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49"/>
        <v>6.1521739130434785</v>
      </c>
      <c r="H818">
        <v>133</v>
      </c>
      <c r="I818" s="6">
        <f t="shared" si="50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 "/")</f>
        <v>theater</v>
      </c>
      <c r="R818" t="str">
        <v>plays</v>
      </c>
      <c r="S818" s="10">
        <f t="shared" si="51"/>
        <v>41680.25</v>
      </c>
      <c r="T818" s="11">
        <f t="shared" si="52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49"/>
        <v>3.687953216374269</v>
      </c>
      <c r="H819">
        <v>2489</v>
      </c>
      <c r="I819" s="6">
        <f t="shared" si="50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 "/")</f>
        <v>publishing</v>
      </c>
      <c r="R819" t="str">
        <v>nonfiction</v>
      </c>
      <c r="S819" s="10">
        <f t="shared" si="51"/>
        <v>43589.208333333328</v>
      </c>
      <c r="T819" s="11">
        <f t="shared" si="52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49"/>
        <v>10.948571428571428</v>
      </c>
      <c r="H820">
        <v>69</v>
      </c>
      <c r="I820" s="6">
        <f t="shared" si="50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 "/")</f>
        <v>theater</v>
      </c>
      <c r="R820" t="str">
        <v>plays</v>
      </c>
      <c r="S820" s="10">
        <f t="shared" si="51"/>
        <v>43486.25</v>
      </c>
      <c r="T820" s="11">
        <f t="shared" si="52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49"/>
        <v>0.50662921348314605</v>
      </c>
      <c r="H821">
        <v>47</v>
      </c>
      <c r="I821" s="6">
        <f t="shared" si="50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 "/")</f>
        <v>games</v>
      </c>
      <c r="R821" t="str">
        <v>video games</v>
      </c>
      <c r="S821" s="10">
        <f t="shared" si="51"/>
        <v>41237.25</v>
      </c>
      <c r="T821" s="11">
        <f t="shared" si="52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49"/>
        <v>8.0060000000000002</v>
      </c>
      <c r="H822">
        <v>279</v>
      </c>
      <c r="I822" s="6">
        <f t="shared" si="50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 "/")</f>
        <v>music</v>
      </c>
      <c r="R822" t="str">
        <v>rock</v>
      </c>
      <c r="S822" s="10">
        <f t="shared" si="51"/>
        <v>43310.208333333328</v>
      </c>
      <c r="T822" s="11">
        <f t="shared" si="52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49"/>
        <v>2.9128571428571428</v>
      </c>
      <c r="H823">
        <v>210</v>
      </c>
      <c r="I823" s="6">
        <f t="shared" si="50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 "/")</f>
        <v>film &amp; video</v>
      </c>
      <c r="R823" t="str">
        <v>documentary</v>
      </c>
      <c r="S823" s="10">
        <f t="shared" si="51"/>
        <v>42794.25</v>
      </c>
      <c r="T823" s="11">
        <f t="shared" si="52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49"/>
        <v>3.4996666666666667</v>
      </c>
      <c r="H824">
        <v>2100</v>
      </c>
      <c r="I824" s="6">
        <f t="shared" si="50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 "/")</f>
        <v>music</v>
      </c>
      <c r="R824" t="str">
        <v>rock</v>
      </c>
      <c r="S824" s="10">
        <f t="shared" si="51"/>
        <v>41698.25</v>
      </c>
      <c r="T824" s="11">
        <f t="shared" si="52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49"/>
        <v>3.5707317073170732</v>
      </c>
      <c r="H825">
        <v>252</v>
      </c>
      <c r="I825" s="6">
        <f t="shared" si="50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 "/")</f>
        <v>music</v>
      </c>
      <c r="R825" t="str">
        <v>rock</v>
      </c>
      <c r="S825" s="10">
        <f t="shared" si="51"/>
        <v>41892.208333333336</v>
      </c>
      <c r="T825" s="11">
        <f t="shared" si="52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49"/>
        <v>1.2648941176470587</v>
      </c>
      <c r="H826">
        <v>1280</v>
      </c>
      <c r="I826" s="6">
        <f t="shared" si="50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 "/")</f>
        <v>publishing</v>
      </c>
      <c r="R826" t="str">
        <v>nonfiction</v>
      </c>
      <c r="S826" s="10">
        <f t="shared" si="51"/>
        <v>40348.208333333336</v>
      </c>
      <c r="T826" s="11">
        <f t="shared" si="52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49"/>
        <v>3.875</v>
      </c>
      <c r="H827">
        <v>157</v>
      </c>
      <c r="I827" s="6">
        <f t="shared" si="50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 "/")</f>
        <v>film &amp; video</v>
      </c>
      <c r="R827" t="str">
        <v>shorts</v>
      </c>
      <c r="S827" s="10">
        <f t="shared" si="51"/>
        <v>42941.208333333328</v>
      </c>
      <c r="T827" s="11">
        <f t="shared" si="52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49"/>
        <v>4.5703571428571426</v>
      </c>
      <c r="H828">
        <v>194</v>
      </c>
      <c r="I828" s="6">
        <f t="shared" si="50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 "/")</f>
        <v>theater</v>
      </c>
      <c r="R828" t="str">
        <v>plays</v>
      </c>
      <c r="S828" s="10">
        <f t="shared" si="51"/>
        <v>40525.25</v>
      </c>
      <c r="T828" s="11">
        <f t="shared" si="52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49"/>
        <v>2.6669565217391304</v>
      </c>
      <c r="H829">
        <v>82</v>
      </c>
      <c r="I829" s="6">
        <f t="shared" si="50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 "/")</f>
        <v>film &amp; video</v>
      </c>
      <c r="R829" t="str">
        <v>drama</v>
      </c>
      <c r="S829" s="10">
        <f t="shared" si="51"/>
        <v>40666.208333333336</v>
      </c>
      <c r="T829" s="11">
        <f t="shared" si="52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49"/>
        <v>0.69</v>
      </c>
      <c r="H830">
        <v>70</v>
      </c>
      <c r="I830" s="6">
        <f t="shared" si="50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 "/")</f>
        <v>theater</v>
      </c>
      <c r="R830" t="str">
        <v>plays</v>
      </c>
      <c r="S830" s="10">
        <f t="shared" si="51"/>
        <v>43340.208333333328</v>
      </c>
      <c r="T830" s="11">
        <f t="shared" si="52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49"/>
        <v>0.51343749999999999</v>
      </c>
      <c r="H831">
        <v>154</v>
      </c>
      <c r="I831" s="6">
        <f t="shared" si="50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 "/")</f>
        <v>theater</v>
      </c>
      <c r="R831" t="str">
        <v>plays</v>
      </c>
      <c r="S831" s="10">
        <f t="shared" si="51"/>
        <v>42164.208333333328</v>
      </c>
      <c r="T831" s="11">
        <f t="shared" si="52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49"/>
        <v>1.1710526315789473E-2</v>
      </c>
      <c r="H832">
        <v>22</v>
      </c>
      <c r="I832" s="6">
        <f t="shared" si="50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 "/")</f>
        <v>theater</v>
      </c>
      <c r="R832" t="str">
        <v>plays</v>
      </c>
      <c r="S832" s="10">
        <f t="shared" si="51"/>
        <v>43103.25</v>
      </c>
      <c r="T832" s="11">
        <f t="shared" si="52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49"/>
        <v>1.089773429454171</v>
      </c>
      <c r="H833">
        <v>4233</v>
      </c>
      <c r="I833" s="6">
        <f t="shared" si="50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 "/")</f>
        <v>photography</v>
      </c>
      <c r="R833" t="str">
        <v>photography books</v>
      </c>
      <c r="S833" s="10">
        <f t="shared" si="51"/>
        <v>40994.208333333336</v>
      </c>
      <c r="T833" s="11">
        <f t="shared" si="52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ref="G834:G897" si="53">E834/D834</f>
        <v>3.1517592592592591</v>
      </c>
      <c r="H834">
        <v>1297</v>
      </c>
      <c r="I834" s="6">
        <f t="shared" ref="I834:I897" si="54">IF(E834,E834/H834,0)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 "/")</f>
        <v>publishing</v>
      </c>
      <c r="R834" t="str">
        <v>translations</v>
      </c>
      <c r="S834" s="10">
        <f t="shared" ref="S834:S897" si="55">(((L834/60)/60)/24)+DATE(1970,1,1)</f>
        <v>42299.208333333328</v>
      </c>
      <c r="T834" s="11">
        <f t="shared" ref="T834:T897" si="56">(((M834/60)/60)/24)+DATE(1970,1,1)</f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si="53"/>
        <v>1.5769117647058823</v>
      </c>
      <c r="H835">
        <v>165</v>
      </c>
      <c r="I835" s="6">
        <f t="shared" si="54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 "/")</f>
        <v>publishing</v>
      </c>
      <c r="R835" t="str">
        <v>translations</v>
      </c>
      <c r="S835" s="10">
        <f t="shared" si="55"/>
        <v>40588.25</v>
      </c>
      <c r="T835" s="11">
        <f t="shared" si="56"/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si="53"/>
        <v>1.5380821917808218</v>
      </c>
      <c r="H836">
        <v>119</v>
      </c>
      <c r="I836" s="6">
        <f t="shared" si="54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 "/")</f>
        <v>theater</v>
      </c>
      <c r="R836" t="str">
        <v>plays</v>
      </c>
      <c r="S836" s="10">
        <f t="shared" si="55"/>
        <v>41448.208333333336</v>
      </c>
      <c r="T836" s="11">
        <f t="shared" si="56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53"/>
        <v>0.89738979118329465</v>
      </c>
      <c r="H837">
        <v>1758</v>
      </c>
      <c r="I837" s="6">
        <f t="shared" si="54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 "/")</f>
        <v>technology</v>
      </c>
      <c r="R837" t="str">
        <v>web</v>
      </c>
      <c r="S837" s="10">
        <f t="shared" si="55"/>
        <v>42063.25</v>
      </c>
      <c r="T837" s="11">
        <f t="shared" si="56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53"/>
        <v>0.75135802469135804</v>
      </c>
      <c r="H838">
        <v>94</v>
      </c>
      <c r="I838" s="6">
        <f t="shared" si="54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 "/")</f>
        <v>music</v>
      </c>
      <c r="R838" t="str">
        <v>indie rock</v>
      </c>
      <c r="S838" s="10">
        <f t="shared" si="55"/>
        <v>40214.25</v>
      </c>
      <c r="T838" s="11">
        <f t="shared" si="56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53"/>
        <v>8.5288135593220336</v>
      </c>
      <c r="H839">
        <v>1797</v>
      </c>
      <c r="I839" s="6">
        <f t="shared" si="54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 "/")</f>
        <v>music</v>
      </c>
      <c r="R839" t="str">
        <v>jazz</v>
      </c>
      <c r="S839" s="10">
        <f t="shared" si="55"/>
        <v>40629.208333333336</v>
      </c>
      <c r="T839" s="11">
        <f t="shared" si="56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53"/>
        <v>1.3890625000000001</v>
      </c>
      <c r="H840">
        <v>261</v>
      </c>
      <c r="I840" s="6">
        <f t="shared" si="54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 "/")</f>
        <v>theater</v>
      </c>
      <c r="R840" t="str">
        <v>plays</v>
      </c>
      <c r="S840" s="10">
        <f t="shared" si="55"/>
        <v>43370.208333333328</v>
      </c>
      <c r="T840" s="11">
        <f t="shared" si="56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53"/>
        <v>1.9018181818181819</v>
      </c>
      <c r="H841">
        <v>157</v>
      </c>
      <c r="I841" s="6">
        <f t="shared" si="54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 "/")</f>
        <v>film &amp; video</v>
      </c>
      <c r="R841" t="str">
        <v>documentary</v>
      </c>
      <c r="S841" s="10">
        <f t="shared" si="55"/>
        <v>41715.208333333336</v>
      </c>
      <c r="T841" s="11">
        <f t="shared" si="56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53"/>
        <v>1.0024333619948409</v>
      </c>
      <c r="H842">
        <v>3533</v>
      </c>
      <c r="I842" s="6">
        <f t="shared" si="54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 "/")</f>
        <v>theater</v>
      </c>
      <c r="R842" t="str">
        <v>plays</v>
      </c>
      <c r="S842" s="10">
        <f t="shared" si="55"/>
        <v>41836.208333333336</v>
      </c>
      <c r="T842" s="11">
        <f t="shared" si="56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53"/>
        <v>1.4275824175824177</v>
      </c>
      <c r="H843">
        <v>155</v>
      </c>
      <c r="I843" s="6">
        <f t="shared" si="54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 "/")</f>
        <v>technology</v>
      </c>
      <c r="R843" t="str">
        <v>web</v>
      </c>
      <c r="S843" s="10">
        <f t="shared" si="55"/>
        <v>42419.25</v>
      </c>
      <c r="T843" s="11">
        <f t="shared" si="56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53"/>
        <v>5.6313333333333331</v>
      </c>
      <c r="H844">
        <v>132</v>
      </c>
      <c r="I844" s="6">
        <f t="shared" si="54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 "/")</f>
        <v>technology</v>
      </c>
      <c r="R844" t="str">
        <v>wearables</v>
      </c>
      <c r="S844" s="10">
        <f t="shared" si="55"/>
        <v>43266.208333333328</v>
      </c>
      <c r="T844" s="11">
        <f t="shared" si="56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53"/>
        <v>0.30715909090909088</v>
      </c>
      <c r="H845">
        <v>33</v>
      </c>
      <c r="I845" s="6">
        <f t="shared" si="54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 "/")</f>
        <v>photography</v>
      </c>
      <c r="R845" t="str">
        <v>photography books</v>
      </c>
      <c r="S845" s="10">
        <f t="shared" si="55"/>
        <v>43338.208333333328</v>
      </c>
      <c r="T845" s="11">
        <f t="shared" si="56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53"/>
        <v>0.99397727272727276</v>
      </c>
      <c r="H846">
        <v>94</v>
      </c>
      <c r="I846" s="6">
        <f t="shared" si="54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 "/")</f>
        <v>film &amp; video</v>
      </c>
      <c r="R846" t="str">
        <v>documentary</v>
      </c>
      <c r="S846" s="10">
        <f t="shared" si="55"/>
        <v>40930.25</v>
      </c>
      <c r="T846" s="11">
        <f t="shared" si="56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53"/>
        <v>1.9754935622317598</v>
      </c>
      <c r="H847">
        <v>1354</v>
      </c>
      <c r="I847" s="6">
        <f t="shared" si="54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 "/")</f>
        <v>technology</v>
      </c>
      <c r="R847" t="str">
        <v>web</v>
      </c>
      <c r="S847" s="10">
        <f t="shared" si="55"/>
        <v>43235.208333333328</v>
      </c>
      <c r="T847" s="11">
        <f t="shared" si="56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53"/>
        <v>5.085</v>
      </c>
      <c r="H848">
        <v>48</v>
      </c>
      <c r="I848" s="6">
        <f t="shared" si="54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 "/")</f>
        <v>technology</v>
      </c>
      <c r="R848" t="str">
        <v>web</v>
      </c>
      <c r="S848" s="10">
        <f t="shared" si="55"/>
        <v>43302.208333333328</v>
      </c>
      <c r="T848" s="11">
        <f t="shared" si="56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53"/>
        <v>2.3774468085106384</v>
      </c>
      <c r="H849">
        <v>110</v>
      </c>
      <c r="I849" s="6">
        <f t="shared" si="54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 "/")</f>
        <v>food</v>
      </c>
      <c r="R849" t="str">
        <v>food trucks</v>
      </c>
      <c r="S849" s="10">
        <f t="shared" si="55"/>
        <v>43107.25</v>
      </c>
      <c r="T849" s="11">
        <f t="shared" si="56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53"/>
        <v>3.3846875000000001</v>
      </c>
      <c r="H850">
        <v>172</v>
      </c>
      <c r="I850" s="6">
        <f t="shared" si="54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 "/")</f>
        <v>film &amp; video</v>
      </c>
      <c r="R850" t="str">
        <v>drama</v>
      </c>
      <c r="S850" s="10">
        <f t="shared" si="55"/>
        <v>40341.208333333336</v>
      </c>
      <c r="T850" s="11">
        <f t="shared" si="56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53"/>
        <v>1.3308955223880596</v>
      </c>
      <c r="H851">
        <v>307</v>
      </c>
      <c r="I851" s="6">
        <f t="shared" si="54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 "/")</f>
        <v>music</v>
      </c>
      <c r="R851" t="str">
        <v>indie rock</v>
      </c>
      <c r="S851" s="10">
        <f t="shared" si="55"/>
        <v>40948.25</v>
      </c>
      <c r="T851" s="11">
        <f t="shared" si="56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53"/>
        <v>0.01</v>
      </c>
      <c r="H852">
        <v>1</v>
      </c>
      <c r="I852" s="6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 "/")</f>
        <v>music</v>
      </c>
      <c r="R852" t="str">
        <v>rock</v>
      </c>
      <c r="S852" s="10">
        <f t="shared" si="55"/>
        <v>40866.25</v>
      </c>
      <c r="T852" s="11">
        <f t="shared" si="56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53"/>
        <v>2.0779999999999998</v>
      </c>
      <c r="H853">
        <v>160</v>
      </c>
      <c r="I853" s="6">
        <f t="shared" si="54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 "/")</f>
        <v>music</v>
      </c>
      <c r="R853" t="str">
        <v>electric music</v>
      </c>
      <c r="S853" s="10">
        <f t="shared" si="55"/>
        <v>41031.208333333336</v>
      </c>
      <c r="T853" s="11">
        <f t="shared" si="56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53"/>
        <v>0.51122448979591839</v>
      </c>
      <c r="H854">
        <v>31</v>
      </c>
      <c r="I854" s="6">
        <f t="shared" si="54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 "/")</f>
        <v>games</v>
      </c>
      <c r="R854" t="str">
        <v>video games</v>
      </c>
      <c r="S854" s="10">
        <f t="shared" si="55"/>
        <v>40740.208333333336</v>
      </c>
      <c r="T854" s="11">
        <f t="shared" si="56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53"/>
        <v>6.5205847953216374</v>
      </c>
      <c r="H855">
        <v>1467</v>
      </c>
      <c r="I855" s="6">
        <f t="shared" si="54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 "/")</f>
        <v>music</v>
      </c>
      <c r="R855" t="str">
        <v>indie rock</v>
      </c>
      <c r="S855" s="10">
        <f t="shared" si="55"/>
        <v>40714.208333333336</v>
      </c>
      <c r="T855" s="11">
        <f t="shared" si="56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53"/>
        <v>1.1363099415204678</v>
      </c>
      <c r="H856">
        <v>2662</v>
      </c>
      <c r="I856" s="6">
        <f t="shared" si="54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 "/")</f>
        <v>publishing</v>
      </c>
      <c r="R856" t="str">
        <v>fiction</v>
      </c>
      <c r="S856" s="10">
        <f t="shared" si="55"/>
        <v>43787.25</v>
      </c>
      <c r="T856" s="11">
        <f t="shared" si="56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53"/>
        <v>1.0237606837606839</v>
      </c>
      <c r="H857">
        <v>452</v>
      </c>
      <c r="I857" s="6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 "/")</f>
        <v>theater</v>
      </c>
      <c r="R857" t="str">
        <v>plays</v>
      </c>
      <c r="S857" s="10">
        <f t="shared" si="55"/>
        <v>40712.208333333336</v>
      </c>
      <c r="T857" s="11">
        <f t="shared" si="56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53"/>
        <v>3.5658333333333334</v>
      </c>
      <c r="H858">
        <v>158</v>
      </c>
      <c r="I858" s="6">
        <f t="shared" si="54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 "/")</f>
        <v>food</v>
      </c>
      <c r="R858" t="str">
        <v>food trucks</v>
      </c>
      <c r="S858" s="10">
        <f t="shared" si="55"/>
        <v>41023.208333333336</v>
      </c>
      <c r="T858" s="11">
        <f t="shared" si="56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53"/>
        <v>1.3986792452830188</v>
      </c>
      <c r="H859">
        <v>225</v>
      </c>
      <c r="I859" s="6">
        <f t="shared" si="54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 "/")</f>
        <v>film &amp; video</v>
      </c>
      <c r="R859" t="str">
        <v>shorts</v>
      </c>
      <c r="S859" s="10">
        <f t="shared" si="55"/>
        <v>40944.25</v>
      </c>
      <c r="T859" s="11">
        <f t="shared" si="56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53"/>
        <v>0.69450000000000001</v>
      </c>
      <c r="H860">
        <v>35</v>
      </c>
      <c r="I860" s="6">
        <f t="shared" si="54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 "/")</f>
        <v>food</v>
      </c>
      <c r="R860" t="str">
        <v>food trucks</v>
      </c>
      <c r="S860" s="10">
        <f t="shared" si="55"/>
        <v>43211.208333333328</v>
      </c>
      <c r="T860" s="11">
        <f t="shared" si="56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53"/>
        <v>0.35534246575342465</v>
      </c>
      <c r="H861">
        <v>63</v>
      </c>
      <c r="I861" s="6">
        <f t="shared" si="54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 "/")</f>
        <v>theater</v>
      </c>
      <c r="R861" t="str">
        <v>plays</v>
      </c>
      <c r="S861" s="10">
        <f t="shared" si="55"/>
        <v>41334.25</v>
      </c>
      <c r="T861" s="11">
        <f t="shared" si="56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53"/>
        <v>2.5165000000000002</v>
      </c>
      <c r="H862">
        <v>65</v>
      </c>
      <c r="I862" s="6">
        <f t="shared" si="54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 "/")</f>
        <v>technology</v>
      </c>
      <c r="R862" t="str">
        <v>wearables</v>
      </c>
      <c r="S862" s="10">
        <f t="shared" si="55"/>
        <v>43515.25</v>
      </c>
      <c r="T862" s="11">
        <f t="shared" si="56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53"/>
        <v>1.0587500000000001</v>
      </c>
      <c r="H863">
        <v>163</v>
      </c>
      <c r="I863" s="6">
        <f t="shared" si="54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 "/")</f>
        <v>theater</v>
      </c>
      <c r="R863" t="str">
        <v>plays</v>
      </c>
      <c r="S863" s="10">
        <f t="shared" si="55"/>
        <v>40258.208333333336</v>
      </c>
      <c r="T863" s="11">
        <f t="shared" si="56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53"/>
        <v>1.8742857142857143</v>
      </c>
      <c r="H864">
        <v>85</v>
      </c>
      <c r="I864" s="6">
        <f t="shared" si="54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 "/")</f>
        <v>theater</v>
      </c>
      <c r="R864" t="str">
        <v>plays</v>
      </c>
      <c r="S864" s="10">
        <f t="shared" si="55"/>
        <v>40756.208333333336</v>
      </c>
      <c r="T864" s="11">
        <f t="shared" si="56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53"/>
        <v>3.8678571428571429</v>
      </c>
      <c r="H865">
        <v>217</v>
      </c>
      <c r="I865" s="6">
        <f t="shared" si="54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 "/")</f>
        <v>film &amp; video</v>
      </c>
      <c r="R865" t="str">
        <v>television</v>
      </c>
      <c r="S865" s="10">
        <f t="shared" si="55"/>
        <v>42172.208333333328</v>
      </c>
      <c r="T865" s="11">
        <f t="shared" si="56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53"/>
        <v>3.4707142857142856</v>
      </c>
      <c r="H866">
        <v>150</v>
      </c>
      <c r="I866" s="6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 "/")</f>
        <v>film &amp; video</v>
      </c>
      <c r="R866" t="str">
        <v>shorts</v>
      </c>
      <c r="S866" s="10">
        <f t="shared" si="55"/>
        <v>42601.208333333328</v>
      </c>
      <c r="T866" s="11">
        <f t="shared" si="56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53"/>
        <v>1.8582098765432098</v>
      </c>
      <c r="H867">
        <v>3272</v>
      </c>
      <c r="I867" s="6">
        <f t="shared" si="54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 "/")</f>
        <v>theater</v>
      </c>
      <c r="R867" t="str">
        <v>plays</v>
      </c>
      <c r="S867" s="10">
        <f t="shared" si="55"/>
        <v>41897.208333333336</v>
      </c>
      <c r="T867" s="11">
        <f t="shared" si="56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53"/>
        <v>0.43241247264770238</v>
      </c>
      <c r="H868">
        <v>898</v>
      </c>
      <c r="I868" s="6">
        <f t="shared" si="54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 "/")</f>
        <v>photography</v>
      </c>
      <c r="R868" t="str">
        <v>photography books</v>
      </c>
      <c r="S868" s="10">
        <f t="shared" si="55"/>
        <v>40671.208333333336</v>
      </c>
      <c r="T868" s="11">
        <f t="shared" si="56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53"/>
        <v>1.6243749999999999</v>
      </c>
      <c r="H869">
        <v>300</v>
      </c>
      <c r="I869" s="6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 "/")</f>
        <v>food</v>
      </c>
      <c r="R869" t="str">
        <v>food trucks</v>
      </c>
      <c r="S869" s="10">
        <f t="shared" si="55"/>
        <v>43382.208333333328</v>
      </c>
      <c r="T869" s="11">
        <f t="shared" si="56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53"/>
        <v>1.8484285714285715</v>
      </c>
      <c r="H870">
        <v>126</v>
      </c>
      <c r="I870" s="6">
        <f t="shared" si="54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 "/")</f>
        <v>theater</v>
      </c>
      <c r="R870" t="str">
        <v>plays</v>
      </c>
      <c r="S870" s="10">
        <f t="shared" si="55"/>
        <v>41559.208333333336</v>
      </c>
      <c r="T870" s="11">
        <f t="shared" si="56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53"/>
        <v>0.23703520691785052</v>
      </c>
      <c r="H871">
        <v>526</v>
      </c>
      <c r="I871" s="6">
        <f t="shared" si="54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 "/")</f>
        <v>film &amp; video</v>
      </c>
      <c r="R871" t="str">
        <v>drama</v>
      </c>
      <c r="S871" s="10">
        <f t="shared" si="55"/>
        <v>40350.208333333336</v>
      </c>
      <c r="T871" s="11">
        <f t="shared" si="56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53"/>
        <v>0.89870129870129867</v>
      </c>
      <c r="H872">
        <v>121</v>
      </c>
      <c r="I872" s="6">
        <f t="shared" si="54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 "/")</f>
        <v>theater</v>
      </c>
      <c r="R872" t="str">
        <v>plays</v>
      </c>
      <c r="S872" s="10">
        <f t="shared" si="55"/>
        <v>42240.208333333328</v>
      </c>
      <c r="T872" s="11">
        <f t="shared" si="56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53"/>
        <v>2.7260419580419581</v>
      </c>
      <c r="H873">
        <v>2320</v>
      </c>
      <c r="I873" s="6">
        <f t="shared" si="54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 "/")</f>
        <v>theater</v>
      </c>
      <c r="R873" t="str">
        <v>plays</v>
      </c>
      <c r="S873" s="10">
        <f t="shared" si="55"/>
        <v>43040.208333333328</v>
      </c>
      <c r="T873" s="11">
        <f t="shared" si="56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53"/>
        <v>1.7004255319148935</v>
      </c>
      <c r="H874">
        <v>81</v>
      </c>
      <c r="I874" s="6">
        <f t="shared" si="54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 "/")</f>
        <v>film &amp; video</v>
      </c>
      <c r="R874" t="str">
        <v>science fiction</v>
      </c>
      <c r="S874" s="10">
        <f t="shared" si="55"/>
        <v>43346.208333333328</v>
      </c>
      <c r="T874" s="11">
        <f t="shared" si="56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53"/>
        <v>1.8828503562945369</v>
      </c>
      <c r="H875">
        <v>1887</v>
      </c>
      <c r="I875" s="6">
        <f t="shared" si="54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 "/")</f>
        <v>photography</v>
      </c>
      <c r="R875" t="str">
        <v>photography books</v>
      </c>
      <c r="S875" s="10">
        <f t="shared" si="55"/>
        <v>41647.25</v>
      </c>
      <c r="T875" s="11">
        <f t="shared" si="56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53"/>
        <v>3.4693532338308457</v>
      </c>
      <c r="H876">
        <v>4358</v>
      </c>
      <c r="I876" s="6">
        <f t="shared" si="54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 "/")</f>
        <v>photography</v>
      </c>
      <c r="R876" t="str">
        <v>photography books</v>
      </c>
      <c r="S876" s="10">
        <f t="shared" si="55"/>
        <v>40291.208333333336</v>
      </c>
      <c r="T876" s="11">
        <f t="shared" si="56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53"/>
        <v>0.6917721518987342</v>
      </c>
      <c r="H877">
        <v>67</v>
      </c>
      <c r="I877" s="6">
        <f t="shared" si="54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 "/")</f>
        <v>music</v>
      </c>
      <c r="R877" t="str">
        <v>rock</v>
      </c>
      <c r="S877" s="10">
        <f t="shared" si="55"/>
        <v>40556.25</v>
      </c>
      <c r="T877" s="11">
        <f t="shared" si="56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53"/>
        <v>0.25433734939759034</v>
      </c>
      <c r="H878">
        <v>57</v>
      </c>
      <c r="I878" s="6">
        <f t="shared" si="54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 "/")</f>
        <v>photography</v>
      </c>
      <c r="R878" t="str">
        <v>photography books</v>
      </c>
      <c r="S878" s="10">
        <f t="shared" si="55"/>
        <v>43624.208333333328</v>
      </c>
      <c r="T878" s="11">
        <f t="shared" si="56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53"/>
        <v>0.77400977995110021</v>
      </c>
      <c r="H879">
        <v>1229</v>
      </c>
      <c r="I879" s="6">
        <f t="shared" si="54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 "/")</f>
        <v>food</v>
      </c>
      <c r="R879" t="str">
        <v>food trucks</v>
      </c>
      <c r="S879" s="10">
        <f t="shared" si="55"/>
        <v>42577.208333333328</v>
      </c>
      <c r="T879" s="11">
        <f t="shared" si="56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53"/>
        <v>0.37481481481481482</v>
      </c>
      <c r="H880">
        <v>12</v>
      </c>
      <c r="I880" s="6">
        <f t="shared" si="54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 "/")</f>
        <v>music</v>
      </c>
      <c r="R880" t="str">
        <v>metal</v>
      </c>
      <c r="S880" s="10">
        <f t="shared" si="55"/>
        <v>43845.25</v>
      </c>
      <c r="T880" s="11">
        <f t="shared" si="56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53"/>
        <v>5.4379999999999997</v>
      </c>
      <c r="H881">
        <v>53</v>
      </c>
      <c r="I881" s="6">
        <f t="shared" si="54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 "/")</f>
        <v>publishing</v>
      </c>
      <c r="R881" t="str">
        <v>nonfiction</v>
      </c>
      <c r="S881" s="10">
        <f t="shared" si="55"/>
        <v>42788.25</v>
      </c>
      <c r="T881" s="11">
        <f t="shared" si="56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53"/>
        <v>2.2852189349112426</v>
      </c>
      <c r="H882">
        <v>2414</v>
      </c>
      <c r="I882" s="6">
        <f t="shared" si="54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 "/")</f>
        <v>music</v>
      </c>
      <c r="R882" t="str">
        <v>electric music</v>
      </c>
      <c r="S882" s="10">
        <f t="shared" si="55"/>
        <v>43667.208333333328</v>
      </c>
      <c r="T882" s="11">
        <f t="shared" si="56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53"/>
        <v>0.38948339483394834</v>
      </c>
      <c r="H883">
        <v>452</v>
      </c>
      <c r="I883" s="6">
        <f t="shared" si="54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 "/")</f>
        <v>theater</v>
      </c>
      <c r="R883" t="str">
        <v>plays</v>
      </c>
      <c r="S883" s="10">
        <f t="shared" si="55"/>
        <v>42194.208333333328</v>
      </c>
      <c r="T883" s="11">
        <f t="shared" si="56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53"/>
        <v>3.7</v>
      </c>
      <c r="H884">
        <v>80</v>
      </c>
      <c r="I884" s="6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 "/")</f>
        <v>theater</v>
      </c>
      <c r="R884" t="str">
        <v>plays</v>
      </c>
      <c r="S884" s="10">
        <f t="shared" si="55"/>
        <v>42025.25</v>
      </c>
      <c r="T884" s="11">
        <f t="shared" si="56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53"/>
        <v>2.3791176470588233</v>
      </c>
      <c r="H885">
        <v>193</v>
      </c>
      <c r="I885" s="6">
        <f t="shared" si="54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 "/")</f>
        <v>film &amp; video</v>
      </c>
      <c r="R885" t="str">
        <v>shorts</v>
      </c>
      <c r="S885" s="10">
        <f t="shared" si="55"/>
        <v>40323.208333333336</v>
      </c>
      <c r="T885" s="11">
        <f t="shared" si="56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53"/>
        <v>0.64036299765807958</v>
      </c>
      <c r="H886">
        <v>1886</v>
      </c>
      <c r="I886" s="6">
        <f t="shared" si="54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 "/")</f>
        <v>theater</v>
      </c>
      <c r="R886" t="str">
        <v>plays</v>
      </c>
      <c r="S886" s="10">
        <f t="shared" si="55"/>
        <v>41763.208333333336</v>
      </c>
      <c r="T886" s="11">
        <f t="shared" si="56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53"/>
        <v>1.1827777777777777</v>
      </c>
      <c r="H887">
        <v>52</v>
      </c>
      <c r="I887" s="6">
        <f t="shared" si="54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 "/")</f>
        <v>theater</v>
      </c>
      <c r="R887" t="str">
        <v>plays</v>
      </c>
      <c r="S887" s="10">
        <f t="shared" si="55"/>
        <v>40335.208333333336</v>
      </c>
      <c r="T887" s="11">
        <f t="shared" si="56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53"/>
        <v>0.84824037184594958</v>
      </c>
      <c r="H888">
        <v>1825</v>
      </c>
      <c r="I888" s="6">
        <f t="shared" si="54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 "/")</f>
        <v>music</v>
      </c>
      <c r="R888" t="str">
        <v>indie rock</v>
      </c>
      <c r="S888" s="10">
        <f t="shared" si="55"/>
        <v>40416.208333333336</v>
      </c>
      <c r="T888" s="11">
        <f t="shared" si="56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53"/>
        <v>0.29346153846153844</v>
      </c>
      <c r="H889">
        <v>31</v>
      </c>
      <c r="I889" s="6">
        <f t="shared" si="54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 "/")</f>
        <v>theater</v>
      </c>
      <c r="R889" t="str">
        <v>plays</v>
      </c>
      <c r="S889" s="10">
        <f t="shared" si="55"/>
        <v>42202.208333333328</v>
      </c>
      <c r="T889" s="11">
        <f t="shared" si="56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53"/>
        <v>2.0989655172413793</v>
      </c>
      <c r="H890">
        <v>290</v>
      </c>
      <c r="I890" s="6">
        <f t="shared" si="54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 "/")</f>
        <v>theater</v>
      </c>
      <c r="R890" t="str">
        <v>plays</v>
      </c>
      <c r="S890" s="10">
        <f t="shared" si="55"/>
        <v>42836.208333333328</v>
      </c>
      <c r="T890" s="11">
        <f t="shared" si="56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53"/>
        <v>1.697857142857143</v>
      </c>
      <c r="H891">
        <v>122</v>
      </c>
      <c r="I891" s="6">
        <f t="shared" si="54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 "/")</f>
        <v>music</v>
      </c>
      <c r="R891" t="str">
        <v>electric music</v>
      </c>
      <c r="S891" s="10">
        <f t="shared" si="55"/>
        <v>41710.208333333336</v>
      </c>
      <c r="T891" s="11">
        <f t="shared" si="56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53"/>
        <v>1.1595907738095239</v>
      </c>
      <c r="H892">
        <v>1470</v>
      </c>
      <c r="I892" s="6">
        <f t="shared" si="54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 "/")</f>
        <v>music</v>
      </c>
      <c r="R892" t="str">
        <v>indie rock</v>
      </c>
      <c r="S892" s="10">
        <f t="shared" si="55"/>
        <v>43640.208333333328</v>
      </c>
      <c r="T892" s="11">
        <f t="shared" si="56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53"/>
        <v>2.5859999999999999</v>
      </c>
      <c r="H893">
        <v>165</v>
      </c>
      <c r="I893" s="6">
        <f t="shared" si="54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 "/")</f>
        <v>film &amp; video</v>
      </c>
      <c r="R893" t="str">
        <v>documentary</v>
      </c>
      <c r="S893" s="10">
        <f t="shared" si="55"/>
        <v>40880.25</v>
      </c>
      <c r="T893" s="11">
        <f t="shared" si="56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53"/>
        <v>2.3058333333333332</v>
      </c>
      <c r="H894">
        <v>182</v>
      </c>
      <c r="I894" s="6">
        <f t="shared" si="54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 "/")</f>
        <v>publishing</v>
      </c>
      <c r="R894" t="str">
        <v>translations</v>
      </c>
      <c r="S894" s="10">
        <f t="shared" si="55"/>
        <v>40319.208333333336</v>
      </c>
      <c r="T894" s="11">
        <f t="shared" si="56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53"/>
        <v>1.2821428571428573</v>
      </c>
      <c r="H895">
        <v>199</v>
      </c>
      <c r="I895" s="6">
        <f t="shared" si="54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 "/")</f>
        <v>film &amp; video</v>
      </c>
      <c r="R895" t="str">
        <v>documentary</v>
      </c>
      <c r="S895" s="10">
        <f t="shared" si="55"/>
        <v>42170.208333333328</v>
      </c>
      <c r="T895" s="11">
        <f t="shared" si="56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53"/>
        <v>1.8870588235294117</v>
      </c>
      <c r="H896">
        <v>56</v>
      </c>
      <c r="I896" s="6">
        <f t="shared" si="54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 "/")</f>
        <v>film &amp; video</v>
      </c>
      <c r="R896" t="str">
        <v>television</v>
      </c>
      <c r="S896" s="10">
        <f t="shared" si="55"/>
        <v>41466.208333333336</v>
      </c>
      <c r="T896" s="11">
        <f t="shared" si="56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53"/>
        <v>6.9511889862327911E-2</v>
      </c>
      <c r="H897">
        <v>107</v>
      </c>
      <c r="I897" s="6">
        <f t="shared" si="54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 "/")</f>
        <v>theater</v>
      </c>
      <c r="R897" t="str">
        <v>plays</v>
      </c>
      <c r="S897" s="10">
        <f t="shared" si="55"/>
        <v>43134.25</v>
      </c>
      <c r="T897" s="11">
        <f t="shared" si="56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ref="G898:G961" si="57">E898/D898</f>
        <v>7.7443434343434348</v>
      </c>
      <c r="H898">
        <v>1460</v>
      </c>
      <c r="I898" s="6">
        <f t="shared" ref="I898:I961" si="58">IF(E898,E898/H898,0)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 "/")</f>
        <v>food</v>
      </c>
      <c r="R898" t="str">
        <v>food trucks</v>
      </c>
      <c r="S898" s="10">
        <f t="shared" ref="S898:S961" si="59">(((L898/60)/60)/24)+DATE(1970,1,1)</f>
        <v>40738.208333333336</v>
      </c>
      <c r="T898" s="11">
        <f t="shared" ref="T898:T961" si="60">(((M898/60)/60)/24)+DATE(1970,1,1)</f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si="57"/>
        <v>0.27693181818181817</v>
      </c>
      <c r="H899">
        <v>27</v>
      </c>
      <c r="I899" s="6">
        <f t="shared" si="58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 "/")</f>
        <v>theater</v>
      </c>
      <c r="R899" t="str">
        <v>plays</v>
      </c>
      <c r="S899" s="10">
        <f t="shared" si="59"/>
        <v>43583.208333333328</v>
      </c>
      <c r="T899" s="11">
        <f t="shared" si="60"/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si="57"/>
        <v>0.52479620323841425</v>
      </c>
      <c r="H900">
        <v>1221</v>
      </c>
      <c r="I900" s="6">
        <f t="shared" si="58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 "/")</f>
        <v>film &amp; video</v>
      </c>
      <c r="R900" t="str">
        <v>documentary</v>
      </c>
      <c r="S900" s="10">
        <f t="shared" si="59"/>
        <v>43815.25</v>
      </c>
      <c r="T900" s="11">
        <f t="shared" si="60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57"/>
        <v>4.0709677419354842</v>
      </c>
      <c r="H901">
        <v>123</v>
      </c>
      <c r="I901" s="6">
        <f t="shared" si="5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 "/")</f>
        <v>music</v>
      </c>
      <c r="R901" t="str">
        <v>jazz</v>
      </c>
      <c r="S901" s="10">
        <f t="shared" si="59"/>
        <v>41554.208333333336</v>
      </c>
      <c r="T901" s="11">
        <f t="shared" si="60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57"/>
        <v>0.02</v>
      </c>
      <c r="H902">
        <v>1</v>
      </c>
      <c r="I902" s="6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 "/")</f>
        <v>technology</v>
      </c>
      <c r="R902" t="str">
        <v>web</v>
      </c>
      <c r="S902" s="10">
        <f t="shared" si="59"/>
        <v>41901.208333333336</v>
      </c>
      <c r="T902" s="11">
        <f t="shared" si="60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57"/>
        <v>1.5617857142857143</v>
      </c>
      <c r="H903">
        <v>159</v>
      </c>
      <c r="I903" s="6">
        <f t="shared" si="5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 "/")</f>
        <v>music</v>
      </c>
      <c r="R903" t="str">
        <v>rock</v>
      </c>
      <c r="S903" s="10">
        <f t="shared" si="59"/>
        <v>43298.208333333328</v>
      </c>
      <c r="T903" s="11">
        <f t="shared" si="60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57"/>
        <v>2.5242857142857145</v>
      </c>
      <c r="H904">
        <v>110</v>
      </c>
      <c r="I904" s="6">
        <f t="shared" si="5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 "/")</f>
        <v>technology</v>
      </c>
      <c r="R904" t="str">
        <v>web</v>
      </c>
      <c r="S904" s="10">
        <f t="shared" si="59"/>
        <v>42399.25</v>
      </c>
      <c r="T904" s="11">
        <f t="shared" si="60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57"/>
        <v>1.729268292682927E-2</v>
      </c>
      <c r="H905">
        <v>14</v>
      </c>
      <c r="I905" s="6">
        <f t="shared" si="5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 "/")</f>
        <v>publishing</v>
      </c>
      <c r="R905" t="str">
        <v>nonfiction</v>
      </c>
      <c r="S905" s="10">
        <f t="shared" si="59"/>
        <v>41034.208333333336</v>
      </c>
      <c r="T905" s="11">
        <f t="shared" si="60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57"/>
        <v>0.12230769230769231</v>
      </c>
      <c r="H906">
        <v>16</v>
      </c>
      <c r="I906" s="6">
        <f t="shared" si="58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 "/")</f>
        <v>publishing</v>
      </c>
      <c r="R906" t="str">
        <v>radio &amp; podcasts</v>
      </c>
      <c r="S906" s="10">
        <f t="shared" si="59"/>
        <v>41186.208333333336</v>
      </c>
      <c r="T906" s="11">
        <f t="shared" si="60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57"/>
        <v>1.6398734177215191</v>
      </c>
      <c r="H907">
        <v>236</v>
      </c>
      <c r="I907" s="6">
        <f t="shared" si="5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 "/")</f>
        <v>theater</v>
      </c>
      <c r="R907" t="str">
        <v>plays</v>
      </c>
      <c r="S907" s="10">
        <f t="shared" si="59"/>
        <v>41536.208333333336</v>
      </c>
      <c r="T907" s="11">
        <f t="shared" si="60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57"/>
        <v>1.6298181818181818</v>
      </c>
      <c r="H908">
        <v>191</v>
      </c>
      <c r="I908" s="6">
        <f t="shared" si="5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 "/")</f>
        <v>film &amp; video</v>
      </c>
      <c r="R908" t="str">
        <v>documentary</v>
      </c>
      <c r="S908" s="10">
        <f t="shared" si="59"/>
        <v>42868.208333333328</v>
      </c>
      <c r="T908" s="11">
        <f t="shared" si="60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57"/>
        <v>0.20252747252747252</v>
      </c>
      <c r="H909">
        <v>41</v>
      </c>
      <c r="I909" s="6">
        <f t="shared" si="5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 "/")</f>
        <v>theater</v>
      </c>
      <c r="R909" t="str">
        <v>plays</v>
      </c>
      <c r="S909" s="10">
        <f t="shared" si="59"/>
        <v>40660.208333333336</v>
      </c>
      <c r="T909" s="11">
        <f t="shared" si="60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57"/>
        <v>3.1924083769633507</v>
      </c>
      <c r="H910">
        <v>3934</v>
      </c>
      <c r="I910" s="6">
        <f t="shared" si="5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 "/")</f>
        <v>games</v>
      </c>
      <c r="R910" t="str">
        <v>video games</v>
      </c>
      <c r="S910" s="10">
        <f t="shared" si="59"/>
        <v>41031.208333333336</v>
      </c>
      <c r="T910" s="11">
        <f t="shared" si="60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57"/>
        <v>4.7894444444444444</v>
      </c>
      <c r="H911">
        <v>80</v>
      </c>
      <c r="I911" s="6">
        <f t="shared" si="58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 "/")</f>
        <v>theater</v>
      </c>
      <c r="R911" t="str">
        <v>plays</v>
      </c>
      <c r="S911" s="10">
        <f t="shared" si="59"/>
        <v>43255.208333333328</v>
      </c>
      <c r="T911" s="11">
        <f t="shared" si="60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57"/>
        <v>0.19556634304207121</v>
      </c>
      <c r="H912">
        <v>296</v>
      </c>
      <c r="I912" s="6">
        <f t="shared" si="5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 "/")</f>
        <v>theater</v>
      </c>
      <c r="R912" t="str">
        <v>plays</v>
      </c>
      <c r="S912" s="10">
        <f t="shared" si="59"/>
        <v>42026.25</v>
      </c>
      <c r="T912" s="11">
        <f t="shared" si="60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57"/>
        <v>1.9894827586206896</v>
      </c>
      <c r="H913">
        <v>462</v>
      </c>
      <c r="I913" s="6">
        <f t="shared" si="5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 "/")</f>
        <v>technology</v>
      </c>
      <c r="R913" t="str">
        <v>web</v>
      </c>
      <c r="S913" s="10">
        <f t="shared" si="59"/>
        <v>43717.208333333328</v>
      </c>
      <c r="T913" s="11">
        <f t="shared" si="60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57"/>
        <v>7.95</v>
      </c>
      <c r="H914">
        <v>179</v>
      </c>
      <c r="I914" s="6">
        <f t="shared" si="5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 "/")</f>
        <v>film &amp; video</v>
      </c>
      <c r="R914" t="str">
        <v>drama</v>
      </c>
      <c r="S914" s="10">
        <f t="shared" si="59"/>
        <v>41157.208333333336</v>
      </c>
      <c r="T914" s="11">
        <f t="shared" si="60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57"/>
        <v>0.50621082621082625</v>
      </c>
      <c r="H915">
        <v>523</v>
      </c>
      <c r="I915" s="6">
        <f t="shared" si="5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 "/")</f>
        <v>film &amp; video</v>
      </c>
      <c r="R915" t="str">
        <v>drama</v>
      </c>
      <c r="S915" s="10">
        <f t="shared" si="59"/>
        <v>43597.208333333328</v>
      </c>
      <c r="T915" s="11">
        <f t="shared" si="60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57"/>
        <v>0.57437499999999997</v>
      </c>
      <c r="H916">
        <v>141</v>
      </c>
      <c r="I916" s="6">
        <f t="shared" si="5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 "/")</f>
        <v>theater</v>
      </c>
      <c r="R916" t="str">
        <v>plays</v>
      </c>
      <c r="S916" s="10">
        <f t="shared" si="59"/>
        <v>41490.208333333336</v>
      </c>
      <c r="T916" s="11">
        <f t="shared" si="60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57"/>
        <v>1.5562827640984909</v>
      </c>
      <c r="H917">
        <v>1866</v>
      </c>
      <c r="I917" s="6">
        <f t="shared" si="5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 "/")</f>
        <v>film &amp; video</v>
      </c>
      <c r="R917" t="str">
        <v>television</v>
      </c>
      <c r="S917" s="10">
        <f t="shared" si="59"/>
        <v>42976.208333333328</v>
      </c>
      <c r="T917" s="11">
        <f t="shared" si="60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57"/>
        <v>0.36297297297297298</v>
      </c>
      <c r="H918">
        <v>52</v>
      </c>
      <c r="I918" s="6">
        <f t="shared" si="5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 "/")</f>
        <v>photography</v>
      </c>
      <c r="R918" t="str">
        <v>photography books</v>
      </c>
      <c r="S918" s="10">
        <f t="shared" si="59"/>
        <v>41991.25</v>
      </c>
      <c r="T918" s="11">
        <f t="shared" si="60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57"/>
        <v>0.58250000000000002</v>
      </c>
      <c r="H919">
        <v>27</v>
      </c>
      <c r="I919" s="6">
        <f t="shared" si="5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 "/")</f>
        <v>film &amp; video</v>
      </c>
      <c r="R919" t="str">
        <v>shorts</v>
      </c>
      <c r="S919" s="10">
        <f t="shared" si="59"/>
        <v>40722.208333333336</v>
      </c>
      <c r="T919" s="11">
        <f t="shared" si="60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57"/>
        <v>2.3739473684210526</v>
      </c>
      <c r="H920">
        <v>156</v>
      </c>
      <c r="I920" s="6">
        <f t="shared" si="5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 "/")</f>
        <v>publishing</v>
      </c>
      <c r="R920" t="str">
        <v>radio &amp; podcasts</v>
      </c>
      <c r="S920" s="10">
        <f t="shared" si="59"/>
        <v>41117.208333333336</v>
      </c>
      <c r="T920" s="11">
        <f t="shared" si="60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57"/>
        <v>0.58750000000000002</v>
      </c>
      <c r="H921">
        <v>225</v>
      </c>
      <c r="I921" s="6">
        <f t="shared" si="5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 "/")</f>
        <v>theater</v>
      </c>
      <c r="R921" t="str">
        <v>plays</v>
      </c>
      <c r="S921" s="10">
        <f t="shared" si="59"/>
        <v>43022.208333333328</v>
      </c>
      <c r="T921" s="11">
        <f t="shared" si="60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57"/>
        <v>1.8256603773584905</v>
      </c>
      <c r="H922">
        <v>255</v>
      </c>
      <c r="I922" s="6">
        <f t="shared" si="5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 "/")</f>
        <v>film &amp; video</v>
      </c>
      <c r="R922" t="str">
        <v>animation</v>
      </c>
      <c r="S922" s="10">
        <f t="shared" si="59"/>
        <v>43503.25</v>
      </c>
      <c r="T922" s="11">
        <f t="shared" si="60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57"/>
        <v>7.5436408977556111E-3</v>
      </c>
      <c r="H923">
        <v>38</v>
      </c>
      <c r="I923" s="6">
        <f t="shared" si="5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 "/")</f>
        <v>technology</v>
      </c>
      <c r="R923" t="str">
        <v>web</v>
      </c>
      <c r="S923" s="10">
        <f t="shared" si="59"/>
        <v>40951.25</v>
      </c>
      <c r="T923" s="11">
        <f t="shared" si="60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57"/>
        <v>1.7595330739299611</v>
      </c>
      <c r="H924">
        <v>2261</v>
      </c>
      <c r="I924" s="6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 "/")</f>
        <v>music</v>
      </c>
      <c r="R924" t="str">
        <v>world music</v>
      </c>
      <c r="S924" s="10">
        <f t="shared" si="59"/>
        <v>43443.25</v>
      </c>
      <c r="T924" s="11">
        <f t="shared" si="60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57"/>
        <v>2.3788235294117648</v>
      </c>
      <c r="H925">
        <v>40</v>
      </c>
      <c r="I925" s="6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 "/")</f>
        <v>theater</v>
      </c>
      <c r="R925" t="str">
        <v>plays</v>
      </c>
      <c r="S925" s="10">
        <f t="shared" si="59"/>
        <v>40373.208333333336</v>
      </c>
      <c r="T925" s="11">
        <f t="shared" si="60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57"/>
        <v>4.8805076142131982</v>
      </c>
      <c r="H926">
        <v>2289</v>
      </c>
      <c r="I926" s="6">
        <f t="shared" si="5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 "/")</f>
        <v>theater</v>
      </c>
      <c r="R926" t="str">
        <v>plays</v>
      </c>
      <c r="S926" s="10">
        <f t="shared" si="59"/>
        <v>43769.208333333328</v>
      </c>
      <c r="T926" s="11">
        <f t="shared" si="60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57"/>
        <v>2.2406666666666668</v>
      </c>
      <c r="H927">
        <v>65</v>
      </c>
      <c r="I927" s="6">
        <f t="shared" si="5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 "/")</f>
        <v>theater</v>
      </c>
      <c r="R927" t="str">
        <v>plays</v>
      </c>
      <c r="S927" s="10">
        <f t="shared" si="59"/>
        <v>43000.208333333328</v>
      </c>
      <c r="T927" s="11">
        <f t="shared" si="60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57"/>
        <v>0.18126436781609195</v>
      </c>
      <c r="H928">
        <v>15</v>
      </c>
      <c r="I928" s="6">
        <f t="shared" si="5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 "/")</f>
        <v>food</v>
      </c>
      <c r="R928" t="str">
        <v>food trucks</v>
      </c>
      <c r="S928" s="10">
        <f t="shared" si="59"/>
        <v>42502.208333333328</v>
      </c>
      <c r="T928" s="11">
        <f t="shared" si="60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57"/>
        <v>0.45847222222222223</v>
      </c>
      <c r="H929">
        <v>37</v>
      </c>
      <c r="I929" s="6">
        <f t="shared" si="5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 "/")</f>
        <v>theater</v>
      </c>
      <c r="R929" t="str">
        <v>plays</v>
      </c>
      <c r="S929" s="10">
        <f t="shared" si="59"/>
        <v>41102.208333333336</v>
      </c>
      <c r="T929" s="11">
        <f t="shared" si="60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57"/>
        <v>1.1731541218637993</v>
      </c>
      <c r="H930">
        <v>3777</v>
      </c>
      <c r="I930" s="6">
        <f t="shared" si="5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 "/")</f>
        <v>technology</v>
      </c>
      <c r="R930" t="str">
        <v>web</v>
      </c>
      <c r="S930" s="10">
        <f t="shared" si="59"/>
        <v>41637.25</v>
      </c>
      <c r="T930" s="11">
        <f t="shared" si="60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57"/>
        <v>2.173090909090909</v>
      </c>
      <c r="H931">
        <v>184</v>
      </c>
      <c r="I931" s="6">
        <f t="shared" si="5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 "/")</f>
        <v>theater</v>
      </c>
      <c r="R931" t="str">
        <v>plays</v>
      </c>
      <c r="S931" s="10">
        <f t="shared" si="59"/>
        <v>42858.208333333328</v>
      </c>
      <c r="T931" s="11">
        <f t="shared" si="60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57"/>
        <v>1.1228571428571428</v>
      </c>
      <c r="H932">
        <v>85</v>
      </c>
      <c r="I932" s="6">
        <f t="shared" si="5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 "/")</f>
        <v>theater</v>
      </c>
      <c r="R932" t="str">
        <v>plays</v>
      </c>
      <c r="S932" s="10">
        <f t="shared" si="59"/>
        <v>42060.25</v>
      </c>
      <c r="T932" s="11">
        <f t="shared" si="60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57"/>
        <v>0.72518987341772156</v>
      </c>
      <c r="H933">
        <v>112</v>
      </c>
      <c r="I933" s="6">
        <f t="shared" si="5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 "/")</f>
        <v>theater</v>
      </c>
      <c r="R933" t="str">
        <v>plays</v>
      </c>
      <c r="S933" s="10">
        <f t="shared" si="59"/>
        <v>41818.208333333336</v>
      </c>
      <c r="T933" s="11">
        <f t="shared" si="60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57"/>
        <v>2.1230434782608696</v>
      </c>
      <c r="H934">
        <v>144</v>
      </c>
      <c r="I934" s="6">
        <f t="shared" si="5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 "/")</f>
        <v>music</v>
      </c>
      <c r="R934" t="str">
        <v>rock</v>
      </c>
      <c r="S934" s="10">
        <f t="shared" si="59"/>
        <v>41709.208333333336</v>
      </c>
      <c r="T934" s="11">
        <f t="shared" si="60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57"/>
        <v>2.3974657534246577</v>
      </c>
      <c r="H935">
        <v>1902</v>
      </c>
      <c r="I935" s="6">
        <f t="shared" si="5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 "/")</f>
        <v>theater</v>
      </c>
      <c r="R935" t="str">
        <v>plays</v>
      </c>
      <c r="S935" s="10">
        <f t="shared" si="59"/>
        <v>41372.208333333336</v>
      </c>
      <c r="T935" s="11">
        <f t="shared" si="60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57"/>
        <v>1.8193548387096774</v>
      </c>
      <c r="H936">
        <v>105</v>
      </c>
      <c r="I936" s="6">
        <f t="shared" si="5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 "/")</f>
        <v>theater</v>
      </c>
      <c r="R936" t="str">
        <v>plays</v>
      </c>
      <c r="S936" s="10">
        <f t="shared" si="59"/>
        <v>42422.25</v>
      </c>
      <c r="T936" s="11">
        <f t="shared" si="60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57"/>
        <v>1.6413114754098361</v>
      </c>
      <c r="H937">
        <v>132</v>
      </c>
      <c r="I937" s="6">
        <f t="shared" si="5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 "/")</f>
        <v>theater</v>
      </c>
      <c r="R937" t="str">
        <v>plays</v>
      </c>
      <c r="S937" s="10">
        <f t="shared" si="59"/>
        <v>42209.208333333328</v>
      </c>
      <c r="T937" s="11">
        <f t="shared" si="60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57"/>
        <v>1.6375968992248063E-2</v>
      </c>
      <c r="H938">
        <v>21</v>
      </c>
      <c r="I938" s="6">
        <f t="shared" si="5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 "/")</f>
        <v>theater</v>
      </c>
      <c r="R938" t="str">
        <v>plays</v>
      </c>
      <c r="S938" s="10">
        <f t="shared" si="59"/>
        <v>43668.208333333328</v>
      </c>
      <c r="T938" s="11">
        <f t="shared" si="60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57"/>
        <v>0.49643859649122807</v>
      </c>
      <c r="H939">
        <v>976</v>
      </c>
      <c r="I939" s="6">
        <f t="shared" si="5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 "/")</f>
        <v>film &amp; video</v>
      </c>
      <c r="R939" t="str">
        <v>documentary</v>
      </c>
      <c r="S939" s="10">
        <f t="shared" si="59"/>
        <v>42334.25</v>
      </c>
      <c r="T939" s="11">
        <f t="shared" si="60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57"/>
        <v>1.0970652173913042</v>
      </c>
      <c r="H940">
        <v>96</v>
      </c>
      <c r="I940" s="6">
        <f t="shared" si="5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 "/")</f>
        <v>publishing</v>
      </c>
      <c r="R940" t="str">
        <v>fiction</v>
      </c>
      <c r="S940" s="10">
        <f t="shared" si="59"/>
        <v>43263.208333333328</v>
      </c>
      <c r="T940" s="11">
        <f t="shared" si="60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57"/>
        <v>0.49217948717948717</v>
      </c>
      <c r="H941">
        <v>67</v>
      </c>
      <c r="I941" s="6">
        <f t="shared" si="5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 "/")</f>
        <v>games</v>
      </c>
      <c r="R941" t="str">
        <v>video games</v>
      </c>
      <c r="S941" s="10">
        <f t="shared" si="59"/>
        <v>40670.208333333336</v>
      </c>
      <c r="T941" s="11">
        <f t="shared" si="60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57"/>
        <v>0.62232323232323228</v>
      </c>
      <c r="H942">
        <v>66</v>
      </c>
      <c r="I942" s="6">
        <f t="shared" si="5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 "/")</f>
        <v>technology</v>
      </c>
      <c r="R942" t="str">
        <v>web</v>
      </c>
      <c r="S942" s="10">
        <f t="shared" si="59"/>
        <v>41244.25</v>
      </c>
      <c r="T942" s="11">
        <f t="shared" si="60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57"/>
        <v>0.1305813953488372</v>
      </c>
      <c r="H943">
        <v>78</v>
      </c>
      <c r="I943" s="6">
        <f t="shared" si="5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 "/")</f>
        <v>theater</v>
      </c>
      <c r="R943" t="str">
        <v>plays</v>
      </c>
      <c r="S943" s="10">
        <f t="shared" si="59"/>
        <v>40552.25</v>
      </c>
      <c r="T943" s="11">
        <f t="shared" si="60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57"/>
        <v>0.64635416666666667</v>
      </c>
      <c r="H944">
        <v>67</v>
      </c>
      <c r="I944" s="6">
        <f t="shared" si="5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 "/")</f>
        <v>theater</v>
      </c>
      <c r="R944" t="str">
        <v>plays</v>
      </c>
      <c r="S944" s="10">
        <f t="shared" si="59"/>
        <v>40568.25</v>
      </c>
      <c r="T944" s="11">
        <f t="shared" si="60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57"/>
        <v>1.5958666666666668</v>
      </c>
      <c r="H945">
        <v>114</v>
      </c>
      <c r="I945" s="6">
        <f t="shared" si="5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 "/")</f>
        <v>food</v>
      </c>
      <c r="R945" t="str">
        <v>food trucks</v>
      </c>
      <c r="S945" s="10">
        <f t="shared" si="59"/>
        <v>41906.208333333336</v>
      </c>
      <c r="T945" s="11">
        <f t="shared" si="60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57"/>
        <v>0.81420000000000003</v>
      </c>
      <c r="H946">
        <v>263</v>
      </c>
      <c r="I946" s="6">
        <f t="shared" si="5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 "/")</f>
        <v>photography</v>
      </c>
      <c r="R946" t="str">
        <v>photography books</v>
      </c>
      <c r="S946" s="10">
        <f t="shared" si="59"/>
        <v>42776.25</v>
      </c>
      <c r="T946" s="11">
        <f t="shared" si="60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57"/>
        <v>0.32444767441860467</v>
      </c>
      <c r="H947">
        <v>1691</v>
      </c>
      <c r="I947" s="6">
        <f t="shared" si="5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 "/")</f>
        <v>photography</v>
      </c>
      <c r="R947" t="str">
        <v>photography books</v>
      </c>
      <c r="S947" s="10">
        <f t="shared" si="59"/>
        <v>41004.208333333336</v>
      </c>
      <c r="T947" s="11">
        <f t="shared" si="60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57"/>
        <v>9.9141184124918666E-2</v>
      </c>
      <c r="H948">
        <v>181</v>
      </c>
      <c r="I948" s="6">
        <f t="shared" si="5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 "/")</f>
        <v>theater</v>
      </c>
      <c r="R948" t="str">
        <v>plays</v>
      </c>
      <c r="S948" s="10">
        <f t="shared" si="59"/>
        <v>40710.208333333336</v>
      </c>
      <c r="T948" s="11">
        <f t="shared" si="60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57"/>
        <v>0.26694444444444443</v>
      </c>
      <c r="H949">
        <v>13</v>
      </c>
      <c r="I949" s="6">
        <f t="shared" si="5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 "/")</f>
        <v>theater</v>
      </c>
      <c r="R949" t="str">
        <v>plays</v>
      </c>
      <c r="S949" s="10">
        <f t="shared" si="59"/>
        <v>41908.208333333336</v>
      </c>
      <c r="T949" s="11">
        <f t="shared" si="60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57"/>
        <v>0.62957446808510642</v>
      </c>
      <c r="H950">
        <v>160</v>
      </c>
      <c r="I950" s="6">
        <f t="shared" si="5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 "/")</f>
        <v>film &amp; video</v>
      </c>
      <c r="R950" t="str">
        <v>documentary</v>
      </c>
      <c r="S950" s="10">
        <f t="shared" si="59"/>
        <v>41985.25</v>
      </c>
      <c r="T950" s="11">
        <f t="shared" si="60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57"/>
        <v>1.6135593220338984</v>
      </c>
      <c r="H951">
        <v>203</v>
      </c>
      <c r="I951" s="6">
        <f t="shared" si="5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 "/")</f>
        <v>technology</v>
      </c>
      <c r="R951" t="str">
        <v>web</v>
      </c>
      <c r="S951" s="10">
        <f t="shared" si="59"/>
        <v>42112.208333333328</v>
      </c>
      <c r="T951" s="11">
        <f t="shared" si="60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57"/>
        <v>0.05</v>
      </c>
      <c r="H952">
        <v>1</v>
      </c>
      <c r="I952" s="6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 "/")</f>
        <v>theater</v>
      </c>
      <c r="R952" t="str">
        <v>plays</v>
      </c>
      <c r="S952" s="10">
        <f t="shared" si="59"/>
        <v>43571.208333333328</v>
      </c>
      <c r="T952" s="11">
        <f t="shared" si="60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57"/>
        <v>10.969379310344827</v>
      </c>
      <c r="H953">
        <v>1559</v>
      </c>
      <c r="I953" s="6">
        <f t="shared" si="5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 "/")</f>
        <v>music</v>
      </c>
      <c r="R953" t="str">
        <v>rock</v>
      </c>
      <c r="S953" s="10">
        <f t="shared" si="59"/>
        <v>42730.25</v>
      </c>
      <c r="T953" s="11">
        <f t="shared" si="60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57"/>
        <v>0.70094158075601376</v>
      </c>
      <c r="H954">
        <v>2266</v>
      </c>
      <c r="I954" s="6">
        <f t="shared" si="5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 "/")</f>
        <v>film &amp; video</v>
      </c>
      <c r="R954" t="str">
        <v>documentary</v>
      </c>
      <c r="S954" s="10">
        <f t="shared" si="59"/>
        <v>42591.208333333328</v>
      </c>
      <c r="T954" s="11">
        <f t="shared" si="60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57"/>
        <v>0.6</v>
      </c>
      <c r="H955">
        <v>21</v>
      </c>
      <c r="I955" s="6">
        <f t="shared" si="5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 "/")</f>
        <v>film &amp; video</v>
      </c>
      <c r="R955" t="str">
        <v>science fiction</v>
      </c>
      <c r="S955" s="10">
        <f t="shared" si="59"/>
        <v>42358.25</v>
      </c>
      <c r="T955" s="11">
        <f t="shared" si="60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57"/>
        <v>3.6709859154929578</v>
      </c>
      <c r="H956">
        <v>1548</v>
      </c>
      <c r="I956" s="6">
        <f t="shared" si="5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 "/")</f>
        <v>technology</v>
      </c>
      <c r="R956" t="str">
        <v>web</v>
      </c>
      <c r="S956" s="10">
        <f t="shared" si="59"/>
        <v>41174.208333333336</v>
      </c>
      <c r="T956" s="11">
        <f t="shared" si="60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57"/>
        <v>11.09</v>
      </c>
      <c r="H957">
        <v>80</v>
      </c>
      <c r="I957" s="6">
        <f t="shared" si="5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 "/")</f>
        <v>theater</v>
      </c>
      <c r="R957" t="str">
        <v>plays</v>
      </c>
      <c r="S957" s="10">
        <f t="shared" si="59"/>
        <v>41238.25</v>
      </c>
      <c r="T957" s="11">
        <f t="shared" si="60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57"/>
        <v>0.19028784648187633</v>
      </c>
      <c r="H958">
        <v>830</v>
      </c>
      <c r="I958" s="6">
        <f t="shared" si="5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 "/")</f>
        <v>film &amp; video</v>
      </c>
      <c r="R958" t="str">
        <v>science fiction</v>
      </c>
      <c r="S958" s="10">
        <f t="shared" si="59"/>
        <v>42360.25</v>
      </c>
      <c r="T958" s="11">
        <f t="shared" si="60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57"/>
        <v>1.2687755102040816</v>
      </c>
      <c r="H959">
        <v>131</v>
      </c>
      <c r="I959" s="6">
        <f t="shared" si="5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 "/")</f>
        <v>theater</v>
      </c>
      <c r="R959" t="str">
        <v>plays</v>
      </c>
      <c r="S959" s="10">
        <f t="shared" si="59"/>
        <v>40955.25</v>
      </c>
      <c r="T959" s="11">
        <f t="shared" si="60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57"/>
        <v>7.3463636363636367</v>
      </c>
      <c r="H960">
        <v>112</v>
      </c>
      <c r="I960" s="6">
        <f t="shared" si="5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 "/")</f>
        <v>film &amp; video</v>
      </c>
      <c r="R960" t="str">
        <v>animation</v>
      </c>
      <c r="S960" s="10">
        <f t="shared" si="59"/>
        <v>40350.208333333336</v>
      </c>
      <c r="T960" s="11">
        <f t="shared" si="60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57"/>
        <v>4.5731034482758622E-2</v>
      </c>
      <c r="H961">
        <v>130</v>
      </c>
      <c r="I961" s="6">
        <f t="shared" si="5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 "/")</f>
        <v>publishing</v>
      </c>
      <c r="R961" t="str">
        <v>translations</v>
      </c>
      <c r="S961" s="10">
        <f t="shared" si="59"/>
        <v>40357.208333333336</v>
      </c>
      <c r="T961" s="11">
        <f t="shared" si="60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ref="G962:G1001" si="61">E962/D962</f>
        <v>0.85054545454545449</v>
      </c>
      <c r="H962">
        <v>55</v>
      </c>
      <c r="I962" s="6">
        <f t="shared" ref="I962:I1025" si="62">IF(E962,E962/H962,0)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 "/")</f>
        <v>technology</v>
      </c>
      <c r="R962" t="str">
        <v>web</v>
      </c>
      <c r="S962" s="10">
        <f t="shared" ref="S962:S1001" si="63">(((L962/60)/60)/24)+DATE(1970,1,1)</f>
        <v>42408.25</v>
      </c>
      <c r="T962" s="11">
        <f t="shared" ref="T962:T1001" si="64">(((M962/60)/60)/24)+DATE(1970,1,1)</f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si="61"/>
        <v>1.1929824561403508</v>
      </c>
      <c r="H963">
        <v>155</v>
      </c>
      <c r="I963" s="6">
        <f t="shared" si="62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 "/")</f>
        <v>publishing</v>
      </c>
      <c r="R963" t="str">
        <v>translations</v>
      </c>
      <c r="S963" s="10">
        <f t="shared" si="63"/>
        <v>40591.25</v>
      </c>
      <c r="T963" s="11">
        <f t="shared" si="64"/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si="61"/>
        <v>2.9602777777777778</v>
      </c>
      <c r="H964">
        <v>266</v>
      </c>
      <c r="I964" s="6">
        <f t="shared" si="62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 "/")</f>
        <v>food</v>
      </c>
      <c r="R964" t="str">
        <v>food trucks</v>
      </c>
      <c r="S964" s="10">
        <f t="shared" si="63"/>
        <v>41592.25</v>
      </c>
      <c r="T964" s="11">
        <f t="shared" si="64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61"/>
        <v>0.84694915254237291</v>
      </c>
      <c r="H965">
        <v>114</v>
      </c>
      <c r="I965" s="6">
        <f t="shared" si="62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 "/")</f>
        <v>photography</v>
      </c>
      <c r="R965" t="str">
        <v>photography books</v>
      </c>
      <c r="S965" s="10">
        <f t="shared" si="63"/>
        <v>40607.25</v>
      </c>
      <c r="T965" s="11">
        <f t="shared" si="64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61"/>
        <v>3.5578378378378379</v>
      </c>
      <c r="H966">
        <v>155</v>
      </c>
      <c r="I966" s="6">
        <f t="shared" si="62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 "/")</f>
        <v>theater</v>
      </c>
      <c r="R966" t="str">
        <v>plays</v>
      </c>
      <c r="S966" s="10">
        <f t="shared" si="63"/>
        <v>42135.208333333328</v>
      </c>
      <c r="T966" s="11">
        <f t="shared" si="64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61"/>
        <v>3.8640909090909092</v>
      </c>
      <c r="H967">
        <v>207</v>
      </c>
      <c r="I967" s="6">
        <f t="shared" si="62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 "/")</f>
        <v>music</v>
      </c>
      <c r="R967" t="str">
        <v>rock</v>
      </c>
      <c r="S967" s="10">
        <f t="shared" si="63"/>
        <v>40203.25</v>
      </c>
      <c r="T967" s="11">
        <f t="shared" si="64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61"/>
        <v>7.9223529411764702</v>
      </c>
      <c r="H968">
        <v>245</v>
      </c>
      <c r="I968" s="6">
        <f t="shared" si="62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 "/")</f>
        <v>theater</v>
      </c>
      <c r="R968" t="str">
        <v>plays</v>
      </c>
      <c r="S968" s="10">
        <f t="shared" si="63"/>
        <v>42901.208333333328</v>
      </c>
      <c r="T968" s="11">
        <f t="shared" si="64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61"/>
        <v>1.3703393665158372</v>
      </c>
      <c r="H969">
        <v>1573</v>
      </c>
      <c r="I969" s="6">
        <f t="shared" si="62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 "/")</f>
        <v>music</v>
      </c>
      <c r="R969" t="str">
        <v>world music</v>
      </c>
      <c r="S969" s="10">
        <f t="shared" si="63"/>
        <v>41005.208333333336</v>
      </c>
      <c r="T969" s="11">
        <f t="shared" si="64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61"/>
        <v>3.3820833333333336</v>
      </c>
      <c r="H970">
        <v>114</v>
      </c>
      <c r="I970" s="6">
        <f t="shared" si="62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 "/")</f>
        <v>food</v>
      </c>
      <c r="R970" t="str">
        <v>food trucks</v>
      </c>
      <c r="S970" s="10">
        <f t="shared" si="63"/>
        <v>40544.25</v>
      </c>
      <c r="T970" s="11">
        <f t="shared" si="64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61"/>
        <v>1.0822784810126582</v>
      </c>
      <c r="H971">
        <v>93</v>
      </c>
      <c r="I971" s="6">
        <f t="shared" si="62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 "/")</f>
        <v>theater</v>
      </c>
      <c r="R971" t="str">
        <v>plays</v>
      </c>
      <c r="S971" s="10">
        <f t="shared" si="63"/>
        <v>43821.25</v>
      </c>
      <c r="T971" s="11">
        <f t="shared" si="64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61"/>
        <v>0.60757639620653314</v>
      </c>
      <c r="H972">
        <v>594</v>
      </c>
      <c r="I972" s="6">
        <f t="shared" si="62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 "/")</f>
        <v>theater</v>
      </c>
      <c r="R972" t="str">
        <v>plays</v>
      </c>
      <c r="S972" s="10">
        <f t="shared" si="63"/>
        <v>40672.208333333336</v>
      </c>
      <c r="T972" s="11">
        <f t="shared" si="64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61"/>
        <v>0.27725490196078434</v>
      </c>
      <c r="H973">
        <v>24</v>
      </c>
      <c r="I973" s="6">
        <f t="shared" si="62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 "/")</f>
        <v>film &amp; video</v>
      </c>
      <c r="R973" t="str">
        <v>television</v>
      </c>
      <c r="S973" s="10">
        <f t="shared" si="63"/>
        <v>41555.208333333336</v>
      </c>
      <c r="T973" s="11">
        <f t="shared" si="64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61"/>
        <v>2.283934426229508</v>
      </c>
      <c r="H974">
        <v>1681</v>
      </c>
      <c r="I974" s="6">
        <f t="shared" si="62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 "/")</f>
        <v>technology</v>
      </c>
      <c r="R974" t="str">
        <v>web</v>
      </c>
      <c r="S974" s="10">
        <f t="shared" si="63"/>
        <v>41792.208333333336</v>
      </c>
      <c r="T974" s="11">
        <f t="shared" si="64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61"/>
        <v>0.21615194054500414</v>
      </c>
      <c r="H975">
        <v>252</v>
      </c>
      <c r="I975" s="6">
        <f t="shared" si="62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 "/")</f>
        <v>theater</v>
      </c>
      <c r="R975" t="str">
        <v>plays</v>
      </c>
      <c r="S975" s="10">
        <f t="shared" si="63"/>
        <v>40522.25</v>
      </c>
      <c r="T975" s="11">
        <f t="shared" si="64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61"/>
        <v>3.73875</v>
      </c>
      <c r="H976">
        <v>32</v>
      </c>
      <c r="I976" s="6">
        <f t="shared" si="62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 "/")</f>
        <v>music</v>
      </c>
      <c r="R976" t="str">
        <v>indie rock</v>
      </c>
      <c r="S976" s="10">
        <f t="shared" si="63"/>
        <v>41412.208333333336</v>
      </c>
      <c r="T976" s="11">
        <f t="shared" si="64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61"/>
        <v>1.5492592592592593</v>
      </c>
      <c r="H977">
        <v>135</v>
      </c>
      <c r="I977" s="6">
        <f t="shared" si="62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 "/")</f>
        <v>theater</v>
      </c>
      <c r="R977" t="str">
        <v>plays</v>
      </c>
      <c r="S977" s="10">
        <f t="shared" si="63"/>
        <v>42337.25</v>
      </c>
      <c r="T977" s="11">
        <f t="shared" si="64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61"/>
        <v>3.2214999999999998</v>
      </c>
      <c r="H978">
        <v>140</v>
      </c>
      <c r="I978" s="6">
        <f t="shared" si="62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 "/")</f>
        <v>theater</v>
      </c>
      <c r="R978" t="str">
        <v>plays</v>
      </c>
      <c r="S978" s="10">
        <f t="shared" si="63"/>
        <v>40571.25</v>
      </c>
      <c r="T978" s="11">
        <f t="shared" si="64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61"/>
        <v>0.73957142857142855</v>
      </c>
      <c r="H979">
        <v>67</v>
      </c>
      <c r="I979" s="6">
        <f t="shared" si="62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 "/")</f>
        <v>food</v>
      </c>
      <c r="R979" t="str">
        <v>food trucks</v>
      </c>
      <c r="S979" s="10">
        <f t="shared" si="63"/>
        <v>43138.25</v>
      </c>
      <c r="T979" s="11">
        <f t="shared" si="64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61"/>
        <v>8.641</v>
      </c>
      <c r="H980">
        <v>92</v>
      </c>
      <c r="I980" s="6">
        <f t="shared" si="62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 "/")</f>
        <v>games</v>
      </c>
      <c r="R980" t="str">
        <v>video games</v>
      </c>
      <c r="S980" s="10">
        <f t="shared" si="63"/>
        <v>42686.25</v>
      </c>
      <c r="T980" s="11">
        <f t="shared" si="64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61"/>
        <v>1.432624584717608</v>
      </c>
      <c r="H981">
        <v>1015</v>
      </c>
      <c r="I981" s="6">
        <f t="shared" si="62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 "/")</f>
        <v>theater</v>
      </c>
      <c r="R981" t="str">
        <v>plays</v>
      </c>
      <c r="S981" s="10">
        <f t="shared" si="63"/>
        <v>42078.208333333328</v>
      </c>
      <c r="T981" s="11">
        <f t="shared" si="64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61"/>
        <v>0.40281762295081969</v>
      </c>
      <c r="H982">
        <v>742</v>
      </c>
      <c r="I982" s="6">
        <f t="shared" si="62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 "/")</f>
        <v>publishing</v>
      </c>
      <c r="R982" t="str">
        <v>nonfiction</v>
      </c>
      <c r="S982" s="10">
        <f t="shared" si="63"/>
        <v>42307.208333333328</v>
      </c>
      <c r="T982" s="11">
        <f t="shared" si="64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61"/>
        <v>1.7822388059701493</v>
      </c>
      <c r="H983">
        <v>323</v>
      </c>
      <c r="I983" s="6">
        <f t="shared" si="62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 "/")</f>
        <v>technology</v>
      </c>
      <c r="R983" t="str">
        <v>web</v>
      </c>
      <c r="S983" s="10">
        <f t="shared" si="63"/>
        <v>43094.25</v>
      </c>
      <c r="T983" s="11">
        <f t="shared" si="64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61"/>
        <v>0.84930555555555554</v>
      </c>
      <c r="H984">
        <v>75</v>
      </c>
      <c r="I984" s="6">
        <f t="shared" si="62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 "/")</f>
        <v>film &amp; video</v>
      </c>
      <c r="R984" t="str">
        <v>documentary</v>
      </c>
      <c r="S984" s="10">
        <f t="shared" si="63"/>
        <v>40743.208333333336</v>
      </c>
      <c r="T984" s="11">
        <f t="shared" si="64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61"/>
        <v>1.4593648334624323</v>
      </c>
      <c r="H985">
        <v>2326</v>
      </c>
      <c r="I985" s="6">
        <f t="shared" si="62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 "/")</f>
        <v>film &amp; video</v>
      </c>
      <c r="R985" t="str">
        <v>documentary</v>
      </c>
      <c r="S985" s="10">
        <f t="shared" si="63"/>
        <v>43681.208333333328</v>
      </c>
      <c r="T985" s="11">
        <f t="shared" si="64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61"/>
        <v>1.5246153846153847</v>
      </c>
      <c r="H986">
        <v>381</v>
      </c>
      <c r="I986" s="6">
        <f t="shared" si="62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 "/")</f>
        <v>theater</v>
      </c>
      <c r="R986" t="str">
        <v>plays</v>
      </c>
      <c r="S986" s="10">
        <f t="shared" si="63"/>
        <v>43716.208333333328</v>
      </c>
      <c r="T986" s="11">
        <f t="shared" si="64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61"/>
        <v>0.67129542790152408</v>
      </c>
      <c r="H987">
        <v>4405</v>
      </c>
      <c r="I987" s="6">
        <f t="shared" si="62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 "/")</f>
        <v>music</v>
      </c>
      <c r="R987" t="str">
        <v>rock</v>
      </c>
      <c r="S987" s="10">
        <f t="shared" si="63"/>
        <v>41614.25</v>
      </c>
      <c r="T987" s="11">
        <f t="shared" si="64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61"/>
        <v>0.40307692307692305</v>
      </c>
      <c r="H988">
        <v>92</v>
      </c>
      <c r="I988" s="6">
        <f t="shared" si="62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 "/")</f>
        <v>music</v>
      </c>
      <c r="R988" t="str">
        <v>rock</v>
      </c>
      <c r="S988" s="10">
        <f t="shared" si="63"/>
        <v>40638.208333333336</v>
      </c>
      <c r="T988" s="11">
        <f t="shared" si="64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61"/>
        <v>2.1679032258064517</v>
      </c>
      <c r="H989">
        <v>480</v>
      </c>
      <c r="I989" s="6">
        <f t="shared" si="62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 "/")</f>
        <v>film &amp; video</v>
      </c>
      <c r="R989" t="str">
        <v>documentary</v>
      </c>
      <c r="S989" s="10">
        <f t="shared" si="63"/>
        <v>42852.208333333328</v>
      </c>
      <c r="T989" s="11">
        <f t="shared" si="64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61"/>
        <v>0.52117021276595743</v>
      </c>
      <c r="H990">
        <v>64</v>
      </c>
      <c r="I990" s="6">
        <f t="shared" si="62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 "/")</f>
        <v>publishing</v>
      </c>
      <c r="R990" t="str">
        <v>radio &amp; podcasts</v>
      </c>
      <c r="S990" s="10">
        <f t="shared" si="63"/>
        <v>42686.25</v>
      </c>
      <c r="T990" s="11">
        <f t="shared" si="64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61"/>
        <v>4.9958333333333336</v>
      </c>
      <c r="H991">
        <v>226</v>
      </c>
      <c r="I991" s="6">
        <f t="shared" si="62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 "/")</f>
        <v>publishing</v>
      </c>
      <c r="R991" t="str">
        <v>translations</v>
      </c>
      <c r="S991" s="10">
        <f t="shared" si="63"/>
        <v>43571.208333333328</v>
      </c>
      <c r="T991" s="11">
        <f t="shared" si="64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61"/>
        <v>0.87679487179487181</v>
      </c>
      <c r="H992">
        <v>64</v>
      </c>
      <c r="I992" s="6">
        <f t="shared" si="62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 "/")</f>
        <v>film &amp; video</v>
      </c>
      <c r="R992" t="str">
        <v>drama</v>
      </c>
      <c r="S992" s="10">
        <f t="shared" si="63"/>
        <v>42432.25</v>
      </c>
      <c r="T992" s="11">
        <f t="shared" si="64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61"/>
        <v>1.131734693877551</v>
      </c>
      <c r="H993">
        <v>241</v>
      </c>
      <c r="I993" s="6">
        <f t="shared" si="62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 "/")</f>
        <v>music</v>
      </c>
      <c r="R993" t="str">
        <v>rock</v>
      </c>
      <c r="S993" s="10">
        <f t="shared" si="63"/>
        <v>41907.208333333336</v>
      </c>
      <c r="T993" s="11">
        <f t="shared" si="64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61"/>
        <v>4.2654838709677421</v>
      </c>
      <c r="H994">
        <v>132</v>
      </c>
      <c r="I994" s="6">
        <f t="shared" si="62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 "/")</f>
        <v>film &amp; video</v>
      </c>
      <c r="R994" t="str">
        <v>drama</v>
      </c>
      <c r="S994" s="10">
        <f t="shared" si="63"/>
        <v>43227.208333333328</v>
      </c>
      <c r="T994" s="11">
        <f t="shared" si="64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61"/>
        <v>0.77632653061224488</v>
      </c>
      <c r="H995">
        <v>75</v>
      </c>
      <c r="I995" s="6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 "/")</f>
        <v>photography</v>
      </c>
      <c r="R995" t="str">
        <v>photography books</v>
      </c>
      <c r="S995" s="10">
        <f t="shared" si="63"/>
        <v>42362.25</v>
      </c>
      <c r="T995" s="11">
        <f t="shared" si="64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61"/>
        <v>0.52496810772501767</v>
      </c>
      <c r="H996">
        <v>842</v>
      </c>
      <c r="I996" s="6">
        <f t="shared" si="62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 "/")</f>
        <v>publishing</v>
      </c>
      <c r="R996" t="str">
        <v>translations</v>
      </c>
      <c r="S996" s="10">
        <f t="shared" si="63"/>
        <v>41929.208333333336</v>
      </c>
      <c r="T996" s="11">
        <f t="shared" si="64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61"/>
        <v>1.5746762589928058</v>
      </c>
      <c r="H997">
        <v>2043</v>
      </c>
      <c r="I997" s="6">
        <f t="shared" si="62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 "/")</f>
        <v>food</v>
      </c>
      <c r="R997" t="str">
        <v>food trucks</v>
      </c>
      <c r="S997" s="10">
        <f t="shared" si="63"/>
        <v>43408.208333333328</v>
      </c>
      <c r="T997" s="11">
        <f t="shared" si="64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61"/>
        <v>0.72939393939393937</v>
      </c>
      <c r="H998">
        <v>112</v>
      </c>
      <c r="I998" s="6">
        <f t="shared" si="62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 "/")</f>
        <v>theater</v>
      </c>
      <c r="R998" t="str">
        <v>plays</v>
      </c>
      <c r="S998" s="10">
        <f t="shared" si="63"/>
        <v>41276.25</v>
      </c>
      <c r="T998" s="11">
        <f t="shared" si="64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61"/>
        <v>0.60565789473684206</v>
      </c>
      <c r="H999">
        <v>139</v>
      </c>
      <c r="I999" s="6">
        <f t="shared" si="62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 "/")</f>
        <v>theater</v>
      </c>
      <c r="R999" t="str">
        <v>plays</v>
      </c>
      <c r="S999" s="10">
        <f t="shared" si="63"/>
        <v>41659.25</v>
      </c>
      <c r="T999" s="11">
        <f t="shared" si="64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61"/>
        <v>0.5679129129129129</v>
      </c>
      <c r="H1000">
        <v>374</v>
      </c>
      <c r="I1000" s="6">
        <f t="shared" si="62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 "/")</f>
        <v>music</v>
      </c>
      <c r="R1000" t="str">
        <v>indie rock</v>
      </c>
      <c r="S1000" s="10">
        <f t="shared" si="63"/>
        <v>40220.25</v>
      </c>
      <c r="T1000" s="11">
        <f t="shared" si="64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61"/>
        <v>0.56542754275427543</v>
      </c>
      <c r="H1001">
        <v>1122</v>
      </c>
      <c r="I1001" s="6">
        <f t="shared" si="62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 "/")</f>
        <v>food</v>
      </c>
      <c r="R1001" t="str">
        <v>food trucks</v>
      </c>
      <c r="S1001" s="10">
        <f t="shared" si="63"/>
        <v>42550.208333333328</v>
      </c>
      <c r="T1001" s="11">
        <f t="shared" si="64"/>
        <v>42557.208333333328</v>
      </c>
    </row>
    <row r="1002" spans="1:20" x14ac:dyDescent="0.2">
      <c r="T1002" s="11"/>
    </row>
    <row r="1003" spans="1:20" x14ac:dyDescent="0.2">
      <c r="T1003" s="11"/>
    </row>
    <row r="1004" spans="1:20" x14ac:dyDescent="0.2">
      <c r="T1004" s="11"/>
    </row>
    <row r="1005" spans="1:20" x14ac:dyDescent="0.2">
      <c r="T1005" s="11"/>
    </row>
    <row r="1006" spans="1:20" x14ac:dyDescent="0.2">
      <c r="T1006" s="11"/>
    </row>
    <row r="1007" spans="1:20" x14ac:dyDescent="0.2">
      <c r="T1007" s="11"/>
    </row>
    <row r="1008" spans="1:20" x14ac:dyDescent="0.2">
      <c r="T1008" s="11"/>
    </row>
    <row r="1009" spans="20:20" x14ac:dyDescent="0.2">
      <c r="T1009" s="11"/>
    </row>
    <row r="1010" spans="20:20" x14ac:dyDescent="0.2">
      <c r="T1010" s="11"/>
    </row>
    <row r="1011" spans="20:20" x14ac:dyDescent="0.2">
      <c r="T1011" s="11"/>
    </row>
    <row r="1012" spans="20:20" x14ac:dyDescent="0.2">
      <c r="T1012" s="11"/>
    </row>
    <row r="1013" spans="20:20" x14ac:dyDescent="0.2">
      <c r="T1013" s="11"/>
    </row>
    <row r="1014" spans="20:20" x14ac:dyDescent="0.2">
      <c r="T1014" s="11"/>
    </row>
    <row r="1015" spans="20:20" x14ac:dyDescent="0.2">
      <c r="T1015" s="11"/>
    </row>
    <row r="1016" spans="20:20" x14ac:dyDescent="0.2">
      <c r="T1016" s="11"/>
    </row>
    <row r="1017" spans="20:20" x14ac:dyDescent="0.2">
      <c r="T1017" s="11"/>
    </row>
    <row r="1018" spans="20:20" x14ac:dyDescent="0.2">
      <c r="T1018" s="11"/>
    </row>
    <row r="1019" spans="20:20" x14ac:dyDescent="0.2">
      <c r="T1019" s="11"/>
    </row>
    <row r="1020" spans="20:20" x14ac:dyDescent="0.2">
      <c r="T1020" s="11"/>
    </row>
    <row r="1021" spans="20:20" x14ac:dyDescent="0.2">
      <c r="T1021" s="11"/>
    </row>
    <row r="1022" spans="20:20" x14ac:dyDescent="0.2">
      <c r="T1022" s="11"/>
    </row>
    <row r="1023" spans="20:20" x14ac:dyDescent="0.2">
      <c r="T1023" s="11"/>
    </row>
    <row r="1024" spans="20:20" x14ac:dyDescent="0.2">
      <c r="T1024" s="11"/>
    </row>
    <row r="1025" spans="20:20" x14ac:dyDescent="0.2">
      <c r="T1025" s="11"/>
    </row>
    <row r="1026" spans="20:20" x14ac:dyDescent="0.2">
      <c r="T1026" s="11"/>
    </row>
    <row r="1027" spans="20:20" x14ac:dyDescent="0.2">
      <c r="T1027" s="11"/>
    </row>
    <row r="1028" spans="20:20" x14ac:dyDescent="0.2">
      <c r="T1028" s="11"/>
    </row>
    <row r="1029" spans="20:20" x14ac:dyDescent="0.2">
      <c r="T1029" s="11"/>
    </row>
    <row r="1030" spans="20:20" x14ac:dyDescent="0.2">
      <c r="T1030" s="11"/>
    </row>
    <row r="1031" spans="20:20" x14ac:dyDescent="0.2">
      <c r="T1031" s="11"/>
    </row>
    <row r="1032" spans="20:20" x14ac:dyDescent="0.2">
      <c r="T1032" s="11"/>
    </row>
    <row r="1033" spans="20:20" x14ac:dyDescent="0.2">
      <c r="T1033" s="11"/>
    </row>
    <row r="1034" spans="20:20" x14ac:dyDescent="0.2">
      <c r="T1034" s="11"/>
    </row>
    <row r="1035" spans="20:20" x14ac:dyDescent="0.2">
      <c r="T1035" s="11"/>
    </row>
    <row r="1036" spans="20:20" x14ac:dyDescent="0.2">
      <c r="T1036" s="11"/>
    </row>
    <row r="1037" spans="20:20" x14ac:dyDescent="0.2">
      <c r="T1037" s="11"/>
    </row>
    <row r="1038" spans="20:20" x14ac:dyDescent="0.2">
      <c r="T1038" s="11"/>
    </row>
    <row r="1039" spans="20:20" x14ac:dyDescent="0.2">
      <c r="T1039" s="11"/>
    </row>
    <row r="1040" spans="20:20" x14ac:dyDescent="0.2">
      <c r="T1040" s="11"/>
    </row>
    <row r="1041" spans="20:20" x14ac:dyDescent="0.2">
      <c r="T1041" s="11"/>
    </row>
    <row r="1042" spans="20:20" x14ac:dyDescent="0.2">
      <c r="T1042" s="11"/>
    </row>
    <row r="1043" spans="20:20" x14ac:dyDescent="0.2">
      <c r="T1043" s="11"/>
    </row>
    <row r="1044" spans="20:20" x14ac:dyDescent="0.2">
      <c r="T1044" s="11"/>
    </row>
    <row r="1045" spans="20:20" x14ac:dyDescent="0.2">
      <c r="T1045" s="11"/>
    </row>
    <row r="1046" spans="20:20" x14ac:dyDescent="0.2">
      <c r="T1046" s="11"/>
    </row>
    <row r="1047" spans="20:20" x14ac:dyDescent="0.2">
      <c r="T1047" s="11"/>
    </row>
    <row r="1048" spans="20:20" x14ac:dyDescent="0.2">
      <c r="T1048" s="11"/>
    </row>
    <row r="1049" spans="20:20" x14ac:dyDescent="0.2">
      <c r="T1049" s="11"/>
    </row>
    <row r="1050" spans="20:20" x14ac:dyDescent="0.2">
      <c r="T1050" s="11"/>
    </row>
    <row r="1051" spans="20:20" x14ac:dyDescent="0.2">
      <c r="T1051" s="11"/>
    </row>
    <row r="1052" spans="20:20" x14ac:dyDescent="0.2">
      <c r="T1052" s="11"/>
    </row>
    <row r="1053" spans="20:20" x14ac:dyDescent="0.2">
      <c r="T1053" s="11"/>
    </row>
    <row r="1054" spans="20:20" x14ac:dyDescent="0.2">
      <c r="T1054" s="11"/>
    </row>
    <row r="1055" spans="20:20" x14ac:dyDescent="0.2">
      <c r="T1055" s="11"/>
    </row>
    <row r="1056" spans="20:20" x14ac:dyDescent="0.2">
      <c r="T1056" s="11"/>
    </row>
    <row r="1057" spans="20:20" x14ac:dyDescent="0.2">
      <c r="T1057" s="11"/>
    </row>
    <row r="1058" spans="20:20" x14ac:dyDescent="0.2">
      <c r="T1058" s="11"/>
    </row>
    <row r="1059" spans="20:20" x14ac:dyDescent="0.2">
      <c r="T1059" s="11"/>
    </row>
    <row r="1060" spans="20:20" x14ac:dyDescent="0.2">
      <c r="T1060" s="11"/>
    </row>
    <row r="1061" spans="20:20" x14ac:dyDescent="0.2">
      <c r="T1061" s="11"/>
    </row>
    <row r="1062" spans="20:20" x14ac:dyDescent="0.2">
      <c r="T1062" s="11"/>
    </row>
    <row r="1063" spans="20:20" x14ac:dyDescent="0.2">
      <c r="T1063" s="11"/>
    </row>
    <row r="1064" spans="20:20" x14ac:dyDescent="0.2">
      <c r="T1064" s="11"/>
    </row>
    <row r="1065" spans="20:20" x14ac:dyDescent="0.2">
      <c r="T1065" s="11"/>
    </row>
    <row r="1066" spans="20:20" x14ac:dyDescent="0.2">
      <c r="T1066" s="11"/>
    </row>
    <row r="1067" spans="20:20" x14ac:dyDescent="0.2">
      <c r="T1067" s="11"/>
    </row>
    <row r="1068" spans="20:20" x14ac:dyDescent="0.2">
      <c r="T1068" s="11"/>
    </row>
    <row r="1069" spans="20:20" x14ac:dyDescent="0.2">
      <c r="T1069" s="11"/>
    </row>
    <row r="1070" spans="20:20" x14ac:dyDescent="0.2">
      <c r="T1070" s="11"/>
    </row>
    <row r="1071" spans="20:20" x14ac:dyDescent="0.2">
      <c r="T1071" s="11"/>
    </row>
    <row r="1072" spans="20:20" x14ac:dyDescent="0.2">
      <c r="T1072" s="11"/>
    </row>
    <row r="1073" spans="20:20" x14ac:dyDescent="0.2">
      <c r="T1073" s="11"/>
    </row>
    <row r="1074" spans="20:20" x14ac:dyDescent="0.2">
      <c r="T1074" s="11"/>
    </row>
    <row r="1075" spans="20:20" x14ac:dyDescent="0.2">
      <c r="T1075" s="11"/>
    </row>
    <row r="1076" spans="20:20" x14ac:dyDescent="0.2">
      <c r="T1076" s="11"/>
    </row>
    <row r="1077" spans="20:20" x14ac:dyDescent="0.2">
      <c r="T1077" s="11"/>
    </row>
    <row r="1078" spans="20:20" x14ac:dyDescent="0.2">
      <c r="T1078" s="11"/>
    </row>
    <row r="1079" spans="20:20" x14ac:dyDescent="0.2">
      <c r="T1079" s="11"/>
    </row>
    <row r="1080" spans="20:20" x14ac:dyDescent="0.2">
      <c r="T1080" s="11"/>
    </row>
    <row r="1081" spans="20:20" x14ac:dyDescent="0.2">
      <c r="T1081" s="11"/>
    </row>
    <row r="1082" spans="20:20" x14ac:dyDescent="0.2">
      <c r="T1082" s="11"/>
    </row>
    <row r="1083" spans="20:20" x14ac:dyDescent="0.2">
      <c r="T1083" s="11"/>
    </row>
    <row r="1084" spans="20:20" x14ac:dyDescent="0.2">
      <c r="T1084" s="11"/>
    </row>
    <row r="1085" spans="20:20" x14ac:dyDescent="0.2">
      <c r="T1085" s="11"/>
    </row>
    <row r="1086" spans="20:20" x14ac:dyDescent="0.2">
      <c r="T1086" s="11"/>
    </row>
    <row r="1087" spans="20:20" x14ac:dyDescent="0.2">
      <c r="T1087" s="11"/>
    </row>
    <row r="1088" spans="20:20" x14ac:dyDescent="0.2">
      <c r="T1088" s="11"/>
    </row>
    <row r="1089" spans="20:20" x14ac:dyDescent="0.2">
      <c r="T1089" s="11"/>
    </row>
    <row r="1090" spans="20:20" x14ac:dyDescent="0.2">
      <c r="T1090" s="11"/>
    </row>
    <row r="1091" spans="20:20" x14ac:dyDescent="0.2">
      <c r="T1091" s="11"/>
    </row>
    <row r="1092" spans="20:20" x14ac:dyDescent="0.2">
      <c r="T1092" s="11"/>
    </row>
    <row r="1093" spans="20:20" x14ac:dyDescent="0.2">
      <c r="T1093" s="11"/>
    </row>
    <row r="1094" spans="20:20" x14ac:dyDescent="0.2">
      <c r="T1094" s="11"/>
    </row>
    <row r="1095" spans="20:20" x14ac:dyDescent="0.2">
      <c r="T1095" s="11"/>
    </row>
    <row r="1096" spans="20:20" x14ac:dyDescent="0.2">
      <c r="T1096" s="11"/>
    </row>
    <row r="1097" spans="20:20" x14ac:dyDescent="0.2">
      <c r="T1097" s="11"/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F2:G1001">
    <cfRule type="cellIs" dxfId="16" priority="6" operator="equal">
      <formula>"canceled"</formula>
    </cfRule>
    <cfRule type="cellIs" dxfId="15" priority="7" operator="equal">
      <formula>"live"</formula>
    </cfRule>
    <cfRule type="cellIs" dxfId="14" priority="8" operator="equal">
      <formula>"successful"</formula>
    </cfRule>
    <cfRule type="cellIs" dxfId="13" priority="9" operator="equal">
      <formula>"failed"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66DA-CD8B-DB4A-B188-B0A26B3BA7DE}">
  <dimension ref="A2:F31"/>
  <sheetViews>
    <sheetView workbookViewId="0">
      <selection activeCell="D23" sqref="D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7" customWidth="1"/>
    <col min="4" max="4" width="4.1640625" bestFit="1" customWidth="1"/>
    <col min="5" max="5" width="9.5" bestFit="1" customWidth="1"/>
    <col min="6" max="6" width="10.83203125" bestFit="1" customWidth="1"/>
    <col min="7" max="7" width="18.83203125" bestFit="1" customWidth="1"/>
    <col min="8" max="8" width="15.6640625" bestFit="1" customWidth="1"/>
    <col min="9" max="9" width="18.83203125" bestFit="1" customWidth="1"/>
    <col min="10" max="10" width="20.5" bestFit="1" customWidth="1"/>
    <col min="11" max="11" width="23.6640625" bestFit="1" customWidth="1"/>
  </cols>
  <sheetData>
    <row r="2" spans="1:6" x14ac:dyDescent="0.2">
      <c r="A2" s="7" t="s">
        <v>6</v>
      </c>
      <c r="B2" t="s">
        <v>2034</v>
      </c>
    </row>
    <row r="4" spans="1:6" x14ac:dyDescent="0.2">
      <c r="A4" s="7" t="s">
        <v>2035</v>
      </c>
      <c r="B4" s="7" t="s">
        <v>2047</v>
      </c>
    </row>
    <row r="5" spans="1:6" x14ac:dyDescent="0.2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8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8" t="s">
        <v>2039</v>
      </c>
      <c r="B7">
        <v>4</v>
      </c>
      <c r="C7">
        <v>20</v>
      </c>
      <c r="E7">
        <v>22</v>
      </c>
      <c r="F7">
        <v>46</v>
      </c>
    </row>
    <row r="8" spans="1:6" x14ac:dyDescent="0.2">
      <c r="A8" s="8" t="s">
        <v>2040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8" t="s">
        <v>2041</v>
      </c>
      <c r="E9">
        <v>4</v>
      </c>
      <c r="F9">
        <v>4</v>
      </c>
    </row>
    <row r="10" spans="1:6" x14ac:dyDescent="0.2">
      <c r="A10" s="8" t="s">
        <v>2042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8" t="s">
        <v>2043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8" t="s">
        <v>2044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8" t="s">
        <v>2045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8" t="s">
        <v>2046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8" t="s">
        <v>2037</v>
      </c>
      <c r="B15">
        <v>57</v>
      </c>
      <c r="C15">
        <v>364</v>
      </c>
      <c r="D15">
        <v>14</v>
      </c>
      <c r="E15">
        <v>565</v>
      </c>
      <c r="F15">
        <v>1000</v>
      </c>
    </row>
    <row r="22" spans="1:3" x14ac:dyDescent="0.2">
      <c r="A22" t="s">
        <v>2089</v>
      </c>
      <c r="B22" t="s">
        <v>14</v>
      </c>
      <c r="C22" t="s">
        <v>2088</v>
      </c>
    </row>
    <row r="23" spans="1:3" x14ac:dyDescent="0.2">
      <c r="A23" s="8" t="s">
        <v>2038</v>
      </c>
      <c r="B23">
        <f t="shared" ref="B23:B31" si="0">C6/F6</f>
        <v>0.33707865168539325</v>
      </c>
      <c r="C23">
        <f t="shared" ref="C23:C31" si="1">E6/F6</f>
        <v>0.5730337078651685</v>
      </c>
    </row>
    <row r="24" spans="1:3" x14ac:dyDescent="0.2">
      <c r="A24" s="8" t="s">
        <v>2039</v>
      </c>
      <c r="B24">
        <f t="shared" si="0"/>
        <v>0.43478260869565216</v>
      </c>
      <c r="C24">
        <f t="shared" si="1"/>
        <v>0.47826086956521741</v>
      </c>
    </row>
    <row r="25" spans="1:3" x14ac:dyDescent="0.2">
      <c r="A25" s="8" t="s">
        <v>2040</v>
      </c>
      <c r="B25">
        <f t="shared" si="0"/>
        <v>0.47916666666666669</v>
      </c>
      <c r="C25">
        <f t="shared" si="1"/>
        <v>0.4375</v>
      </c>
    </row>
    <row r="26" spans="1:3" x14ac:dyDescent="0.2">
      <c r="A26" s="8" t="s">
        <v>2041</v>
      </c>
      <c r="B26">
        <f t="shared" si="0"/>
        <v>0</v>
      </c>
      <c r="C26">
        <f t="shared" si="1"/>
        <v>1</v>
      </c>
    </row>
    <row r="27" spans="1:3" x14ac:dyDescent="0.2">
      <c r="A27" s="8" t="s">
        <v>2042</v>
      </c>
      <c r="B27">
        <f t="shared" si="0"/>
        <v>0.37714285714285717</v>
      </c>
      <c r="C27">
        <f t="shared" si="1"/>
        <v>0.56571428571428573</v>
      </c>
    </row>
    <row r="28" spans="1:3" x14ac:dyDescent="0.2">
      <c r="A28" s="8" t="s">
        <v>2043</v>
      </c>
      <c r="B28">
        <f t="shared" si="0"/>
        <v>0.26190476190476192</v>
      </c>
      <c r="C28">
        <f t="shared" si="1"/>
        <v>0.61904761904761907</v>
      </c>
    </row>
    <row r="29" spans="1:3" x14ac:dyDescent="0.2">
      <c r="A29" s="8" t="s">
        <v>2044</v>
      </c>
      <c r="B29">
        <f t="shared" si="0"/>
        <v>0.35820895522388058</v>
      </c>
      <c r="C29">
        <f t="shared" si="1"/>
        <v>0.59701492537313428</v>
      </c>
    </row>
    <row r="30" spans="1:3" x14ac:dyDescent="0.2">
      <c r="A30" s="8" t="s">
        <v>2045</v>
      </c>
      <c r="B30">
        <f t="shared" si="0"/>
        <v>0.29166666666666669</v>
      </c>
      <c r="C30">
        <f t="shared" si="1"/>
        <v>0.66666666666666663</v>
      </c>
    </row>
    <row r="31" spans="1:3" x14ac:dyDescent="0.2">
      <c r="A31" s="8" t="s">
        <v>2046</v>
      </c>
      <c r="B31">
        <f t="shared" si="0"/>
        <v>0.38372093023255816</v>
      </c>
      <c r="C31">
        <f t="shared" si="1"/>
        <v>0.54360465116279066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3A06-8042-3145-9348-0E5BAC888246}">
  <dimension ref="A1:J30"/>
  <sheetViews>
    <sheetView workbookViewId="0">
      <selection activeCell="B19" sqref="B1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10" x14ac:dyDescent="0.2">
      <c r="A1" s="7" t="s">
        <v>6</v>
      </c>
      <c r="B1" t="s">
        <v>2034</v>
      </c>
    </row>
    <row r="2" spans="1:10" x14ac:dyDescent="0.2">
      <c r="A2" s="7" t="s">
        <v>2032</v>
      </c>
      <c r="B2" t="s">
        <v>2034</v>
      </c>
    </row>
    <row r="4" spans="1:10" x14ac:dyDescent="0.2">
      <c r="A4" s="7" t="s">
        <v>2035</v>
      </c>
      <c r="B4" s="7" t="s">
        <v>2047</v>
      </c>
    </row>
    <row r="5" spans="1:10" x14ac:dyDescent="0.2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  <c r="J5" s="13"/>
    </row>
    <row r="6" spans="1:10" x14ac:dyDescent="0.2">
      <c r="A6" s="8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10" x14ac:dyDescent="0.2">
      <c r="A7" s="8" t="s">
        <v>2057</v>
      </c>
      <c r="E7">
        <v>4</v>
      </c>
      <c r="F7">
        <v>4</v>
      </c>
    </row>
    <row r="8" spans="1:10" x14ac:dyDescent="0.2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10" x14ac:dyDescent="0.2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10" x14ac:dyDescent="0.2">
      <c r="A10" s="8" t="s">
        <v>2058</v>
      </c>
      <c r="C10">
        <v>8</v>
      </c>
      <c r="E10">
        <v>10</v>
      </c>
      <c r="F10">
        <v>18</v>
      </c>
    </row>
    <row r="11" spans="1:10" x14ac:dyDescent="0.2">
      <c r="A11" s="8" t="s">
        <v>2065</v>
      </c>
      <c r="B11">
        <v>1</v>
      </c>
      <c r="C11">
        <v>7</v>
      </c>
      <c r="E11">
        <v>9</v>
      </c>
      <c r="F11">
        <v>17</v>
      </c>
    </row>
    <row r="12" spans="1:10" x14ac:dyDescent="0.2">
      <c r="A12" s="8" t="s">
        <v>2054</v>
      </c>
      <c r="B12">
        <v>4</v>
      </c>
      <c r="C12">
        <v>20</v>
      </c>
      <c r="E12">
        <v>22</v>
      </c>
      <c r="F12">
        <v>46</v>
      </c>
    </row>
    <row r="13" spans="1:10" x14ac:dyDescent="0.2">
      <c r="A13" s="8" t="s">
        <v>2059</v>
      </c>
      <c r="B13">
        <v>3</v>
      </c>
      <c r="C13">
        <v>19</v>
      </c>
      <c r="E13">
        <v>23</v>
      </c>
      <c r="F13">
        <v>45</v>
      </c>
    </row>
    <row r="14" spans="1:10" x14ac:dyDescent="0.2">
      <c r="A14" s="8" t="s">
        <v>2060</v>
      </c>
      <c r="B14">
        <v>1</v>
      </c>
      <c r="C14">
        <v>6</v>
      </c>
      <c r="E14">
        <v>10</v>
      </c>
      <c r="F14">
        <v>17</v>
      </c>
    </row>
    <row r="15" spans="1:10" x14ac:dyDescent="0.2">
      <c r="A15" s="8" t="s">
        <v>2061</v>
      </c>
      <c r="C15">
        <v>3</v>
      </c>
      <c r="E15">
        <v>4</v>
      </c>
      <c r="F15">
        <v>7</v>
      </c>
    </row>
    <row r="16" spans="1:10" x14ac:dyDescent="0.2">
      <c r="A16" s="8" t="s">
        <v>2055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2066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2064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2071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2067</v>
      </c>
      <c r="C20">
        <v>4</v>
      </c>
      <c r="E20">
        <v>4</v>
      </c>
      <c r="F20">
        <v>8</v>
      </c>
    </row>
    <row r="21" spans="1:6" x14ac:dyDescent="0.2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2051</v>
      </c>
      <c r="C22">
        <v>9</v>
      </c>
      <c r="E22">
        <v>5</v>
      </c>
      <c r="F22">
        <v>14</v>
      </c>
    </row>
    <row r="23" spans="1:6" x14ac:dyDescent="0.2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2053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2068</v>
      </c>
      <c r="C25">
        <v>7</v>
      </c>
      <c r="E25">
        <v>14</v>
      </c>
      <c r="F25">
        <v>21</v>
      </c>
    </row>
    <row r="26" spans="1:6" x14ac:dyDescent="0.2">
      <c r="A26" s="8" t="s">
        <v>2056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2063</v>
      </c>
      <c r="E29">
        <v>3</v>
      </c>
      <c r="F29">
        <v>3</v>
      </c>
    </row>
    <row r="30" spans="1:6" x14ac:dyDescent="0.2">
      <c r="A30" s="8" t="s">
        <v>2037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C3D2-A6A2-714E-9278-B0C3787AA2F5}">
  <dimension ref="A1:E18"/>
  <sheetViews>
    <sheetView workbookViewId="0">
      <selection activeCell="F8" sqref="F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2031</v>
      </c>
      <c r="B1" t="s">
        <v>2034</v>
      </c>
    </row>
    <row r="2" spans="1:5" x14ac:dyDescent="0.2">
      <c r="A2" s="7" t="s">
        <v>2086</v>
      </c>
      <c r="B2" t="s">
        <v>2034</v>
      </c>
    </row>
    <row r="4" spans="1:5" x14ac:dyDescent="0.2">
      <c r="A4" s="7" t="s">
        <v>2035</v>
      </c>
      <c r="B4" s="7" t="s">
        <v>2047</v>
      </c>
    </row>
    <row r="5" spans="1:5" x14ac:dyDescent="0.2">
      <c r="A5" s="7" t="s">
        <v>2036</v>
      </c>
      <c r="B5" t="s">
        <v>74</v>
      </c>
      <c r="C5" t="s">
        <v>14</v>
      </c>
      <c r="D5" t="s">
        <v>20</v>
      </c>
      <c r="E5" t="s">
        <v>2037</v>
      </c>
    </row>
    <row r="6" spans="1:5" x14ac:dyDescent="0.2">
      <c r="A6" s="12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2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2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2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2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2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2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2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2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2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2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2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2" t="s">
        <v>2037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5382-F83F-6A49-A74F-D9F06EAE8378}">
  <dimension ref="A1:H13"/>
  <sheetViews>
    <sheetView workbookViewId="0">
      <selection activeCell="B2" sqref="B2"/>
    </sheetView>
  </sheetViews>
  <sheetFormatPr baseColWidth="10" defaultRowHeight="16" x14ac:dyDescent="0.2"/>
  <cols>
    <col min="1" max="1" width="30.8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s="1" customFormat="1" x14ac:dyDescent="0.2">
      <c r="A1" s="1" t="s">
        <v>2090</v>
      </c>
      <c r="B1" s="1" t="s">
        <v>2091</v>
      </c>
      <c r="C1" s="1" t="s">
        <v>2092</v>
      </c>
      <c r="D1" s="1" t="s">
        <v>2093</v>
      </c>
      <c r="E1" s="1" t="s">
        <v>2094</v>
      </c>
      <c r="F1" s="1" t="s">
        <v>2095</v>
      </c>
      <c r="G1" s="1" t="s">
        <v>2096</v>
      </c>
      <c r="H1" s="1" t="s">
        <v>2097</v>
      </c>
    </row>
    <row r="2" spans="1:8" x14ac:dyDescent="0.2">
      <c r="A2" s="14" t="s">
        <v>2098</v>
      </c>
      <c r="B2">
        <f>COUNTIFS(Crowdfunding!D2:D1001,"&lt;1000",Crowdfunding!F2:F1001,"successful")</f>
        <v>30</v>
      </c>
      <c r="C2">
        <f>COUNTIFS(Crowdfunding!D2:D1001,"&lt;1000",Crowdfunding!F2:F1001,"failed")</f>
        <v>20</v>
      </c>
      <c r="D2">
        <f>COUNTIFS(Crowdfunding!D2:D1001,"&lt;1000",Crowdfunding!F2:F1001,"canceled")</f>
        <v>1</v>
      </c>
      <c r="E2">
        <f>B2+C2+D2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s="14" t="s">
        <v>2099</v>
      </c>
      <c r="B3">
        <f>COUNTIFS(Crowdfunding!D2:D1001,"&gt;=1000",Crowdfunding!D2:D1001,"&lt;=4999",Crowdfunding!F2:F1001,"successful")</f>
        <v>191</v>
      </c>
      <c r="C3">
        <f>COUNTIFS(Crowdfunding!D2:D1001,"&gt;=1000",Crowdfunding!D2:D1001,"&lt;=4999",Crowdfunding!F2:F1001,"failed")</f>
        <v>38</v>
      </c>
      <c r="D3">
        <f>COUNTIFS(Crowdfunding!D2:D1001,"&gt;=1000",Crowdfunding!D2:D1001,"&lt;=4999",Crowdfunding!F2:F1001,"canceled")</f>
        <v>2</v>
      </c>
      <c r="E3">
        <f t="shared" ref="E3:E13" si="0">B3+C3+D3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s="14" t="s">
        <v>2100</v>
      </c>
      <c r="B4">
        <f>COUNTIFS(Crowdfunding!D2:D1001,"&gt;=5000",Crowdfunding!D2:D1001,"&lt;=9999",Crowdfunding!F2:F1001,"successful")</f>
        <v>164</v>
      </c>
      <c r="C4">
        <f>COUNTIFS(Crowdfunding!D2:D1001,"&gt;=5000",Crowdfunding!D2:D1001,"&lt;=9999",Crowdfunding!F2:F1001,"failed")</f>
        <v>126</v>
      </c>
      <c r="D4">
        <f>COUNTIFS(Crowdfunding!D2:D1001,"&gt;=5000",Crowdfunding!D2:D1001,"&lt;=9999",Crowdfunding!F2:F1001,"canceled")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s="14" t="s">
        <v>2101</v>
      </c>
      <c r="B5">
        <f>COUNTIFS(Crowdfunding!D2:D1001,"&gt;=10000",Crowdfunding!D2:D1001,"&lt;=14999",Crowdfunding!F2:F1001,"successful")</f>
        <v>4</v>
      </c>
      <c r="C5">
        <f>COUNTIFS(Crowdfunding!D2:D1001,"&gt;=10000",Crowdfunding!D2:D1001,"&lt;=14999",Crowdfunding!F2:F1001,"failed")</f>
        <v>5</v>
      </c>
      <c r="D5">
        <f>COUNTIFS(Crowdfunding!D2:D1001,"&gt;=10000",Crowdfunding!D2:D1001,"&lt;=14999",Crowdfunding!F2:F1001,"canceled")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s="14" t="s">
        <v>2102</v>
      </c>
      <c r="B6">
        <f>COUNTIFS(Crowdfunding!D2:D1001,"&gt;=15000",Crowdfunding!D2:D1001,"&lt;=19999",Crowdfunding!F2:F1001,"successful")</f>
        <v>10</v>
      </c>
      <c r="C6">
        <f>COUNTIFS(Crowdfunding!D2:D1001,"&gt;=15000",Crowdfunding!D2:D1001,"&lt;=19999",Crowdfunding!F2:F1001,"failed")</f>
        <v>0</v>
      </c>
      <c r="D6">
        <f>COUNTIFS(Crowdfunding!D2:D1001,"&gt;=15000",Crowdfunding!D2:D1001,"&lt;=19999",Crowdfunding!F2:F1001,"canceled")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s="14" t="s">
        <v>2103</v>
      </c>
      <c r="B7">
        <f>COUNTIFS(Crowdfunding!D2:D1001,"&gt;=20000",Crowdfunding!D2:D1001,"&lt;=24999",Crowdfunding!F2:F1001,"successful")</f>
        <v>7</v>
      </c>
      <c r="C7">
        <f>COUNTIFS(Crowdfunding!D2:D1001,"&gt;=20000",Crowdfunding!D2:D1001,"&lt;=24999",Crowdfunding!F2:F1001,"failed")</f>
        <v>0</v>
      </c>
      <c r="D7">
        <f>COUNTIFS(Crowdfunding!D2:D1001,"&gt;=20000",Crowdfunding!D2:D1001,"&lt;=24999",Crowdfunding!F2:F1001,"canceled")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s="14" t="s">
        <v>2104</v>
      </c>
      <c r="B8">
        <f>COUNTIFS(Crowdfunding!D2:D1001,"&gt;=25000",Crowdfunding!D2:D1001,"&lt;=29999",Crowdfunding!F2:F1001,"successful")</f>
        <v>11</v>
      </c>
      <c r="C8">
        <f>COUNTIFS(Crowdfunding!D2:D1001,"&gt;=25000",Crowdfunding!D2:D1001,"&lt;=29999",Crowdfunding!F2:F1001,"failed")</f>
        <v>3</v>
      </c>
      <c r="D8">
        <f>COUNTIFS(Crowdfunding!D2:D1001,"&gt;=25000",Crowdfunding!D2:D1001,"&lt;=29999",Crowdfunding!F2:F1001,"cancelled")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s="14" t="s">
        <v>2105</v>
      </c>
      <c r="B9">
        <f>COUNTIFS(Crowdfunding!D2:D1001,"&gt;=30000",Crowdfunding!D2:D1001,"&lt;=34999",Crowdfunding!F2:F1001,"successful")</f>
        <v>7</v>
      </c>
      <c r="C9">
        <f>COUNTIFS(Crowdfunding!D2:D1001,"&gt;=30000",Crowdfunding!D2:D1001,"&lt;=34999",Crowdfunding!F2:F1001,"failed")</f>
        <v>0</v>
      </c>
      <c r="D9">
        <f>COUNTIFS(Crowdfunding!D2:D1001,"&gt;=30000",Crowdfunding!D2:D1001,"&lt;=34999",Crowdfunding!F2:F1001,"canceled")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s="14" t="s">
        <v>2106</v>
      </c>
      <c r="B10">
        <f>COUNTIFS(Crowdfunding!D2:D1001,"&gt;=35000",Crowdfunding!D2:D1001,"&lt;=39999",Crowdfunding!F2:F1001,"successful")</f>
        <v>8</v>
      </c>
      <c r="C10">
        <f>COUNTIFS(Crowdfunding!D2:D1001,"&gt;=35000",Crowdfunding!D2:D1001,"&lt;=39999",Crowdfunding!F2:F1001,"failed")</f>
        <v>3</v>
      </c>
      <c r="D10">
        <f>COUNTIFS(Crowdfunding!D2:D1001,"&gt;=35000",Crowdfunding!D2:D1001,"&lt;=39999",Crowdfunding!F2:F1001,"canceled")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s="14" t="s">
        <v>2107</v>
      </c>
      <c r="B11">
        <f>COUNTIFS(Crowdfunding!D2:D1001,"&gt;=40000",Crowdfunding!D2:D1001,"&lt;=44999",Crowdfunding!F2:F1001,"successful")</f>
        <v>11</v>
      </c>
      <c r="C11">
        <f>COUNTIFS(Crowdfunding!D2:D1001,"&gt;=40000",Crowdfunding!D2:D1001,"&lt;=44999",Crowdfunding!F2:F1001,"failed")</f>
        <v>3</v>
      </c>
      <c r="D11">
        <f>COUNTIFS(Crowdfunding!D2:D1001,"&gt;=40000",Crowdfunding!D2:D1001,"&lt;=44999",Crowdfunding!F2:F1001,"canceled")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s="14" t="s">
        <v>2108</v>
      </c>
      <c r="B12">
        <f>COUNTIFS(Crowdfunding!D2:D1001,"&gt;=45000",Crowdfunding!D2:D1001,"&lt;=49999",Crowdfunding!F2:F1001,"successful")</f>
        <v>8</v>
      </c>
      <c r="C12">
        <f>COUNTIFS(Crowdfunding!D2:D1001,"&gt;=45000",Crowdfunding!D2:D1001,"&lt;=49999",Crowdfunding!F2:F1001,"failed")</f>
        <v>3</v>
      </c>
      <c r="D12">
        <f>COUNTIFS(Crowdfunding!D2:D1001,"&gt;=45000",Crowdfunding!D2:D1001,"&lt;=49999",Crowdfunding!F2:F1001,"canceled")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s="14" t="s">
        <v>2109</v>
      </c>
      <c r="B13">
        <f>COUNTIFS(Crowdfunding!D2:D1001,"&gt;=50000",Crowdfunding!F2:F1001,"successful")</f>
        <v>114</v>
      </c>
      <c r="C13">
        <f>COUNTIFS(Crowdfunding!D2:D1001,"&gt;=50000",Crowdfunding!F2:F1001,"failed")</f>
        <v>163</v>
      </c>
      <c r="D13">
        <f>COUNTIFS(Crowdfunding!D2:D1001,"&gt;=50000",Crowdfunding!F2:F1001,"canceled")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8FBE-3313-E540-AAE7-4991A886A78B}">
  <dimension ref="A1:J566"/>
  <sheetViews>
    <sheetView workbookViewId="0">
      <selection activeCell="G199" sqref="G199"/>
    </sheetView>
  </sheetViews>
  <sheetFormatPr baseColWidth="10" defaultRowHeight="16" x14ac:dyDescent="0.2"/>
  <cols>
    <col min="2" max="2" width="13" bestFit="1" customWidth="1"/>
    <col min="5" max="5" width="13" bestFit="1" customWidth="1"/>
    <col min="7" max="7" width="21.6640625" bestFit="1" customWidth="1"/>
    <col min="8" max="9" width="23.5" bestFit="1" customWidth="1"/>
  </cols>
  <sheetData>
    <row r="1" spans="1:10" s="15" customFormat="1" x14ac:dyDescent="0.2">
      <c r="A1" s="15" t="s">
        <v>4</v>
      </c>
      <c r="B1" s="1" t="s">
        <v>5</v>
      </c>
      <c r="D1" s="1" t="s">
        <v>4</v>
      </c>
      <c r="E1" s="1" t="s">
        <v>5</v>
      </c>
      <c r="G1" s="16" t="s">
        <v>2110</v>
      </c>
      <c r="I1" s="16" t="s">
        <v>2111</v>
      </c>
    </row>
    <row r="2" spans="1:10" x14ac:dyDescent="0.2">
      <c r="A2" t="s">
        <v>20</v>
      </c>
      <c r="B2">
        <v>158</v>
      </c>
      <c r="D2" t="s">
        <v>14</v>
      </c>
      <c r="E2">
        <v>0</v>
      </c>
      <c r="G2" t="s">
        <v>2112</v>
      </c>
      <c r="H2">
        <f>AVERAGE(success)</f>
        <v>851.14690265486729</v>
      </c>
      <c r="I2" t="s">
        <v>2112</v>
      </c>
      <c r="J2">
        <f>AVERAGE(unsuccess)</f>
        <v>585.61538461538464</v>
      </c>
    </row>
    <row r="3" spans="1:10" x14ac:dyDescent="0.2">
      <c r="A3" t="s">
        <v>20</v>
      </c>
      <c r="B3">
        <v>1425</v>
      </c>
      <c r="D3" t="s">
        <v>14</v>
      </c>
      <c r="E3">
        <v>24</v>
      </c>
      <c r="G3" t="s">
        <v>2113</v>
      </c>
      <c r="H3">
        <f>MEDIAN(success)</f>
        <v>201</v>
      </c>
      <c r="I3" t="s">
        <v>2113</v>
      </c>
      <c r="J3">
        <f>MEDIAN(unsuccess)</f>
        <v>114.5</v>
      </c>
    </row>
    <row r="4" spans="1:10" x14ac:dyDescent="0.2">
      <c r="A4" t="s">
        <v>20</v>
      </c>
      <c r="B4">
        <v>174</v>
      </c>
      <c r="D4" t="s">
        <v>14</v>
      </c>
      <c r="E4">
        <v>53</v>
      </c>
      <c r="G4" t="s">
        <v>2114</v>
      </c>
      <c r="H4">
        <f>MAX(success)</f>
        <v>7295</v>
      </c>
      <c r="I4" t="s">
        <v>2114</v>
      </c>
      <c r="J4">
        <f>MAX(unsuccess)</f>
        <v>6080</v>
      </c>
    </row>
    <row r="5" spans="1:10" x14ac:dyDescent="0.2">
      <c r="A5" t="s">
        <v>20</v>
      </c>
      <c r="B5">
        <v>227</v>
      </c>
      <c r="D5" t="s">
        <v>14</v>
      </c>
      <c r="E5">
        <v>18</v>
      </c>
      <c r="G5" t="s">
        <v>2115</v>
      </c>
      <c r="H5">
        <f>_xlfn.VAR.S(success)</f>
        <v>1606216.5936295739</v>
      </c>
      <c r="I5" t="s">
        <v>2115</v>
      </c>
      <c r="J5">
        <f>_xlfn.VAR.S(unsuccess)</f>
        <v>924113.45496927318</v>
      </c>
    </row>
    <row r="6" spans="1:10" x14ac:dyDescent="0.2">
      <c r="A6" t="s">
        <v>20</v>
      </c>
      <c r="B6">
        <v>220</v>
      </c>
      <c r="D6" t="s">
        <v>14</v>
      </c>
      <c r="E6">
        <v>44</v>
      </c>
      <c r="G6" t="s">
        <v>2116</v>
      </c>
      <c r="H6">
        <f>_xlfn.STDEV.S(success)</f>
        <v>1267.366006183523</v>
      </c>
      <c r="I6" t="s">
        <v>2116</v>
      </c>
      <c r="J6">
        <f>_xlfn.STDEV.S(unsuccess)</f>
        <v>961.30819978260524</v>
      </c>
    </row>
    <row r="7" spans="1:10" x14ac:dyDescent="0.2">
      <c r="A7" t="s">
        <v>20</v>
      </c>
      <c r="B7">
        <v>98</v>
      </c>
      <c r="D7" t="s">
        <v>14</v>
      </c>
      <c r="E7">
        <v>27</v>
      </c>
    </row>
    <row r="8" spans="1:10" x14ac:dyDescent="0.2">
      <c r="A8" t="s">
        <v>20</v>
      </c>
      <c r="B8">
        <v>100</v>
      </c>
      <c r="D8" t="s">
        <v>14</v>
      </c>
      <c r="E8">
        <v>55</v>
      </c>
    </row>
    <row r="9" spans="1:10" x14ac:dyDescent="0.2">
      <c r="A9" t="s">
        <v>20</v>
      </c>
      <c r="B9">
        <v>1249</v>
      </c>
      <c r="D9" t="s">
        <v>14</v>
      </c>
      <c r="E9">
        <v>200</v>
      </c>
    </row>
    <row r="10" spans="1:10" x14ac:dyDescent="0.2">
      <c r="A10" t="s">
        <v>20</v>
      </c>
      <c r="B10">
        <v>1396</v>
      </c>
      <c r="D10" t="s">
        <v>14</v>
      </c>
      <c r="E10">
        <v>452</v>
      </c>
    </row>
    <row r="11" spans="1:10" x14ac:dyDescent="0.2">
      <c r="A11" t="s">
        <v>20</v>
      </c>
      <c r="B11">
        <v>890</v>
      </c>
      <c r="D11" t="s">
        <v>14</v>
      </c>
      <c r="E11">
        <v>674</v>
      </c>
    </row>
    <row r="12" spans="1:10" x14ac:dyDescent="0.2">
      <c r="A12" t="s">
        <v>20</v>
      </c>
      <c r="B12">
        <v>142</v>
      </c>
      <c r="D12" t="s">
        <v>14</v>
      </c>
      <c r="E12">
        <v>558</v>
      </c>
    </row>
    <row r="13" spans="1:10" x14ac:dyDescent="0.2">
      <c r="A13" t="s">
        <v>20</v>
      </c>
      <c r="B13">
        <v>2673</v>
      </c>
      <c r="D13" t="s">
        <v>14</v>
      </c>
      <c r="E13">
        <v>15</v>
      </c>
    </row>
    <row r="14" spans="1:10" x14ac:dyDescent="0.2">
      <c r="A14" t="s">
        <v>20</v>
      </c>
      <c r="B14">
        <v>163</v>
      </c>
      <c r="D14" t="s">
        <v>14</v>
      </c>
      <c r="E14">
        <v>2307</v>
      </c>
    </row>
    <row r="15" spans="1:10" x14ac:dyDescent="0.2">
      <c r="A15" t="s">
        <v>20</v>
      </c>
      <c r="B15">
        <v>2220</v>
      </c>
      <c r="D15" t="s">
        <v>14</v>
      </c>
      <c r="E15">
        <v>88</v>
      </c>
    </row>
    <row r="16" spans="1:10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">
    <cfRule type="cellIs" dxfId="11" priority="9" operator="equal">
      <formula>"canceled"</formula>
    </cfRule>
    <cfRule type="cellIs" dxfId="10" priority="10" operator="equal">
      <formula>"live"</formula>
    </cfRule>
    <cfRule type="cellIs" dxfId="9" priority="11" operator="equal">
      <formula>"successful"</formula>
    </cfRule>
    <cfRule type="cellIs" dxfId="8" priority="12" operator="equal">
      <formula>"failed"</formula>
    </cfRule>
  </conditionalFormatting>
  <conditionalFormatting sqref="A2:A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2:D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parent categories</vt:lpstr>
      <vt:lpstr>subcategories</vt:lpstr>
      <vt:lpstr>outcome month chart</vt:lpstr>
      <vt:lpstr>goal analysis</vt:lpstr>
      <vt:lpstr>mean.sd.var.max</vt:lpstr>
      <vt:lpstr>goals</vt:lpstr>
      <vt:lpstr>success</vt:lpstr>
      <vt:lpstr>unsuccess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Alejandra Bridegroom</cp:lastModifiedBy>
  <dcterms:created xsi:type="dcterms:W3CDTF">2021-09-29T18:52:28Z</dcterms:created>
  <dcterms:modified xsi:type="dcterms:W3CDTF">2023-05-17T23:24:08Z</dcterms:modified>
</cp:coreProperties>
</file>