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sfatouros/Downloads/"/>
    </mc:Choice>
  </mc:AlternateContent>
  <xr:revisionPtr revIDLastSave="0" documentId="13_ncr:1_{F2507651-C979-114C-B4E5-8BF5086F5777}" xr6:coauthVersionLast="47" xr6:coauthVersionMax="47" xr10:uidLastSave="{00000000-0000-0000-0000-000000000000}"/>
  <bookViews>
    <workbookView xWindow="11300" yWindow="2680" windowWidth="23260" windowHeight="12580" activeTab="1" xr2:uid="{3B6CAB2D-FD2A-43CB-B650-54F2A7ED2A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6" i="2"/>
  <c r="C25" i="2"/>
  <c r="B1" i="2"/>
  <c r="D1" i="2" s="1"/>
  <c r="B2" i="2"/>
  <c r="C23" i="2" l="1"/>
  <c r="C22" i="2"/>
  <c r="B22" i="2"/>
  <c r="C20" i="2"/>
  <c r="C19" i="2"/>
  <c r="F17" i="2"/>
  <c r="F19" i="2"/>
  <c r="B19" i="2"/>
  <c r="F18" i="2"/>
  <c r="D13" i="2"/>
  <c r="D12" i="2"/>
  <c r="B12" i="2"/>
  <c r="D9" i="2"/>
  <c r="D10" i="2"/>
  <c r="D2" i="2"/>
  <c r="D4" i="2"/>
  <c r="D5" i="2"/>
  <c r="D6" i="2"/>
  <c r="D7" i="2"/>
  <c r="B37" i="2" l="1"/>
  <c r="M42" i="2"/>
  <c r="K42" i="2"/>
  <c r="K41" i="2"/>
  <c r="K40" i="2"/>
  <c r="K39" i="2"/>
  <c r="J15" i="2"/>
  <c r="B17" i="2"/>
  <c r="B16" i="2"/>
  <c r="K30" i="2"/>
  <c r="B38" i="2"/>
  <c r="B31" i="2" l="1"/>
  <c r="B23" i="2"/>
  <c r="B20" i="2"/>
  <c r="B13" i="2"/>
  <c r="C18" i="2"/>
  <c r="D18" i="2" s="1"/>
  <c r="B18" i="2"/>
  <c r="B10" i="2"/>
  <c r="B9" i="2"/>
  <c r="B7" i="2"/>
  <c r="B6" i="2"/>
  <c r="B5" i="2"/>
  <c r="B4" i="2"/>
  <c r="B14" i="2"/>
  <c r="B26" i="2" l="1"/>
  <c r="B28" i="2" l="1"/>
  <c r="B27" i="2"/>
  <c r="B34" i="2" l="1"/>
  <c r="B30" i="2"/>
  <c r="J12" i="2" l="1"/>
  <c r="K36" i="1"/>
  <c r="J8" i="2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tc={5949C714-7D94-4D97-A82C-3AFAE370E672}</author>
    <author>tc={10F75148-79D7-4C80-86DC-D4BA5140107B}</author>
    <author>tc={AE0A7032-08B2-4662-8F45-BD6E7132D8FA}</author>
    <author>tc={38B10A65-64D2-4E78-8C60-B36C5BBD973D}</author>
    <author>tc={435957A6-5410-4D10-B714-54405437A0B2}</author>
    <author>tc={D4E7E233-108F-4F10-B104-D6A0E5832949}</author>
    <author>tc={BCF0B610-0AB3-46FA-BD95-D2565C1654AB}</author>
    <author>tc={EF728C27-B494-4FFE-93D2-46F7D8DDA8D5}</author>
    <author>tc={CE783445-2565-43DA-A7BD-07979F9693DF}</author>
    <author>tc={2D0D1DE3-F600-449E-8772-37C32AA9A11C}</author>
  </authors>
  <commentList>
    <comment ref="G1" authorId="0" shapeId="0" xr:uid="{5949C714-7D94-4D97-A82C-3AFAE370E672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the country have full control of its monetary policy(Y-MIXED-N)</t>
      </text>
    </comment>
    <comment ref="H1" authorId="1" shapeId="0" xr:uid="{10F75148-79D7-4C80-86DC-D4BA5140107B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the disaster cause (or was it expected to cause) a contraction/slowdown of GDP? Y-N-NA</t>
      </text>
    </comment>
    <comment ref="I1" authorId="2" shapeId="0" xr:uid="{AE0A7032-08B2-4662-8F45-BD6E7132D8FA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the disaster cause (or was it expected to cause) an increase in inflation? Y-N-NA</t>
      </text>
    </comment>
    <comment ref="J1" authorId="3" shapeId="0" xr:uid="{38B10A65-64D2-4E78-8C60-B36C5BBD973D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the disaster cause appreciation/depreciation of the exchange rate?  Y-N-NA
Reply:
    Y MEANS DEAVALUATION
Reply:
    Y MEANS DEPRECIATION, N MEANS APPRECIATION NA MEANS NO SIGNIFICANT CHANGE</t>
      </text>
    </comment>
    <comment ref="K1" authorId="4" shapeId="0" xr:uid="{435957A6-5410-4D10-B714-54405437A0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the disaster create challenges for maintaining the peg? (peg countries) Y-N-NA</t>
      </text>
    </comment>
    <comment ref="L1" authorId="5" shapeId="0" xr:uid="{D4E7E233-108F-4F10-B104-D6A0E5832949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the disaster impact reserves? (peg countries) Y-N-NA</t>
      </text>
    </comment>
    <comment ref="M1" authorId="6" shapeId="0" xr:uid="{BCF0B610-0AB3-46FA-BD95-D2565C1654A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monetary policy tightened or was it accommodative? Accommodative-tightened-Neutral</t>
      </text>
    </comment>
    <comment ref="N1" authorId="7" shapeId="0" xr:uid="{EF728C27-B494-4FFE-93D2-46F7D8DD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was the monetary policy tool authorities used? Open</t>
      </text>
    </comment>
    <comment ref="O1" authorId="8" shapeId="0" xr:uid="{CE783445-2565-43DA-A7BD-07979F9693DF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IMF advice to tighten/accommodate monetary policy? Accommodate-tighten-Neutral
Reply:
    Did the staff agree with the authorities' policy action? Y-N
Reply:
    Y-N-NEUTRAL</t>
      </text>
    </comment>
    <comment ref="P1" authorId="9" shapeId="0" xr:uid="{2D0D1DE3-F600-449E-8772-37C32AA9A11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appraisal of monetary policy
Reply:
    Was IMF advice to tighten/accommodate monetary policy in the future? Accommodate-tighten-Neutral</t>
      </text>
    </comment>
  </commentList>
</comments>
</file>

<file path=xl/sharedStrings.xml><?xml version="1.0" encoding="utf-8"?>
<sst xmlns="http://schemas.openxmlformats.org/spreadsheetml/2006/main" count="510" uniqueCount="69">
  <si>
    <t xml:space="preserve">Country </t>
  </si>
  <si>
    <t>Disaster Year</t>
  </si>
  <si>
    <t>Cumulative Damages(% of GDP)</t>
  </si>
  <si>
    <t>incident id</t>
  </si>
  <si>
    <t>Monetary_regime</t>
  </si>
  <si>
    <t>Belize</t>
  </si>
  <si>
    <t>Y</t>
  </si>
  <si>
    <t>MIXED</t>
  </si>
  <si>
    <t>N</t>
  </si>
  <si>
    <t>TIGHTENED</t>
  </si>
  <si>
    <t>REDUCE EXCESS LIQUIDITY</t>
  </si>
  <si>
    <t>TIGHTEN</t>
  </si>
  <si>
    <t>SOFT PEG</t>
  </si>
  <si>
    <t>NA</t>
  </si>
  <si>
    <t>ACCOMODATIVE</t>
  </si>
  <si>
    <t>FISCAL DEFICIT FINANCED BY CENTRAL BANK</t>
  </si>
  <si>
    <t>NEUTRAL</t>
  </si>
  <si>
    <t>Dominica</t>
  </si>
  <si>
    <t>HARD PEG</t>
  </si>
  <si>
    <t>Dominican Republic</t>
  </si>
  <si>
    <t>INCREASE BROAD MONEY GROWTH RATE</t>
  </si>
  <si>
    <t>FLOATING</t>
  </si>
  <si>
    <t>El Salvador</t>
  </si>
  <si>
    <t>DECREASE BROAD MONEY GROWTH RATE</t>
  </si>
  <si>
    <t>DOLLARIZED</t>
  </si>
  <si>
    <t>Fiji</t>
  </si>
  <si>
    <t>HIGHER INTEREST RATES</t>
  </si>
  <si>
    <t>LOWER INTEREST RATES</t>
  </si>
  <si>
    <t>ACCOMMODATE</t>
  </si>
  <si>
    <t>Grenada</t>
  </si>
  <si>
    <t>Haiti</t>
  </si>
  <si>
    <t>Jamaica</t>
  </si>
  <si>
    <t>Marshall Islands</t>
  </si>
  <si>
    <t>Mauritius</t>
  </si>
  <si>
    <t>Micronesia, Fed. States of</t>
  </si>
  <si>
    <t>Moldova</t>
  </si>
  <si>
    <t>Samoa</t>
  </si>
  <si>
    <t>Solomon Islands</t>
  </si>
  <si>
    <t>Sri Lanka</t>
  </si>
  <si>
    <t>St. Vincent and the Grenadines</t>
  </si>
  <si>
    <t>NO CHANGE</t>
  </si>
  <si>
    <t>UNCHANGED</t>
  </si>
  <si>
    <t>decline in growth</t>
  </si>
  <si>
    <t>increase in inflation</t>
  </si>
  <si>
    <t>dollarized</t>
  </si>
  <si>
    <t>hard peg</t>
  </si>
  <si>
    <t>soft peg</t>
  </si>
  <si>
    <t>independent mp</t>
  </si>
  <si>
    <t>depreciation</t>
  </si>
  <si>
    <t>appreciation</t>
  </si>
  <si>
    <t>challenges for the peg(pegged countries)</t>
  </si>
  <si>
    <t>impacted reserves(pegged countries)</t>
  </si>
  <si>
    <t>impacted reserves(overall)</t>
  </si>
  <si>
    <t>INDEPENDENT MP</t>
  </si>
  <si>
    <t>CHANGED MP STANCE</t>
  </si>
  <si>
    <t>UNCHANGED MP STANCE</t>
  </si>
  <si>
    <t>UNCHANGED MP STANCE DUE TO CONSTRAINTS</t>
  </si>
  <si>
    <t>UNCHANGED MP STANCE BY CHOICE</t>
  </si>
  <si>
    <t>TOOL</t>
  </si>
  <si>
    <t>INTEREST RATE</t>
  </si>
  <si>
    <t>MONEY GROWTH</t>
  </si>
  <si>
    <t>OTHER</t>
  </si>
  <si>
    <t>ADVICE FOR TIGHTENING WHEN TIGHTENED</t>
  </si>
  <si>
    <t>ADVICE FOR LOOSENING WHEN TIGHTENED</t>
  </si>
  <si>
    <t>DID NOT DISAGREE WITH TIGHTENING</t>
  </si>
  <si>
    <t>DID NOT DISAGREE WITH LOOSENING</t>
  </si>
  <si>
    <t>Staff Did not Object to Current MP Stance</t>
  </si>
  <si>
    <t>Staff Advised to Change MP Stance in the Near Future</t>
  </si>
  <si>
    <t>changed MP 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</si>
</sst>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3"/>
      <name val="Arial"/>
      <family val="2"/>
    </font>
    <font>
      <sz val="13"/>
      <color rgb="FFFF0000"/>
      <name val="Arial"/>
      <family val="2"/>
    </font>
    <font>
      <b/>
      <sz val="13"/>
      <color rgb="FFFF0000"/>
      <name val="Arial"/>
      <family val="2"/>
    </font>
    <font>
      <sz val="13"/>
      <color theme="9"/>
      <name val="Arial"/>
      <family val="2"/>
    </font>
    <font>
      <sz val="13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1" xfId="0" applyFont="1" applyBorder="1"/>
    <xf numFmtId="0" fontId="4" fillId="0" borderId="1" xfId="0" applyFont="1" applyBorder="1"/>
    <xf numFmtId="2" fontId="4" fillId="0" borderId="1" xfId="0" applyNumberFormat="1" applyFont="1" applyBorder="1"/>
    <xf numFmtId="0" fontId="4" fillId="0" borderId="2" xfId="0" applyFont="1" applyBorder="1"/>
    <xf numFmtId="0" fontId="4" fillId="3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1" fillId="0" borderId="0" xfId="0" applyFont="1"/>
    <xf numFmtId="0" fontId="3" fillId="4" borderId="1" xfId="0" applyFont="1" applyFill="1" applyBorder="1"/>
    <xf numFmtId="0" fontId="4" fillId="4" borderId="1" xfId="0" applyFont="1" applyFill="1" applyBorder="1"/>
    <xf numFmtId="2" fontId="4" fillId="4" borderId="1" xfId="0" applyNumberFormat="1" applyFont="1" applyFill="1" applyBorder="1"/>
    <xf numFmtId="0" fontId="5" fillId="4" borderId="1" xfId="0" applyFont="1" applyFill="1" applyBorder="1"/>
    <xf numFmtId="0" fontId="0" fillId="4" borderId="0" xfId="0" applyFill="1"/>
    <xf numFmtId="0" fontId="0" fillId="3" borderId="0" xfId="0" applyFill="1"/>
    <xf numFmtId="0" fontId="3" fillId="3" borderId="1" xfId="0" applyFont="1" applyFill="1" applyBorder="1"/>
    <xf numFmtId="0" fontId="7" fillId="3" borderId="1" xfId="0" applyFont="1" applyFill="1" applyBorder="1"/>
    <xf numFmtId="0" fontId="8" fillId="0" borderId="1" xfId="0" applyFont="1" applyBorder="1"/>
    <xf numFmtId="0" fontId="8" fillId="4" borderId="1" xfId="0" applyFont="1" applyFill="1" applyBorder="1"/>
    <xf numFmtId="0" fontId="8" fillId="4" borderId="2" xfId="0" applyFont="1" applyFill="1" applyBorder="1"/>
    <xf numFmtId="0" fontId="8" fillId="0" borderId="2" xfId="0" applyFont="1" applyBorder="1"/>
    <xf numFmtId="0" fontId="9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touros, Nikolaos" id="{CE131268-7D78-4FC2-8AE3-4AFDC665ACED}" userId="S::NFatouros@imf.org::5728ffda-465d-40c8-8748-39c462f0a5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8-19T16:53:44.09" personId="{CE131268-7D78-4FC2-8AE3-4AFDC665ACED}" id="{5949C714-7D94-4D97-A82C-3AFAE370E672}">
    <text>Does the country have full control of its monetary policy(Y-MIXED-N)</text>
  </threadedComment>
  <threadedComment ref="H1" dT="2020-08-11T17:23:15.32" personId="{CE131268-7D78-4FC2-8AE3-4AFDC665ACED}" id="{10F75148-79D7-4C80-86DC-D4BA5140107B}">
    <text>Did the disaster cause (or was it expected to cause) a contraction/slowdown of GDP? Y-N-NA</text>
  </threadedComment>
  <threadedComment ref="I1" dT="2020-08-11T17:24:31.22" personId="{CE131268-7D78-4FC2-8AE3-4AFDC665ACED}" id="{AE0A7032-08B2-4662-8F45-BD6E7132D8FA}">
    <text>Did the disaster cause (or was it expected to cause) an increase in inflation? Y-N-NA</text>
  </threadedComment>
  <threadedComment ref="J1" dT="2020-08-11T17:24:52.74" personId="{CE131268-7D78-4FC2-8AE3-4AFDC665ACED}" id="{38B10A65-64D2-4E78-8C60-B36C5BBD973D}">
    <text>Did the disaster cause appreciation/depreciation of the exchange rate?  Y-N-NA</text>
  </threadedComment>
  <threadedComment ref="J1" dT="2020-08-14T18:00:39.30" personId="{CE131268-7D78-4FC2-8AE3-4AFDC665ACED}" id="{5DD8AECD-07C0-441E-9261-09E28446173B}" parentId="{38B10A65-64D2-4E78-8C60-B36C5BBD973D}">
    <text>Y MEANS DEAVALUATION</text>
  </threadedComment>
  <threadedComment ref="J1" dT="2020-08-19T18:22:14.87" personId="{CE131268-7D78-4FC2-8AE3-4AFDC665ACED}" id="{7847F3DA-2D1B-41A9-BF11-F8E8F4BAB3CD}" parentId="{38B10A65-64D2-4E78-8C60-B36C5BBD973D}">
    <text>Y MEANS DEPRECIATION, N MEANS APPRECIATION NA MEANS NO SIGNIFICANT CHANGE</text>
  </threadedComment>
  <threadedComment ref="K1" dT="2020-08-11T17:25:17.63" personId="{CE131268-7D78-4FC2-8AE3-4AFDC665ACED}" id="{435957A6-5410-4D10-B714-54405437A0B2}">
    <text>Did the disaster create challenges for maintaining the peg? (peg countries) Y-N-NA</text>
  </threadedComment>
  <threadedComment ref="L1" dT="2020-08-11T18:32:37.50" personId="{CE131268-7D78-4FC2-8AE3-4AFDC665ACED}" id="{D4E7E233-108F-4F10-B104-D6A0E5832949}">
    <text>Did the disaster impact reserves? (peg countries) Y-N-NA</text>
  </threadedComment>
  <threadedComment ref="M1" dT="2020-08-11T18:33:05.01" personId="{CE131268-7D78-4FC2-8AE3-4AFDC665ACED}" id="{BCF0B610-0AB3-46FA-BD95-D2565C1654AB}">
    <text>Was monetary policy tightened or was it accommodative? Accommodative-tightened-Neutral</text>
  </threadedComment>
  <threadedComment ref="N1" dT="2020-08-11T18:33:35.24" personId="{CE131268-7D78-4FC2-8AE3-4AFDC665ACED}" id="{EF728C27-B494-4FFE-93D2-46F7D8DDA8D5}">
    <text>What was the monetary policy tool authorities used? Open</text>
  </threadedComment>
  <threadedComment ref="O1" dT="2020-08-11T18:34:08.26" personId="{CE131268-7D78-4FC2-8AE3-4AFDC665ACED}" id="{CE783445-2565-43DA-A7BD-07979F9693DF}">
    <text>Was IMF advice to tighten/accommodate monetary policy? Accommodate-tighten-Neutral</text>
  </threadedComment>
  <threadedComment ref="O1" dT="2020-08-14T20:16:31.21" personId="{CE131268-7D78-4FC2-8AE3-4AFDC665ACED}" id="{A305DCFE-45FA-46BE-B1B1-4EF7D1AE8D9C}" parentId="{CE783445-2565-43DA-A7BD-07979F9693DF}">
    <text>Did the staff agree with the authorities' policy action? Y-N</text>
  </threadedComment>
  <threadedComment ref="O1" dT="2020-08-19T17:13:04.74" personId="{CE131268-7D78-4FC2-8AE3-4AFDC665ACED}" id="{984FB971-CE3F-4E51-945E-000DFFCD0A9D}" parentId="{CE783445-2565-43DA-A7BD-07979F9693DF}">
    <text>Y-N-NEUTRAL</text>
  </threadedComment>
  <threadedComment ref="P1" dT="2020-08-14T20:14:28.04" personId="{CE131268-7D78-4FC2-8AE3-4AFDC665ACED}" id="{2D0D1DE3-F600-449E-8772-37C32AA9A11C}">
    <text>appraisal of monetary policy</text>
  </threadedComment>
  <threadedComment ref="P1" dT="2020-08-14T20:15:36.42" personId="{CE131268-7D78-4FC2-8AE3-4AFDC665ACED}" id="{BC6F5BC2-7099-460A-A5F6-58B0B6691510}" parentId="{2D0D1DE3-F600-449E-8772-37C32AA9A11C}">
    <text>Was IMF advice to tighten/accommodate monetary policy in the future? Accommodate-tighten-Neutral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705B-DE01-4109-A0FD-6289526E2BD2}">
  <dimension ref="A1:BU36"/>
  <sheetViews>
    <sheetView zoomScale="90" zoomScaleNormal="90" workbookViewId="0">
      <selection activeCell="H8" sqref="H8"/>
    </sheetView>
  </sheetViews>
  <sheetFormatPr baseColWidth="10" defaultColWidth="8.83203125" defaultRowHeight="15" x14ac:dyDescent="0.2"/>
  <cols>
    <col min="1" max="1" width="21.5" style="10" customWidth="1"/>
    <col min="2" max="2" width="11.83203125" customWidth="1"/>
    <col min="3" max="3" width="12.33203125" customWidth="1"/>
    <col min="4" max="4" width="13.5" customWidth="1"/>
    <col min="13" max="13" width="15.1640625" customWidth="1"/>
    <col min="14" max="14" width="16" customWidth="1"/>
    <col min="15" max="15" width="12.1640625" customWidth="1"/>
    <col min="16" max="16" width="13.6640625" customWidth="1"/>
    <col min="17" max="17" width="19.83203125" customWidth="1"/>
    <col min="18" max="73" width="9.1640625" style="16"/>
  </cols>
  <sheetData>
    <row r="1" spans="1:7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2">
        <v>12</v>
      </c>
      <c r="Q1" s="1" t="s">
        <v>4</v>
      </c>
    </row>
    <row r="2" spans="1:73" ht="17" x14ac:dyDescent="0.2">
      <c r="A2" s="3" t="s">
        <v>5</v>
      </c>
      <c r="B2" s="4">
        <v>2000</v>
      </c>
      <c r="C2" s="5">
        <v>33.348598000000003</v>
      </c>
      <c r="D2" s="4">
        <v>1</v>
      </c>
      <c r="E2" s="4" t="s">
        <v>6</v>
      </c>
      <c r="F2" s="4" t="s">
        <v>6</v>
      </c>
      <c r="G2" s="4" t="s">
        <v>7</v>
      </c>
      <c r="H2" s="4" t="s">
        <v>8</v>
      </c>
      <c r="I2" s="4" t="s">
        <v>6</v>
      </c>
      <c r="J2" s="19" t="s">
        <v>6</v>
      </c>
      <c r="K2" s="4" t="s">
        <v>6</v>
      </c>
      <c r="L2" s="4" t="s">
        <v>6</v>
      </c>
      <c r="M2" s="7" t="s">
        <v>9</v>
      </c>
      <c r="N2" s="8" t="s">
        <v>10</v>
      </c>
      <c r="O2" s="4" t="s">
        <v>6</v>
      </c>
      <c r="P2" s="6" t="s">
        <v>11</v>
      </c>
      <c r="Q2" s="4" t="s">
        <v>12</v>
      </c>
    </row>
    <row r="3" spans="1:73" ht="17" x14ac:dyDescent="0.2">
      <c r="A3" s="3" t="s">
        <v>5</v>
      </c>
      <c r="B3" s="4">
        <v>2001</v>
      </c>
      <c r="C3" s="5">
        <v>28.669701</v>
      </c>
      <c r="D3" s="4">
        <f>D2+1</f>
        <v>2</v>
      </c>
      <c r="E3" s="4" t="s">
        <v>6</v>
      </c>
      <c r="F3" s="4" t="s">
        <v>6</v>
      </c>
      <c r="G3" s="4" t="s">
        <v>7</v>
      </c>
      <c r="H3" s="4" t="s">
        <v>6</v>
      </c>
      <c r="I3" s="4" t="s">
        <v>8</v>
      </c>
      <c r="J3" s="19" t="s">
        <v>6</v>
      </c>
      <c r="K3" s="4" t="s">
        <v>6</v>
      </c>
      <c r="L3" s="4" t="s">
        <v>6</v>
      </c>
      <c r="M3" s="17" t="s">
        <v>14</v>
      </c>
      <c r="N3" s="8" t="s">
        <v>15</v>
      </c>
      <c r="O3" s="4" t="s">
        <v>8</v>
      </c>
      <c r="P3" s="6" t="s">
        <v>11</v>
      </c>
      <c r="Q3" s="4" t="s">
        <v>12</v>
      </c>
    </row>
    <row r="4" spans="1:73" ht="17" x14ac:dyDescent="0.2">
      <c r="A4" s="3" t="s">
        <v>5</v>
      </c>
      <c r="B4" s="4">
        <v>2007</v>
      </c>
      <c r="C4" s="5">
        <v>1.15004</v>
      </c>
      <c r="D4" s="4">
        <f t="shared" ref="D4:D35" si="0">D3+1</f>
        <v>3</v>
      </c>
      <c r="E4" s="4" t="s">
        <v>6</v>
      </c>
      <c r="F4" s="4" t="s">
        <v>6</v>
      </c>
      <c r="G4" s="4" t="s">
        <v>7</v>
      </c>
      <c r="H4" s="4" t="s">
        <v>6</v>
      </c>
      <c r="I4" s="4" t="s">
        <v>8</v>
      </c>
      <c r="J4" s="19" t="s">
        <v>6</v>
      </c>
      <c r="K4" s="4" t="s">
        <v>8</v>
      </c>
      <c r="L4" s="4" t="s">
        <v>8</v>
      </c>
      <c r="M4" s="7" t="s">
        <v>41</v>
      </c>
      <c r="N4" s="9" t="s">
        <v>13</v>
      </c>
      <c r="O4" s="4" t="s">
        <v>6</v>
      </c>
      <c r="P4" s="6" t="s">
        <v>16</v>
      </c>
      <c r="Q4" s="4" t="s">
        <v>12</v>
      </c>
    </row>
    <row r="5" spans="1:73" s="15" customFormat="1" ht="17" x14ac:dyDescent="0.2">
      <c r="A5" s="11" t="s">
        <v>17</v>
      </c>
      <c r="B5" s="12">
        <v>2015</v>
      </c>
      <c r="C5" s="13">
        <v>90.244904000000005</v>
      </c>
      <c r="D5" s="12">
        <f t="shared" si="0"/>
        <v>4</v>
      </c>
      <c r="E5" s="12" t="s">
        <v>8</v>
      </c>
      <c r="F5" s="12" t="s">
        <v>6</v>
      </c>
      <c r="G5" s="12" t="s">
        <v>8</v>
      </c>
      <c r="H5" s="12" t="s">
        <v>6</v>
      </c>
      <c r="I5" s="12" t="s">
        <v>8</v>
      </c>
      <c r="J5" s="14" t="s">
        <v>6</v>
      </c>
      <c r="K5" s="20" t="s">
        <v>13</v>
      </c>
      <c r="L5" s="12" t="s">
        <v>8</v>
      </c>
      <c r="M5" s="20" t="s">
        <v>13</v>
      </c>
      <c r="N5" s="20" t="s">
        <v>13</v>
      </c>
      <c r="O5" s="20" t="s">
        <v>13</v>
      </c>
      <c r="P5" s="21" t="s">
        <v>13</v>
      </c>
      <c r="Q5" s="12" t="s">
        <v>18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</row>
    <row r="6" spans="1:73" s="15" customFormat="1" ht="17" x14ac:dyDescent="0.2">
      <c r="A6" s="11" t="s">
        <v>17</v>
      </c>
      <c r="B6" s="12">
        <v>2017</v>
      </c>
      <c r="C6" s="13">
        <v>260</v>
      </c>
      <c r="D6" s="12">
        <f t="shared" si="0"/>
        <v>5</v>
      </c>
      <c r="E6" s="12" t="s">
        <v>8</v>
      </c>
      <c r="F6" s="12" t="s">
        <v>6</v>
      </c>
      <c r="G6" s="12" t="s">
        <v>8</v>
      </c>
      <c r="H6" s="12" t="s">
        <v>6</v>
      </c>
      <c r="I6" s="12" t="s">
        <v>6</v>
      </c>
      <c r="J6" s="12" t="s">
        <v>6</v>
      </c>
      <c r="K6" s="20" t="s">
        <v>13</v>
      </c>
      <c r="L6" s="12" t="s">
        <v>6</v>
      </c>
      <c r="M6" s="20" t="s">
        <v>13</v>
      </c>
      <c r="N6" s="20" t="s">
        <v>13</v>
      </c>
      <c r="O6" s="20" t="s">
        <v>13</v>
      </c>
      <c r="P6" s="21" t="s">
        <v>13</v>
      </c>
      <c r="Q6" s="12" t="s">
        <v>18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</row>
    <row r="7" spans="1:73" ht="17" x14ac:dyDescent="0.2">
      <c r="A7" s="3" t="s">
        <v>19</v>
      </c>
      <c r="B7" s="4">
        <v>1998</v>
      </c>
      <c r="C7" s="5">
        <v>9.1429100000000005</v>
      </c>
      <c r="D7" s="4">
        <f t="shared" si="0"/>
        <v>6</v>
      </c>
      <c r="E7" s="4" t="s">
        <v>6</v>
      </c>
      <c r="F7" s="4" t="s">
        <v>8</v>
      </c>
      <c r="G7" s="4" t="s">
        <v>6</v>
      </c>
      <c r="H7" s="4" t="s">
        <v>6</v>
      </c>
      <c r="I7" s="4" t="s">
        <v>6</v>
      </c>
      <c r="J7" s="19" t="s">
        <v>8</v>
      </c>
      <c r="K7" s="4" t="s">
        <v>13</v>
      </c>
      <c r="L7" s="9" t="s">
        <v>8</v>
      </c>
      <c r="M7" s="17" t="s">
        <v>14</v>
      </c>
      <c r="N7" s="8" t="s">
        <v>20</v>
      </c>
      <c r="O7" s="4" t="s">
        <v>16</v>
      </c>
      <c r="P7" s="6" t="s">
        <v>11</v>
      </c>
      <c r="Q7" s="4" t="s">
        <v>21</v>
      </c>
    </row>
    <row r="8" spans="1:73" ht="17" x14ac:dyDescent="0.2">
      <c r="A8" s="3" t="s">
        <v>22</v>
      </c>
      <c r="B8" s="4">
        <v>1998</v>
      </c>
      <c r="C8" s="5">
        <v>5.1030201999999996</v>
      </c>
      <c r="D8" s="4">
        <f t="shared" si="0"/>
        <v>7</v>
      </c>
      <c r="E8" s="4" t="s">
        <v>6</v>
      </c>
      <c r="F8" s="4" t="s">
        <v>6</v>
      </c>
      <c r="G8" s="4" t="s">
        <v>7</v>
      </c>
      <c r="H8" s="23" t="s">
        <v>6</v>
      </c>
      <c r="I8" s="4" t="s">
        <v>6</v>
      </c>
      <c r="J8" s="4" t="s">
        <v>6</v>
      </c>
      <c r="K8" s="4" t="s">
        <v>6</v>
      </c>
      <c r="L8" s="4" t="s">
        <v>6</v>
      </c>
      <c r="M8" s="7" t="s">
        <v>9</v>
      </c>
      <c r="N8" s="8" t="s">
        <v>23</v>
      </c>
      <c r="O8" s="4" t="s">
        <v>6</v>
      </c>
      <c r="P8" s="22" t="s">
        <v>16</v>
      </c>
      <c r="Q8" s="4" t="s">
        <v>12</v>
      </c>
    </row>
    <row r="9" spans="1:73" s="15" customFormat="1" ht="17" x14ac:dyDescent="0.2">
      <c r="A9" s="11" t="s">
        <v>22</v>
      </c>
      <c r="B9" s="12">
        <v>2005</v>
      </c>
      <c r="C9" s="13">
        <v>2.4200599</v>
      </c>
      <c r="D9" s="12">
        <f t="shared" si="0"/>
        <v>8</v>
      </c>
      <c r="E9" s="12" t="s">
        <v>8</v>
      </c>
      <c r="F9" s="20" t="s">
        <v>13</v>
      </c>
      <c r="G9" s="12" t="s">
        <v>8</v>
      </c>
      <c r="H9" s="12" t="s">
        <v>8</v>
      </c>
      <c r="I9" s="12" t="s">
        <v>8</v>
      </c>
      <c r="J9" s="14" t="s">
        <v>40</v>
      </c>
      <c r="K9" s="20" t="s">
        <v>13</v>
      </c>
      <c r="L9" s="12" t="s">
        <v>8</v>
      </c>
      <c r="M9" s="20" t="s">
        <v>13</v>
      </c>
      <c r="N9" s="20" t="s">
        <v>13</v>
      </c>
      <c r="O9" s="20" t="s">
        <v>13</v>
      </c>
      <c r="P9" s="21" t="s">
        <v>13</v>
      </c>
      <c r="Q9" s="12" t="s">
        <v>24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</row>
    <row r="10" spans="1:73" s="15" customFormat="1" ht="17" x14ac:dyDescent="0.2">
      <c r="A10" s="11" t="s">
        <v>22</v>
      </c>
      <c r="B10" s="12">
        <v>2009</v>
      </c>
      <c r="C10" s="13">
        <v>5.4881301000000002</v>
      </c>
      <c r="D10" s="12">
        <f t="shared" si="0"/>
        <v>9</v>
      </c>
      <c r="E10" s="12" t="s">
        <v>8</v>
      </c>
      <c r="F10" s="20" t="s">
        <v>13</v>
      </c>
      <c r="G10" s="12" t="s">
        <v>8</v>
      </c>
      <c r="H10" s="12" t="s">
        <v>6</v>
      </c>
      <c r="I10" s="12" t="s">
        <v>8</v>
      </c>
      <c r="J10" s="14" t="s">
        <v>40</v>
      </c>
      <c r="K10" s="20" t="s">
        <v>13</v>
      </c>
      <c r="L10" s="14" t="s">
        <v>6</v>
      </c>
      <c r="M10" s="20" t="s">
        <v>13</v>
      </c>
      <c r="N10" s="20" t="s">
        <v>13</v>
      </c>
      <c r="O10" s="20" t="s">
        <v>13</v>
      </c>
      <c r="P10" s="21" t="s">
        <v>13</v>
      </c>
      <c r="Q10" s="12" t="s">
        <v>24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</row>
    <row r="11" spans="1:73" s="15" customFormat="1" ht="17" x14ac:dyDescent="0.2">
      <c r="A11" s="11" t="s">
        <v>22</v>
      </c>
      <c r="B11" s="12">
        <v>2011</v>
      </c>
      <c r="C11" s="13">
        <v>4.9300499000000002</v>
      </c>
      <c r="D11" s="12">
        <f t="shared" si="0"/>
        <v>10</v>
      </c>
      <c r="E11" s="12" t="s">
        <v>8</v>
      </c>
      <c r="F11" s="20" t="s">
        <v>13</v>
      </c>
      <c r="G11" s="12" t="s">
        <v>8</v>
      </c>
      <c r="H11" s="12" t="s">
        <v>6</v>
      </c>
      <c r="I11" s="12" t="s">
        <v>8</v>
      </c>
      <c r="J11" s="12" t="s">
        <v>40</v>
      </c>
      <c r="K11" s="20" t="s">
        <v>13</v>
      </c>
      <c r="L11" s="12" t="s">
        <v>8</v>
      </c>
      <c r="M11" s="20" t="s">
        <v>13</v>
      </c>
      <c r="N11" s="20" t="s">
        <v>13</v>
      </c>
      <c r="O11" s="20" t="s">
        <v>13</v>
      </c>
      <c r="P11" s="21" t="s">
        <v>13</v>
      </c>
      <c r="Q11" s="12" t="s">
        <v>24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</row>
    <row r="12" spans="1:73" ht="17" x14ac:dyDescent="0.2">
      <c r="A12" s="3" t="s">
        <v>25</v>
      </c>
      <c r="B12" s="4">
        <v>2003</v>
      </c>
      <c r="C12" s="5">
        <v>1.3043499999999999</v>
      </c>
      <c r="D12" s="4">
        <f t="shared" si="0"/>
        <v>11</v>
      </c>
      <c r="E12" s="4" t="s">
        <v>6</v>
      </c>
      <c r="F12" s="4" t="s">
        <v>6</v>
      </c>
      <c r="G12" s="4" t="s">
        <v>7</v>
      </c>
      <c r="H12" s="4" t="s">
        <v>8</v>
      </c>
      <c r="I12" s="4" t="s">
        <v>8</v>
      </c>
      <c r="J12" s="19" t="s">
        <v>40</v>
      </c>
      <c r="K12" s="4" t="s">
        <v>6</v>
      </c>
      <c r="L12" s="4" t="s">
        <v>6</v>
      </c>
      <c r="M12" s="7" t="s">
        <v>9</v>
      </c>
      <c r="N12" s="8" t="s">
        <v>26</v>
      </c>
      <c r="O12" s="4" t="s">
        <v>6</v>
      </c>
      <c r="P12" s="6" t="s">
        <v>11</v>
      </c>
      <c r="Q12" s="4" t="s">
        <v>12</v>
      </c>
    </row>
    <row r="13" spans="1:73" ht="17" x14ac:dyDescent="0.2">
      <c r="A13" s="3" t="s">
        <v>25</v>
      </c>
      <c r="B13" s="4">
        <v>2009</v>
      </c>
      <c r="C13" s="5">
        <v>1.9695898999999999</v>
      </c>
      <c r="D13" s="4">
        <f t="shared" si="0"/>
        <v>12</v>
      </c>
      <c r="E13" s="4" t="s">
        <v>6</v>
      </c>
      <c r="F13" s="4" t="s">
        <v>6</v>
      </c>
      <c r="G13" s="4" t="s">
        <v>7</v>
      </c>
      <c r="H13" s="4" t="s">
        <v>6</v>
      </c>
      <c r="I13" s="4" t="s">
        <v>8</v>
      </c>
      <c r="J13" s="19" t="s">
        <v>40</v>
      </c>
      <c r="K13" s="4" t="s">
        <v>6</v>
      </c>
      <c r="L13" s="4" t="s">
        <v>6</v>
      </c>
      <c r="M13" s="7" t="s">
        <v>41</v>
      </c>
      <c r="N13" s="8" t="s">
        <v>13</v>
      </c>
      <c r="O13" s="4" t="s">
        <v>6</v>
      </c>
      <c r="P13" s="6" t="s">
        <v>11</v>
      </c>
      <c r="Q13" s="4" t="s">
        <v>12</v>
      </c>
    </row>
    <row r="14" spans="1:73" ht="17" x14ac:dyDescent="0.2">
      <c r="A14" s="3" t="s">
        <v>25</v>
      </c>
      <c r="B14" s="4">
        <v>2010</v>
      </c>
      <c r="C14" s="5">
        <v>1.2556400000000001</v>
      </c>
      <c r="D14" s="4">
        <f t="shared" si="0"/>
        <v>13</v>
      </c>
      <c r="E14" s="4" t="s">
        <v>6</v>
      </c>
      <c r="F14" s="4" t="s">
        <v>6</v>
      </c>
      <c r="G14" s="4" t="s">
        <v>7</v>
      </c>
      <c r="H14" s="4" t="s">
        <v>6</v>
      </c>
      <c r="I14" s="4" t="s">
        <v>8</v>
      </c>
      <c r="J14" s="4" t="s">
        <v>40</v>
      </c>
      <c r="K14" s="4" t="s">
        <v>8</v>
      </c>
      <c r="L14" s="4" t="s">
        <v>8</v>
      </c>
      <c r="M14" s="18" t="s">
        <v>14</v>
      </c>
      <c r="N14" s="9" t="s">
        <v>27</v>
      </c>
      <c r="O14" s="9" t="s">
        <v>6</v>
      </c>
      <c r="P14" s="6" t="s">
        <v>11</v>
      </c>
      <c r="Q14" s="4" t="s">
        <v>12</v>
      </c>
    </row>
    <row r="15" spans="1:73" ht="17" x14ac:dyDescent="0.2">
      <c r="A15" s="3" t="s">
        <v>25</v>
      </c>
      <c r="B15" s="4">
        <v>2012</v>
      </c>
      <c r="C15" s="5">
        <v>2.4521698999999999</v>
      </c>
      <c r="D15" s="4">
        <f t="shared" si="0"/>
        <v>14</v>
      </c>
      <c r="E15" s="4" t="s">
        <v>6</v>
      </c>
      <c r="F15" s="4" t="s">
        <v>6</v>
      </c>
      <c r="G15" s="4" t="s">
        <v>7</v>
      </c>
      <c r="H15" s="4" t="s">
        <v>8</v>
      </c>
      <c r="I15" s="4" t="s">
        <v>6</v>
      </c>
      <c r="J15" s="9" t="s">
        <v>6</v>
      </c>
      <c r="K15" s="4" t="s">
        <v>8</v>
      </c>
      <c r="L15" s="4" t="s">
        <v>8</v>
      </c>
      <c r="M15" s="17" t="s">
        <v>14</v>
      </c>
      <c r="N15" s="8" t="s">
        <v>27</v>
      </c>
      <c r="O15" s="4" t="s">
        <v>6</v>
      </c>
      <c r="P15" s="6" t="s">
        <v>28</v>
      </c>
      <c r="Q15" s="4" t="s">
        <v>12</v>
      </c>
    </row>
    <row r="16" spans="1:73" ht="17" x14ac:dyDescent="0.2">
      <c r="A16" s="3" t="s">
        <v>25</v>
      </c>
      <c r="B16" s="4">
        <v>2016</v>
      </c>
      <c r="C16" s="5">
        <v>12.859</v>
      </c>
      <c r="D16" s="4">
        <f t="shared" si="0"/>
        <v>15</v>
      </c>
      <c r="E16" s="4" t="s">
        <v>6</v>
      </c>
      <c r="F16" s="4" t="s">
        <v>6</v>
      </c>
      <c r="G16" s="4" t="s">
        <v>7</v>
      </c>
      <c r="H16" s="4" t="s">
        <v>6</v>
      </c>
      <c r="I16" s="4" t="s">
        <v>6</v>
      </c>
      <c r="J16" s="9" t="s">
        <v>6</v>
      </c>
      <c r="K16" s="4" t="s">
        <v>8</v>
      </c>
      <c r="L16" s="4" t="s">
        <v>6</v>
      </c>
      <c r="M16" s="17" t="s">
        <v>14</v>
      </c>
      <c r="N16" s="8" t="s">
        <v>27</v>
      </c>
      <c r="O16" s="4" t="s">
        <v>8</v>
      </c>
      <c r="P16" s="6" t="s">
        <v>11</v>
      </c>
      <c r="Q16" s="4" t="s">
        <v>12</v>
      </c>
    </row>
    <row r="17" spans="1:73" s="15" customFormat="1" ht="17" x14ac:dyDescent="0.2">
      <c r="A17" s="11" t="s">
        <v>29</v>
      </c>
      <c r="B17" s="12">
        <v>1999</v>
      </c>
      <c r="C17" s="13">
        <v>1.1410800000000001</v>
      </c>
      <c r="D17" s="12">
        <f t="shared" si="0"/>
        <v>16</v>
      </c>
      <c r="E17" s="12" t="s">
        <v>8</v>
      </c>
      <c r="F17" s="12" t="s">
        <v>6</v>
      </c>
      <c r="G17" s="12" t="s">
        <v>8</v>
      </c>
      <c r="H17" s="12" t="s">
        <v>8</v>
      </c>
      <c r="I17" s="12" t="s">
        <v>8</v>
      </c>
      <c r="J17" s="14" t="s">
        <v>6</v>
      </c>
      <c r="K17" s="20" t="s">
        <v>13</v>
      </c>
      <c r="L17" s="12" t="s">
        <v>8</v>
      </c>
      <c r="M17" s="20" t="s">
        <v>13</v>
      </c>
      <c r="N17" s="20" t="s">
        <v>13</v>
      </c>
      <c r="O17" s="20" t="s">
        <v>13</v>
      </c>
      <c r="P17" s="21" t="s">
        <v>13</v>
      </c>
      <c r="Q17" s="12" t="s">
        <v>18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</row>
    <row r="18" spans="1:73" s="15" customFormat="1" ht="17" x14ac:dyDescent="0.2">
      <c r="A18" s="11" t="s">
        <v>29</v>
      </c>
      <c r="B18" s="12">
        <v>2004</v>
      </c>
      <c r="C18" s="13">
        <v>148.41399999999999</v>
      </c>
      <c r="D18" s="12">
        <f t="shared" si="0"/>
        <v>17</v>
      </c>
      <c r="E18" s="12" t="s">
        <v>8</v>
      </c>
      <c r="F18" s="12" t="s">
        <v>6</v>
      </c>
      <c r="G18" s="12" t="s">
        <v>8</v>
      </c>
      <c r="H18" s="12" t="s">
        <v>6</v>
      </c>
      <c r="I18" s="12" t="s">
        <v>8</v>
      </c>
      <c r="J18" s="14" t="s">
        <v>8</v>
      </c>
      <c r="K18" s="20" t="s">
        <v>13</v>
      </c>
      <c r="L18" s="12" t="s">
        <v>8</v>
      </c>
      <c r="M18" s="20" t="s">
        <v>13</v>
      </c>
      <c r="N18" s="20" t="s">
        <v>13</v>
      </c>
      <c r="O18" s="20" t="s">
        <v>13</v>
      </c>
      <c r="P18" s="21" t="s">
        <v>13</v>
      </c>
      <c r="Q18" s="12" t="s">
        <v>18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</row>
    <row r="19" spans="1:73" ht="17" x14ac:dyDescent="0.2">
      <c r="A19" s="3" t="s">
        <v>30</v>
      </c>
      <c r="B19" s="4">
        <v>1998</v>
      </c>
      <c r="C19" s="5">
        <v>4.8336300999999997</v>
      </c>
      <c r="D19" s="4">
        <f t="shared" si="0"/>
        <v>18</v>
      </c>
      <c r="E19" s="4" t="s">
        <v>6</v>
      </c>
      <c r="F19" s="4" t="s">
        <v>8</v>
      </c>
      <c r="G19" s="4" t="s">
        <v>6</v>
      </c>
      <c r="H19" s="4" t="s">
        <v>8</v>
      </c>
      <c r="I19" s="4" t="s">
        <v>8</v>
      </c>
      <c r="J19" s="19" t="s">
        <v>6</v>
      </c>
      <c r="K19" s="4" t="s">
        <v>13</v>
      </c>
      <c r="L19" s="4" t="s">
        <v>8</v>
      </c>
      <c r="M19" s="7" t="s">
        <v>9</v>
      </c>
      <c r="N19" s="8" t="s">
        <v>23</v>
      </c>
      <c r="O19" s="4" t="s">
        <v>6</v>
      </c>
      <c r="P19" s="6" t="s">
        <v>11</v>
      </c>
      <c r="Q19" s="4" t="s">
        <v>21</v>
      </c>
    </row>
    <row r="20" spans="1:73" ht="17" x14ac:dyDescent="0.2">
      <c r="A20" s="3" t="s">
        <v>30</v>
      </c>
      <c r="B20" s="4">
        <v>2004</v>
      </c>
      <c r="C20" s="5">
        <v>1.4416100000000001</v>
      </c>
      <c r="D20" s="4">
        <f t="shared" si="0"/>
        <v>19</v>
      </c>
      <c r="E20" s="4" t="s">
        <v>6</v>
      </c>
      <c r="F20" s="4" t="s">
        <v>8</v>
      </c>
      <c r="G20" s="4" t="s">
        <v>6</v>
      </c>
      <c r="H20" s="4" t="s">
        <v>6</v>
      </c>
      <c r="I20" s="4" t="s">
        <v>6</v>
      </c>
      <c r="J20" s="9" t="s">
        <v>8</v>
      </c>
      <c r="K20" s="4" t="s">
        <v>13</v>
      </c>
      <c r="L20" s="4" t="s">
        <v>8</v>
      </c>
      <c r="M20" s="17" t="s">
        <v>14</v>
      </c>
      <c r="N20" s="8" t="s">
        <v>27</v>
      </c>
      <c r="O20" s="4" t="s">
        <v>8</v>
      </c>
      <c r="P20" s="6" t="s">
        <v>11</v>
      </c>
      <c r="Q20" s="4" t="s">
        <v>21</v>
      </c>
    </row>
    <row r="21" spans="1:73" ht="17" x14ac:dyDescent="0.2">
      <c r="A21" s="3" t="s">
        <v>30</v>
      </c>
      <c r="B21" s="4">
        <v>2012</v>
      </c>
      <c r="C21" s="5">
        <v>3.2191801</v>
      </c>
      <c r="D21" s="4">
        <f t="shared" si="0"/>
        <v>20</v>
      </c>
      <c r="E21" s="4" t="s">
        <v>6</v>
      </c>
      <c r="F21" s="4" t="s">
        <v>8</v>
      </c>
      <c r="G21" s="4" t="s">
        <v>6</v>
      </c>
      <c r="H21" s="4" t="s">
        <v>8</v>
      </c>
      <c r="I21" s="4" t="s">
        <v>6</v>
      </c>
      <c r="J21" s="19" t="s">
        <v>40</v>
      </c>
      <c r="K21" s="4" t="s">
        <v>13</v>
      </c>
      <c r="L21" s="4" t="s">
        <v>8</v>
      </c>
      <c r="M21" s="7" t="s">
        <v>41</v>
      </c>
      <c r="N21" s="8" t="s">
        <v>13</v>
      </c>
      <c r="O21" s="4" t="s">
        <v>6</v>
      </c>
      <c r="P21" s="22" t="s">
        <v>11</v>
      </c>
      <c r="Q21" s="4" t="s">
        <v>21</v>
      </c>
    </row>
    <row r="22" spans="1:73" ht="17" x14ac:dyDescent="0.2">
      <c r="A22" s="3" t="s">
        <v>31</v>
      </c>
      <c r="B22" s="4">
        <v>2004</v>
      </c>
      <c r="C22" s="5">
        <v>8.8168801999999999</v>
      </c>
      <c r="D22" s="4">
        <f t="shared" si="0"/>
        <v>21</v>
      </c>
      <c r="E22" s="4" t="s">
        <v>6</v>
      </c>
      <c r="F22" s="4" t="s">
        <v>8</v>
      </c>
      <c r="G22" s="4" t="s">
        <v>6</v>
      </c>
      <c r="H22" s="4" t="s">
        <v>6</v>
      </c>
      <c r="I22" s="4" t="s">
        <v>6</v>
      </c>
      <c r="J22" s="19" t="s">
        <v>6</v>
      </c>
      <c r="K22" s="4" t="s">
        <v>13</v>
      </c>
      <c r="L22" s="19" t="s">
        <v>8</v>
      </c>
      <c r="M22" s="7" t="s">
        <v>9</v>
      </c>
      <c r="N22" s="8" t="s">
        <v>26</v>
      </c>
      <c r="O22" s="4" t="s">
        <v>6</v>
      </c>
      <c r="P22" s="6" t="s">
        <v>11</v>
      </c>
      <c r="Q22" s="4" t="s">
        <v>21</v>
      </c>
    </row>
    <row r="23" spans="1:73" ht="17" x14ac:dyDescent="0.2">
      <c r="A23" s="3" t="s">
        <v>31</v>
      </c>
      <c r="B23" s="4">
        <v>2007</v>
      </c>
      <c r="C23" s="5">
        <v>2.33935</v>
      </c>
      <c r="D23" s="4">
        <f t="shared" si="0"/>
        <v>22</v>
      </c>
      <c r="E23" s="4" t="s">
        <v>6</v>
      </c>
      <c r="F23" s="4" t="s">
        <v>8</v>
      </c>
      <c r="G23" s="4" t="s">
        <v>6</v>
      </c>
      <c r="H23" s="4" t="s">
        <v>6</v>
      </c>
      <c r="I23" s="4" t="s">
        <v>6</v>
      </c>
      <c r="J23" s="19" t="s">
        <v>40</v>
      </c>
      <c r="K23" s="4" t="s">
        <v>13</v>
      </c>
      <c r="L23" s="4" t="s">
        <v>6</v>
      </c>
      <c r="M23" s="7" t="s">
        <v>9</v>
      </c>
      <c r="N23" s="8" t="s">
        <v>26</v>
      </c>
      <c r="O23" s="4" t="s">
        <v>6</v>
      </c>
      <c r="P23" s="6" t="s">
        <v>11</v>
      </c>
      <c r="Q23" s="4" t="s">
        <v>21</v>
      </c>
    </row>
    <row r="24" spans="1:73" ht="17" x14ac:dyDescent="0.2">
      <c r="A24" s="3" t="s">
        <v>31</v>
      </c>
      <c r="B24" s="4">
        <v>2010</v>
      </c>
      <c r="C24" s="5">
        <v>1.1370800000000001</v>
      </c>
      <c r="D24" s="4">
        <f t="shared" si="0"/>
        <v>23</v>
      </c>
      <c r="E24" s="4" t="s">
        <v>6</v>
      </c>
      <c r="F24" s="4" t="s">
        <v>8</v>
      </c>
      <c r="G24" s="4" t="s">
        <v>6</v>
      </c>
      <c r="H24" s="4" t="s">
        <v>6</v>
      </c>
      <c r="I24" s="4" t="s">
        <v>8</v>
      </c>
      <c r="J24" s="4" t="s">
        <v>8</v>
      </c>
      <c r="K24" s="4" t="s">
        <v>13</v>
      </c>
      <c r="L24" s="4" t="s">
        <v>6</v>
      </c>
      <c r="M24" s="17" t="s">
        <v>14</v>
      </c>
      <c r="N24" s="8" t="s">
        <v>27</v>
      </c>
      <c r="O24" s="19" t="s">
        <v>16</v>
      </c>
      <c r="P24" s="19" t="s">
        <v>16</v>
      </c>
      <c r="Q24" s="4" t="s">
        <v>21</v>
      </c>
    </row>
    <row r="25" spans="1:73" s="15" customFormat="1" ht="17" x14ac:dyDescent="0.2">
      <c r="A25" s="11" t="s">
        <v>32</v>
      </c>
      <c r="B25" s="12">
        <v>2015</v>
      </c>
      <c r="C25" s="13">
        <v>2.7222198999999998</v>
      </c>
      <c r="D25" s="12">
        <f t="shared" si="0"/>
        <v>24</v>
      </c>
      <c r="E25" s="12" t="s">
        <v>8</v>
      </c>
      <c r="F25" s="12" t="s">
        <v>6</v>
      </c>
      <c r="G25" s="12" t="s">
        <v>8</v>
      </c>
      <c r="H25" s="12" t="s">
        <v>6</v>
      </c>
      <c r="I25" s="20" t="s">
        <v>8</v>
      </c>
      <c r="J25" s="14" t="s">
        <v>6</v>
      </c>
      <c r="K25" s="20" t="s">
        <v>13</v>
      </c>
      <c r="L25" s="12" t="s">
        <v>8</v>
      </c>
      <c r="M25" s="20" t="s">
        <v>13</v>
      </c>
      <c r="N25" s="20" t="s">
        <v>13</v>
      </c>
      <c r="O25" s="20" t="s">
        <v>13</v>
      </c>
      <c r="P25" s="21" t="s">
        <v>13</v>
      </c>
      <c r="Q25" s="12" t="s">
        <v>24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</row>
    <row r="26" spans="1:73" ht="17" x14ac:dyDescent="0.2">
      <c r="A26" s="3" t="s">
        <v>33</v>
      </c>
      <c r="B26" s="4">
        <v>2002</v>
      </c>
      <c r="C26" s="5">
        <v>1.03284</v>
      </c>
      <c r="D26" s="4">
        <f t="shared" si="0"/>
        <v>25</v>
      </c>
      <c r="E26" s="4" t="s">
        <v>6</v>
      </c>
      <c r="F26" s="4" t="s">
        <v>8</v>
      </c>
      <c r="G26" s="4" t="s">
        <v>6</v>
      </c>
      <c r="H26" s="4" t="s">
        <v>6</v>
      </c>
      <c r="I26" s="9" t="s">
        <v>8</v>
      </c>
      <c r="J26" s="9" t="s">
        <v>40</v>
      </c>
      <c r="K26" s="4" t="s">
        <v>13</v>
      </c>
      <c r="L26" s="4" t="s">
        <v>8</v>
      </c>
      <c r="M26" s="7" t="s">
        <v>9</v>
      </c>
      <c r="N26" s="8" t="s">
        <v>26</v>
      </c>
      <c r="O26" s="4" t="s">
        <v>6</v>
      </c>
      <c r="P26" s="6" t="s">
        <v>11</v>
      </c>
      <c r="Q26" s="4" t="s">
        <v>21</v>
      </c>
    </row>
    <row r="27" spans="1:73" s="15" customFormat="1" ht="17" x14ac:dyDescent="0.2">
      <c r="A27" s="11" t="s">
        <v>34</v>
      </c>
      <c r="B27" s="12">
        <v>2015</v>
      </c>
      <c r="C27" s="13">
        <v>3.4920599000000001</v>
      </c>
      <c r="D27" s="12">
        <f t="shared" si="0"/>
        <v>26</v>
      </c>
      <c r="E27" s="12" t="s">
        <v>8</v>
      </c>
      <c r="F27" s="20" t="s">
        <v>13</v>
      </c>
      <c r="G27" s="12" t="s">
        <v>8</v>
      </c>
      <c r="H27" s="12" t="s">
        <v>6</v>
      </c>
      <c r="I27" s="12" t="s">
        <v>8</v>
      </c>
      <c r="J27" s="20" t="s">
        <v>6</v>
      </c>
      <c r="K27" s="20" t="s">
        <v>13</v>
      </c>
      <c r="L27" s="12" t="s">
        <v>8</v>
      </c>
      <c r="M27" s="20" t="s">
        <v>13</v>
      </c>
      <c r="N27" s="20" t="s">
        <v>13</v>
      </c>
      <c r="O27" s="20" t="s">
        <v>13</v>
      </c>
      <c r="P27" s="21" t="s">
        <v>13</v>
      </c>
      <c r="Q27" s="12" t="s">
        <v>18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</row>
    <row r="28" spans="1:73" ht="17" x14ac:dyDescent="0.2">
      <c r="A28" s="3" t="s">
        <v>35</v>
      </c>
      <c r="B28" s="4">
        <v>2000</v>
      </c>
      <c r="C28" s="5">
        <v>2.4525999999999999</v>
      </c>
      <c r="D28" s="4">
        <f t="shared" si="0"/>
        <v>27</v>
      </c>
      <c r="E28" s="4" t="s">
        <v>6</v>
      </c>
      <c r="F28" s="4" t="s">
        <v>8</v>
      </c>
      <c r="G28" s="4" t="s">
        <v>6</v>
      </c>
      <c r="H28" s="4" t="s">
        <v>6</v>
      </c>
      <c r="I28" s="4" t="s">
        <v>8</v>
      </c>
      <c r="J28" s="9" t="s">
        <v>6</v>
      </c>
      <c r="K28" s="4" t="s">
        <v>13</v>
      </c>
      <c r="L28" s="4" t="s">
        <v>8</v>
      </c>
      <c r="M28" s="7" t="s">
        <v>9</v>
      </c>
      <c r="N28" s="8" t="s">
        <v>26</v>
      </c>
      <c r="O28" s="4" t="s">
        <v>6</v>
      </c>
      <c r="P28" s="6" t="s">
        <v>11</v>
      </c>
      <c r="Q28" s="4" t="s">
        <v>21</v>
      </c>
    </row>
    <row r="29" spans="1:73" ht="17" x14ac:dyDescent="0.2">
      <c r="A29" s="3" t="s">
        <v>35</v>
      </c>
      <c r="B29" s="4">
        <v>2007</v>
      </c>
      <c r="C29" s="5">
        <v>9.2248497</v>
      </c>
      <c r="D29" s="4">
        <f t="shared" si="0"/>
        <v>28</v>
      </c>
      <c r="E29" s="4" t="s">
        <v>6</v>
      </c>
      <c r="F29" s="4" t="s">
        <v>8</v>
      </c>
      <c r="G29" s="4" t="s">
        <v>6</v>
      </c>
      <c r="H29" s="4" t="s">
        <v>6</v>
      </c>
      <c r="I29" s="4" t="s">
        <v>6</v>
      </c>
      <c r="J29" s="19" t="s">
        <v>40</v>
      </c>
      <c r="K29" s="4" t="s">
        <v>13</v>
      </c>
      <c r="L29" s="4" t="s">
        <v>8</v>
      </c>
      <c r="M29" s="7" t="s">
        <v>9</v>
      </c>
      <c r="N29" s="8" t="s">
        <v>26</v>
      </c>
      <c r="O29" s="4" t="s">
        <v>6</v>
      </c>
      <c r="P29" s="6" t="s">
        <v>11</v>
      </c>
      <c r="Q29" s="4" t="s">
        <v>21</v>
      </c>
    </row>
    <row r="30" spans="1:73" ht="17" x14ac:dyDescent="0.2">
      <c r="A30" s="3" t="s">
        <v>36</v>
      </c>
      <c r="B30" s="4">
        <v>2012</v>
      </c>
      <c r="C30" s="5">
        <v>16.604199999999999</v>
      </c>
      <c r="D30" s="4">
        <f t="shared" si="0"/>
        <v>29</v>
      </c>
      <c r="E30" s="4" t="s">
        <v>6</v>
      </c>
      <c r="F30" s="9" t="s">
        <v>6</v>
      </c>
      <c r="G30" s="9" t="s">
        <v>7</v>
      </c>
      <c r="H30" s="4" t="s">
        <v>6</v>
      </c>
      <c r="I30" s="4" t="s">
        <v>8</v>
      </c>
      <c r="J30" s="4" t="s">
        <v>40</v>
      </c>
      <c r="K30" s="9" t="s">
        <v>8</v>
      </c>
      <c r="L30" s="4" t="s">
        <v>8</v>
      </c>
      <c r="M30" s="18" t="s">
        <v>14</v>
      </c>
      <c r="N30" s="9" t="s">
        <v>27</v>
      </c>
      <c r="O30" s="4" t="s">
        <v>6</v>
      </c>
      <c r="P30" s="6" t="s">
        <v>11</v>
      </c>
      <c r="Q30" s="4" t="s">
        <v>21</v>
      </c>
    </row>
    <row r="31" spans="1:73" ht="17" x14ac:dyDescent="0.2">
      <c r="A31" s="3" t="s">
        <v>37</v>
      </c>
      <c r="B31" s="4">
        <v>2014</v>
      </c>
      <c r="C31" s="5">
        <v>2.0442901</v>
      </c>
      <c r="D31" s="4">
        <f t="shared" si="0"/>
        <v>30</v>
      </c>
      <c r="E31" s="4" t="s">
        <v>6</v>
      </c>
      <c r="F31" s="4" t="s">
        <v>6</v>
      </c>
      <c r="G31" s="4" t="s">
        <v>7</v>
      </c>
      <c r="H31" s="4" t="s">
        <v>6</v>
      </c>
      <c r="I31" s="4" t="s">
        <v>8</v>
      </c>
      <c r="J31" s="9" t="s">
        <v>40</v>
      </c>
      <c r="K31" s="4" t="s">
        <v>8</v>
      </c>
      <c r="L31" s="4" t="s">
        <v>6</v>
      </c>
      <c r="M31" s="17" t="s">
        <v>14</v>
      </c>
      <c r="N31" s="9" t="s">
        <v>13</v>
      </c>
      <c r="O31" s="4" t="s">
        <v>6</v>
      </c>
      <c r="P31" s="6" t="s">
        <v>28</v>
      </c>
      <c r="Q31" s="4" t="s">
        <v>12</v>
      </c>
    </row>
    <row r="32" spans="1:73" ht="17" x14ac:dyDescent="0.2">
      <c r="A32" s="3" t="s">
        <v>38</v>
      </c>
      <c r="B32" s="4">
        <v>2016</v>
      </c>
      <c r="C32" s="5">
        <v>1.4916499999999999</v>
      </c>
      <c r="D32" s="4">
        <f t="shared" si="0"/>
        <v>31</v>
      </c>
      <c r="E32" s="4" t="s">
        <v>6</v>
      </c>
      <c r="F32" s="4" t="s">
        <v>8</v>
      </c>
      <c r="G32" s="4" t="s">
        <v>6</v>
      </c>
      <c r="H32" s="19" t="s">
        <v>8</v>
      </c>
      <c r="I32" s="4" t="s">
        <v>6</v>
      </c>
      <c r="J32" s="9" t="s">
        <v>8</v>
      </c>
      <c r="K32" s="4" t="s">
        <v>13</v>
      </c>
      <c r="L32" s="19" t="s">
        <v>6</v>
      </c>
      <c r="M32" s="7" t="s">
        <v>9</v>
      </c>
      <c r="N32" s="9" t="s">
        <v>26</v>
      </c>
      <c r="O32" s="4" t="s">
        <v>6</v>
      </c>
      <c r="P32" s="6" t="s">
        <v>11</v>
      </c>
      <c r="Q32" s="4" t="s">
        <v>21</v>
      </c>
    </row>
    <row r="33" spans="1:73" s="15" customFormat="1" ht="17" x14ac:dyDescent="0.2">
      <c r="A33" s="11" t="s">
        <v>39</v>
      </c>
      <c r="B33" s="12">
        <v>2002</v>
      </c>
      <c r="C33" s="13">
        <v>2.3809499999999999</v>
      </c>
      <c r="D33" s="12">
        <f t="shared" si="0"/>
        <v>32</v>
      </c>
      <c r="E33" s="12" t="s">
        <v>8</v>
      </c>
      <c r="F33" s="12" t="s">
        <v>6</v>
      </c>
      <c r="G33" s="12" t="s">
        <v>8</v>
      </c>
      <c r="H33" s="12" t="s">
        <v>8</v>
      </c>
      <c r="I33" s="12" t="s">
        <v>8</v>
      </c>
      <c r="J33" s="14" t="s">
        <v>40</v>
      </c>
      <c r="K33" s="20" t="s">
        <v>13</v>
      </c>
      <c r="L33" s="12" t="s">
        <v>8</v>
      </c>
      <c r="M33" s="20" t="s">
        <v>13</v>
      </c>
      <c r="N33" s="20" t="s">
        <v>13</v>
      </c>
      <c r="O33" s="20" t="s">
        <v>13</v>
      </c>
      <c r="P33" s="21" t="s">
        <v>13</v>
      </c>
      <c r="Q33" s="12" t="s">
        <v>18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</row>
    <row r="34" spans="1:73" s="15" customFormat="1" ht="17" x14ac:dyDescent="0.2">
      <c r="A34" s="11" t="s">
        <v>39</v>
      </c>
      <c r="B34" s="12">
        <v>2010</v>
      </c>
      <c r="C34" s="13">
        <v>3.6710701000000001</v>
      </c>
      <c r="D34" s="12">
        <f t="shared" si="0"/>
        <v>33</v>
      </c>
      <c r="E34" s="12" t="s">
        <v>8</v>
      </c>
      <c r="F34" s="12" t="s">
        <v>6</v>
      </c>
      <c r="G34" s="12" t="s">
        <v>8</v>
      </c>
      <c r="H34" s="12" t="s">
        <v>6</v>
      </c>
      <c r="I34" s="20" t="s">
        <v>6</v>
      </c>
      <c r="J34" s="20" t="s">
        <v>8</v>
      </c>
      <c r="K34" s="20" t="s">
        <v>13</v>
      </c>
      <c r="L34" s="12" t="s">
        <v>8</v>
      </c>
      <c r="M34" s="20" t="s">
        <v>13</v>
      </c>
      <c r="N34" s="20" t="s">
        <v>13</v>
      </c>
      <c r="O34" s="20" t="s">
        <v>13</v>
      </c>
      <c r="P34" s="21" t="s">
        <v>13</v>
      </c>
      <c r="Q34" s="12" t="s">
        <v>18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</row>
    <row r="35" spans="1:73" s="15" customFormat="1" ht="17" x14ac:dyDescent="0.2">
      <c r="A35" s="11" t="s">
        <v>39</v>
      </c>
      <c r="B35" s="12">
        <v>2013</v>
      </c>
      <c r="C35" s="13">
        <v>14.979200000000001</v>
      </c>
      <c r="D35" s="12">
        <f t="shared" si="0"/>
        <v>34</v>
      </c>
      <c r="E35" s="12" t="s">
        <v>8</v>
      </c>
      <c r="F35" s="12" t="s">
        <v>6</v>
      </c>
      <c r="G35" s="12" t="s">
        <v>8</v>
      </c>
      <c r="H35" s="14" t="s">
        <v>8</v>
      </c>
      <c r="I35" s="12" t="s">
        <v>8</v>
      </c>
      <c r="J35" s="20" t="s">
        <v>8</v>
      </c>
      <c r="K35" s="20" t="s">
        <v>13</v>
      </c>
      <c r="L35" s="12" t="s">
        <v>8</v>
      </c>
      <c r="M35" s="20" t="s">
        <v>13</v>
      </c>
      <c r="N35" s="20" t="s">
        <v>13</v>
      </c>
      <c r="O35" s="20" t="s">
        <v>13</v>
      </c>
      <c r="P35" s="21" t="s">
        <v>13</v>
      </c>
      <c r="Q35" s="12" t="s">
        <v>18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</row>
    <row r="36" spans="1:73" x14ac:dyDescent="0.2">
      <c r="K36">
        <f>COUNTIF(K2:K35,"NA")</f>
        <v>23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DCF3-4327-4269-86DF-EA23C693245D}">
  <dimension ref="A1:M42"/>
  <sheetViews>
    <sheetView tabSelected="1" workbookViewId="0">
      <selection activeCell="B26" sqref="B26:B28"/>
    </sheetView>
  </sheetViews>
  <sheetFormatPr baseColWidth="10" defaultColWidth="8.83203125" defaultRowHeight="15" x14ac:dyDescent="0.2"/>
  <cols>
    <col min="1" max="1" width="44.83203125" customWidth="1"/>
  </cols>
  <sheetData>
    <row r="1" spans="1:10" x14ac:dyDescent="0.2">
      <c r="A1" t="s">
        <v>42</v>
      </c>
      <c r="B1" s="10">
        <f>COUNTIF(Sheet1!H2:H35,"Y")/34</f>
        <v>0.70588235294117652</v>
      </c>
      <c r="D1">
        <f>B1*34</f>
        <v>24</v>
      </c>
    </row>
    <row r="2" spans="1:10" x14ac:dyDescent="0.2">
      <c r="A2" t="s">
        <v>43</v>
      </c>
      <c r="B2" s="10">
        <f>COUNTIF(Sheet1!I2:I35,"Y")/34</f>
        <v>0.38235294117647056</v>
      </c>
      <c r="D2">
        <f t="shared" ref="D2:D10" si="0">B2*34</f>
        <v>13</v>
      </c>
    </row>
    <row r="3" spans="1:10" x14ac:dyDescent="0.2">
      <c r="B3" s="10"/>
    </row>
    <row r="4" spans="1:10" x14ac:dyDescent="0.2">
      <c r="A4" t="s">
        <v>44</v>
      </c>
      <c r="B4" s="10">
        <f>COUNTIF(Sheet1!Q2:Q35,"DOLLARIZED")/34</f>
        <v>0.11764705882352941</v>
      </c>
      <c r="D4">
        <f t="shared" si="0"/>
        <v>4</v>
      </c>
    </row>
    <row r="5" spans="1:10" x14ac:dyDescent="0.2">
      <c r="A5" t="s">
        <v>45</v>
      </c>
      <c r="B5" s="10">
        <f>COUNTIF(Sheet1!Q2:Q35,"HARD PEG")/34</f>
        <v>0.23529411764705882</v>
      </c>
      <c r="D5">
        <f t="shared" si="0"/>
        <v>8</v>
      </c>
    </row>
    <row r="6" spans="1:10" x14ac:dyDescent="0.2">
      <c r="A6" t="s">
        <v>46</v>
      </c>
      <c r="B6" s="10">
        <f>COUNTIF(Sheet1!Q2:Q35,"SOFT PEG")/34</f>
        <v>0.29411764705882354</v>
      </c>
      <c r="D6">
        <f t="shared" si="0"/>
        <v>10</v>
      </c>
    </row>
    <row r="7" spans="1:10" x14ac:dyDescent="0.2">
      <c r="A7" t="s">
        <v>47</v>
      </c>
      <c r="B7" s="10">
        <f>COUNTIF(Sheet1!Q2:Q35,"FLOATING")/34</f>
        <v>0.35294117647058826</v>
      </c>
      <c r="D7">
        <f t="shared" si="0"/>
        <v>12</v>
      </c>
    </row>
    <row r="8" spans="1:10" x14ac:dyDescent="0.2">
      <c r="B8" s="10"/>
      <c r="J8">
        <f>(34-Sheet1!K36)</f>
        <v>11</v>
      </c>
    </row>
    <row r="9" spans="1:10" x14ac:dyDescent="0.2">
      <c r="A9" t="s">
        <v>48</v>
      </c>
      <c r="B9" s="10">
        <f>COUNTIF(Sheet1!J2:J35,"N")/34</f>
        <v>0.20588235294117646</v>
      </c>
      <c r="D9">
        <f t="shared" si="0"/>
        <v>7</v>
      </c>
    </row>
    <row r="10" spans="1:10" x14ac:dyDescent="0.2">
      <c r="A10" t="s">
        <v>49</v>
      </c>
      <c r="B10" s="10">
        <f>COUNTIF(Sheet1!J2:J35,"Y")/34</f>
        <v>0.41176470588235292</v>
      </c>
      <c r="D10">
        <f t="shared" si="0"/>
        <v>14</v>
      </c>
    </row>
    <row r="11" spans="1:10" x14ac:dyDescent="0.2">
      <c r="B11" s="10"/>
    </row>
    <row r="12" spans="1:10" x14ac:dyDescent="0.2">
      <c r="A12" t="s">
        <v>50</v>
      </c>
      <c r="B12" s="10">
        <f>COUNTIF(Sheet1!K2:K35,"Y")/(34-Sheet1!K36)</f>
        <v>0.45454545454545453</v>
      </c>
      <c r="D12">
        <f>B12*(34-Sheet1!K36)</f>
        <v>5</v>
      </c>
      <c r="J12">
        <f>((1-B18)*34)</f>
        <v>31</v>
      </c>
    </row>
    <row r="13" spans="1:10" x14ac:dyDescent="0.2">
      <c r="A13" t="s">
        <v>51</v>
      </c>
      <c r="B13" s="10">
        <f>COUNTIFS(Sheet1!L2:L35,"Y", Sheet1!F2:F35, "Y")/(34-Sheet1!K36)</f>
        <v>0.72727272727272729</v>
      </c>
      <c r="D13">
        <f>B13*(34-Sheet1!K36)</f>
        <v>8</v>
      </c>
    </row>
    <row r="14" spans="1:10" x14ac:dyDescent="0.2">
      <c r="A14" t="s">
        <v>52</v>
      </c>
      <c r="B14" s="10">
        <f>COUNTIF(Sheet1!L2:L35,"Y")/34</f>
        <v>0.35294117647058826</v>
      </c>
    </row>
    <row r="15" spans="1:10" x14ac:dyDescent="0.2">
      <c r="B15" s="10"/>
      <c r="J15">
        <f>34*(1-D18)</f>
        <v>19</v>
      </c>
    </row>
    <row r="16" spans="1:10" x14ac:dyDescent="0.2">
      <c r="A16" t="s">
        <v>53</v>
      </c>
      <c r="B16" s="10">
        <f>COUNTIF(Sheet1!G2:G35,"Y")/34</f>
        <v>0.3235294117647059</v>
      </c>
    </row>
    <row r="17" spans="1:11" x14ac:dyDescent="0.2">
      <c r="A17" t="s">
        <v>54</v>
      </c>
      <c r="B17" s="10">
        <f>1-D18</f>
        <v>0.55882352941176472</v>
      </c>
      <c r="F17">
        <f>34*B17</f>
        <v>19</v>
      </c>
    </row>
    <row r="18" spans="1:11" x14ac:dyDescent="0.2">
      <c r="A18" t="s">
        <v>55</v>
      </c>
      <c r="B18">
        <f>COUNTIF(Sheet1!M2:M35,"UNCHANGED")/34</f>
        <v>8.8235294117647065E-2</v>
      </c>
      <c r="C18">
        <f>COUNTIF(Sheet1!M2:M35,"NA")/34</f>
        <v>0.35294117647058826</v>
      </c>
      <c r="D18" s="10">
        <f>C18+B18</f>
        <v>0.44117647058823534</v>
      </c>
      <c r="F18">
        <f>D18*34</f>
        <v>15.000000000000002</v>
      </c>
    </row>
    <row r="19" spans="1:11" x14ac:dyDescent="0.2">
      <c r="A19" t="s">
        <v>56</v>
      </c>
      <c r="B19" s="10">
        <f>COUNTIF(Sheet1!M2:M35,"NA")/15</f>
        <v>0.8</v>
      </c>
      <c r="C19" s="10">
        <f>B19*D18</f>
        <v>0.35294117647058831</v>
      </c>
      <c r="F19">
        <f>F18*0.8</f>
        <v>12.000000000000002</v>
      </c>
    </row>
    <row r="20" spans="1:11" x14ac:dyDescent="0.2">
      <c r="A20" t="s">
        <v>57</v>
      </c>
      <c r="B20" s="10">
        <f>1-B19</f>
        <v>0.19999999999999996</v>
      </c>
      <c r="C20" s="10">
        <f>B20*D18</f>
        <v>8.8235294117647051E-2</v>
      </c>
    </row>
    <row r="21" spans="1:11" x14ac:dyDescent="0.2">
      <c r="B21" s="10"/>
    </row>
    <row r="22" spans="1:11" x14ac:dyDescent="0.2">
      <c r="A22" t="s">
        <v>14</v>
      </c>
      <c r="B22" s="10">
        <f>COUNTIF(Sheet1!M2:M35,"ACCOMODATIVE")/((1-D18)*34)</f>
        <v>0.47368421052631576</v>
      </c>
      <c r="C22">
        <f>B22*((1-D18)*34)</f>
        <v>9</v>
      </c>
    </row>
    <row r="23" spans="1:11" x14ac:dyDescent="0.2">
      <c r="A23" t="s">
        <v>9</v>
      </c>
      <c r="B23" s="10">
        <f>COUNTIF(Sheet1!M2:M35,"TIGHTENED")/((1-D18)*34)</f>
        <v>0.52631578947368418</v>
      </c>
      <c r="C23">
        <f>B23*((1-D18)*34)</f>
        <v>10</v>
      </c>
    </row>
    <row r="24" spans="1:11" x14ac:dyDescent="0.2">
      <c r="B24" s="10"/>
    </row>
    <row r="25" spans="1:11" x14ac:dyDescent="0.2">
      <c r="A25" t="s">
        <v>58</v>
      </c>
      <c r="B25" s="10" t="s">
        <v>68</v>
      </c>
      <c r="C25">
        <f>B17*34</f>
        <v>19</v>
      </c>
    </row>
    <row r="26" spans="1:11" x14ac:dyDescent="0.2">
      <c r="A26" t="s">
        <v>59</v>
      </c>
      <c r="B26" s="24">
        <f>13/((1-B18)*34)</f>
        <v>0.41935483870967744</v>
      </c>
      <c r="C26" s="10">
        <f>13/19</f>
        <v>0.68421052631578949</v>
      </c>
    </row>
    <row r="27" spans="1:11" x14ac:dyDescent="0.2">
      <c r="A27" t="s">
        <v>60</v>
      </c>
      <c r="B27" s="24">
        <f>3/((1-B18)*34)</f>
        <v>9.6774193548387094E-2</v>
      </c>
      <c r="C27" s="10">
        <f>3/19</f>
        <v>0.15789473684210525</v>
      </c>
    </row>
    <row r="28" spans="1:11" x14ac:dyDescent="0.2">
      <c r="A28" t="s">
        <v>61</v>
      </c>
      <c r="B28" s="24">
        <f>3/((1-B18)*34)</f>
        <v>9.6774193548387094E-2</v>
      </c>
      <c r="C28" s="10">
        <f>3/19</f>
        <v>0.15789473684210525</v>
      </c>
    </row>
    <row r="29" spans="1:11" x14ac:dyDescent="0.2">
      <c r="B29" s="10"/>
    </row>
    <row r="30" spans="1:11" x14ac:dyDescent="0.2">
      <c r="A30" t="s">
        <v>64</v>
      </c>
      <c r="B30" s="10">
        <f>1</f>
        <v>1</v>
      </c>
      <c r="K30">
        <f>(B17*34)</f>
        <v>19</v>
      </c>
    </row>
    <row r="31" spans="1:11" x14ac:dyDescent="0.2">
      <c r="A31" t="s">
        <v>65</v>
      </c>
      <c r="B31" s="10">
        <f>6/COUNTIF(Sheet1!M2:M35,"ACCOMODATIVE")</f>
        <v>0.66666666666666663</v>
      </c>
    </row>
    <row r="32" spans="1:11" x14ac:dyDescent="0.2">
      <c r="B32" s="10"/>
    </row>
    <row r="34" spans="1:13" x14ac:dyDescent="0.2">
      <c r="A34" t="s">
        <v>62</v>
      </c>
      <c r="B34" s="10">
        <f>1</f>
        <v>1</v>
      </c>
    </row>
    <row r="35" spans="1:13" x14ac:dyDescent="0.2">
      <c r="A35" t="s">
        <v>63</v>
      </c>
      <c r="B35" s="10">
        <v>0</v>
      </c>
    </row>
    <row r="37" spans="1:13" x14ac:dyDescent="0.2">
      <c r="A37" t="s">
        <v>66</v>
      </c>
      <c r="B37">
        <f>19/22</f>
        <v>0.86363636363636365</v>
      </c>
    </row>
    <row r="38" spans="1:13" x14ac:dyDescent="0.2">
      <c r="A38" t="s">
        <v>67</v>
      </c>
      <c r="B38" s="10">
        <f>8/(B17*34)</f>
        <v>0.42105263157894735</v>
      </c>
    </row>
    <row r="39" spans="1:13" x14ac:dyDescent="0.2">
      <c r="K39">
        <f>COUNTIF(Sheet1!O2:O35,"Y")</f>
        <v>17</v>
      </c>
    </row>
    <row r="40" spans="1:13" x14ac:dyDescent="0.2">
      <c r="K40">
        <f>COUNTIF(Sheet1!O2:O35,"NEUTRAL")</f>
        <v>2</v>
      </c>
    </row>
    <row r="41" spans="1:13" x14ac:dyDescent="0.2">
      <c r="K41">
        <f>COUNTIF(Sheet1!O2:O35,"N")</f>
        <v>3</v>
      </c>
    </row>
    <row r="42" spans="1:13" x14ac:dyDescent="0.2">
      <c r="K42">
        <f>K39+K40+K41</f>
        <v>22</v>
      </c>
      <c r="M42">
        <f>19/22</f>
        <v>0.86363636363636365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9A34EB74238A428D00C84E7765AF82" ma:contentTypeVersion="9" ma:contentTypeDescription="Create a new document." ma:contentTypeScope="" ma:versionID="221c78d998061e83607b7f69513492a6">
  <xsd:schema xmlns:xsd="http://www.w3.org/2001/XMLSchema" xmlns:xs="http://www.w3.org/2001/XMLSchema" xmlns:p="http://schemas.microsoft.com/office/2006/metadata/properties" xmlns:ns3="b782b3b4-ee8e-4ee3-b357-f9a644d85ed5" xmlns:ns4="e2bdf8db-dffd-4197-8aad-e729bb6649a8" targetNamespace="http://schemas.microsoft.com/office/2006/metadata/properties" ma:root="true" ma:fieldsID="393924c671dee690afd6b460e25ca23e" ns3:_="" ns4:_="">
    <xsd:import namespace="b782b3b4-ee8e-4ee3-b357-f9a644d85ed5"/>
    <xsd:import namespace="e2bdf8db-dffd-4197-8aad-e729bb6649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2b3b4-ee8e-4ee3-b357-f9a644d85e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bdf8db-dffd-4197-8aad-e729bb6649a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C80344-B699-4ECF-9022-3E4EED14808B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e2bdf8db-dffd-4197-8aad-e729bb6649a8"/>
    <ds:schemaRef ds:uri="http://schemas.microsoft.com/office/infopath/2007/PartnerControls"/>
    <ds:schemaRef ds:uri="b782b3b4-ee8e-4ee3-b357-f9a644d85ed5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2900079-EA2C-424D-B46D-03EF17B44A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5119C0-F630-4A54-BCD2-F8AC478A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82b3b4-ee8e-4ee3-b357-f9a644d85ed5"/>
    <ds:schemaRef ds:uri="e2bdf8db-dffd-4197-8aad-e729bb664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Fatouros</dc:creator>
  <cp:lastModifiedBy>Nikos Fatouros</cp:lastModifiedBy>
  <dcterms:created xsi:type="dcterms:W3CDTF">2020-12-29T09:25:50Z</dcterms:created>
  <dcterms:modified xsi:type="dcterms:W3CDTF">2024-01-30T09:09:31Z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0x010100769A34EB74238A428D00C84E7765AF82</vt:lpwstr>
  </property>
</Properties>
</file>