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26EFC23A-0E80-4EAB-B206-6D2C7FF51368}" xr6:coauthVersionLast="47" xr6:coauthVersionMax="47" xr10:uidLastSave="{00000000-0000-0000-0000-000000000000}"/>
  <bookViews>
    <workbookView xWindow="-120" yWindow="-120" windowWidth="51840" windowHeight="21240" tabRatio="837" firstSheet="1" activeTab="2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7" i="13" l="1"/>
  <c r="H43" i="13"/>
  <c r="H44" i="13"/>
  <c r="H45" i="13"/>
  <c r="H46" i="13"/>
  <c r="H47" i="13"/>
  <c r="H48" i="13"/>
  <c r="H49" i="13"/>
  <c r="H50" i="13"/>
  <c r="H51" i="13"/>
  <c r="H52" i="13"/>
  <c r="H53" i="13"/>
  <c r="H42" i="13"/>
  <c r="G43" i="13"/>
  <c r="G44" i="13"/>
  <c r="G45" i="13"/>
  <c r="G46" i="13"/>
  <c r="G47" i="13"/>
  <c r="G48" i="13"/>
  <c r="G49" i="13"/>
  <c r="G50" i="13"/>
  <c r="G51" i="13"/>
  <c r="G52" i="13"/>
  <c r="G53" i="13"/>
  <c r="G42" i="13"/>
  <c r="F43" i="13"/>
  <c r="F44" i="13"/>
  <c r="F45" i="13"/>
  <c r="F46" i="13"/>
  <c r="F47" i="13"/>
  <c r="F48" i="13"/>
  <c r="F49" i="13"/>
  <c r="F50" i="13"/>
  <c r="F51" i="13"/>
  <c r="F52" i="13"/>
  <c r="F53" i="13"/>
  <c r="F42" i="13"/>
  <c r="D53" i="13"/>
  <c r="C53" i="13"/>
  <c r="B53" i="13"/>
  <c r="D52" i="13"/>
  <c r="C52" i="13"/>
  <c r="B52" i="13"/>
  <c r="D51" i="13"/>
  <c r="C51" i="13"/>
  <c r="B51" i="13"/>
  <c r="D50" i="13"/>
  <c r="C50" i="13"/>
  <c r="B50" i="13"/>
  <c r="E50" i="13" s="1"/>
  <c r="D49" i="13"/>
  <c r="C49" i="13"/>
  <c r="B49" i="13"/>
  <c r="D48" i="13"/>
  <c r="C48" i="13"/>
  <c r="B48" i="13"/>
  <c r="D47" i="13"/>
  <c r="C47" i="13"/>
  <c r="B47" i="13"/>
  <c r="D46" i="13"/>
  <c r="C46" i="13"/>
  <c r="B46" i="13"/>
  <c r="D45" i="13"/>
  <c r="C45" i="13"/>
  <c r="B45" i="13"/>
  <c r="D44" i="13"/>
  <c r="C44" i="13"/>
  <c r="B44" i="13"/>
  <c r="D43" i="13"/>
  <c r="C43" i="13"/>
  <c r="B43" i="13"/>
  <c r="D42" i="13"/>
  <c r="C42" i="13"/>
  <c r="B42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Q3" i="13"/>
  <c r="Q4" i="13"/>
  <c r="Q5" i="13"/>
  <c r="Q6" i="13"/>
  <c r="Q7" i="13"/>
  <c r="Q8" i="13"/>
  <c r="Q9" i="13"/>
  <c r="Q10" i="13"/>
  <c r="Q11" i="13"/>
  <c r="Q12" i="13"/>
  <c r="Q13" i="13"/>
  <c r="Q2" i="13"/>
  <c r="P3" i="13"/>
  <c r="P4" i="13"/>
  <c r="P5" i="13"/>
  <c r="P6" i="13"/>
  <c r="P7" i="13"/>
  <c r="P8" i="13"/>
  <c r="P9" i="13"/>
  <c r="P10" i="13"/>
  <c r="P11" i="13"/>
  <c r="P12" i="13"/>
  <c r="P13" i="13"/>
  <c r="P2" i="13"/>
  <c r="O3" i="13"/>
  <c r="O4" i="13"/>
  <c r="O5" i="13"/>
  <c r="O6" i="13"/>
  <c r="O7" i="13"/>
  <c r="O8" i="13"/>
  <c r="O9" i="13"/>
  <c r="O10" i="13"/>
  <c r="O11" i="13"/>
  <c r="O12" i="13"/>
  <c r="O13" i="13"/>
  <c r="O2" i="13"/>
  <c r="M13" i="13"/>
  <c r="L13" i="13"/>
  <c r="K13" i="13"/>
  <c r="M12" i="13"/>
  <c r="L12" i="13"/>
  <c r="K12" i="13"/>
  <c r="M11" i="13"/>
  <c r="M10" i="13"/>
  <c r="M9" i="13"/>
  <c r="L9" i="13"/>
  <c r="N9" i="13" s="1"/>
  <c r="M8" i="13"/>
  <c r="L8" i="13"/>
  <c r="K8" i="13"/>
  <c r="M7" i="13"/>
  <c r="L7" i="13"/>
  <c r="K7" i="13"/>
  <c r="M6" i="13"/>
  <c r="L6" i="13"/>
  <c r="K6" i="13"/>
  <c r="M5" i="13"/>
  <c r="L5" i="13"/>
  <c r="K5" i="13"/>
  <c r="N5" i="13" s="1"/>
  <c r="M4" i="13"/>
  <c r="L4" i="13"/>
  <c r="K4" i="13"/>
  <c r="M3" i="13"/>
  <c r="L3" i="13"/>
  <c r="K3" i="13"/>
  <c r="M2" i="13"/>
  <c r="L2" i="13"/>
  <c r="K2" i="13"/>
  <c r="K9" i="13"/>
  <c r="K10" i="13"/>
  <c r="L10" i="13"/>
  <c r="K11" i="13"/>
  <c r="L11" i="13"/>
  <c r="C36" i="12"/>
  <c r="D36" i="12"/>
  <c r="E36" i="12"/>
  <c r="C37" i="12"/>
  <c r="D37" i="12"/>
  <c r="E37" i="12"/>
  <c r="F37" i="12" s="1"/>
  <c r="C38" i="12"/>
  <c r="D38" i="12"/>
  <c r="E38" i="12"/>
  <c r="F38" i="12" s="1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F46" i="12" s="1"/>
  <c r="C47" i="12"/>
  <c r="D47" i="12"/>
  <c r="E47" i="12"/>
  <c r="C48" i="12"/>
  <c r="D48" i="12"/>
  <c r="E48" i="12"/>
  <c r="B37" i="12"/>
  <c r="B38" i="12"/>
  <c r="B39" i="12"/>
  <c r="B40" i="12"/>
  <c r="F40" i="12" s="1"/>
  <c r="B41" i="12"/>
  <c r="F41" i="12" s="1"/>
  <c r="B42" i="12"/>
  <c r="F42" i="12" s="1"/>
  <c r="B43" i="12"/>
  <c r="F43" i="12" s="1"/>
  <c r="B44" i="12"/>
  <c r="F44" i="12" s="1"/>
  <c r="B45" i="12"/>
  <c r="F45" i="12" s="1"/>
  <c r="B46" i="12"/>
  <c r="B47" i="12"/>
  <c r="B48" i="12"/>
  <c r="F48" i="12" s="1"/>
  <c r="B36" i="12"/>
  <c r="F36" i="12" s="1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3" i="13" l="1"/>
  <c r="E46" i="13"/>
  <c r="E45" i="13"/>
  <c r="E52" i="13"/>
  <c r="E47" i="13"/>
  <c r="E42" i="13"/>
  <c r="E49" i="13"/>
  <c r="E44" i="13"/>
  <c r="E51" i="13"/>
  <c r="E53" i="13"/>
  <c r="E48" i="13"/>
  <c r="N8" i="13"/>
  <c r="N10" i="13"/>
  <c r="N12" i="13"/>
  <c r="N7" i="13"/>
  <c r="N2" i="13"/>
  <c r="N4" i="13"/>
  <c r="N11" i="13"/>
  <c r="N6" i="13"/>
  <c r="N13" i="13"/>
  <c r="N3" i="13"/>
  <c r="F39" i="12"/>
  <c r="F47" i="12"/>
  <c r="E4" i="13"/>
  <c r="E5" i="13"/>
  <c r="E7" i="13"/>
  <c r="E6" i="13"/>
  <c r="E8" i="13"/>
  <c r="E11" i="13"/>
  <c r="E13" i="13"/>
  <c r="E3" i="13"/>
  <c r="E12" i="13"/>
  <c r="E2" i="13"/>
  <c r="E10" i="13"/>
  <c r="E9" i="13"/>
  <c r="B7" i="9"/>
  <c r="C7" i="9"/>
  <c r="B16" i="9"/>
  <c r="G11" i="13" l="1"/>
  <c r="H7" i="13"/>
  <c r="H6" i="13"/>
  <c r="F5" i="13"/>
  <c r="G3" i="13"/>
  <c r="G9" i="13"/>
  <c r="H13" i="13"/>
  <c r="F10" i="13"/>
  <c r="H8" i="13"/>
  <c r="F4" i="13"/>
  <c r="H5" i="13"/>
  <c r="G5" i="13"/>
  <c r="G12" i="13"/>
  <c r="H4" i="13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<sst xmlns="http://schemas.openxmlformats.org/spreadsheetml/2006/main" count="38451" uniqueCount="8424">
  <si>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</si>
  <si>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</si>
  <si>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</si>
  <si>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</si>
  <si>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</si>
  <si>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</si>
  <si>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</si>
  <si>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</si>
  <si>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</si>
  <si>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</si>
  <si>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</si>
  <si>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</si>
  <si>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</si>
  <si>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</si>
  <si>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</si>
  <si>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</si>
  <si>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</si>
  <si>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</si>
  <si>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</si>
  <si>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</si>
  <si>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</si>
  <si>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</si>
  <si>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</si>
  <si>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</si>
  <si>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</si>
  <si>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</si>
  <si>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</si>
  <si>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</si>
  <si>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</si>
  <si>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</si>
  <si>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</si>
  <si>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</si>
  <si>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</si>
  <si>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</si>
  <si>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</si>
  <si>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</si>
  <si>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</si>
  <si>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</si>
  <si>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</si>
  <si>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</si>
  <si>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</si>
  <si>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</si>
  <si>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</si>
  <si>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</si>
  <si>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</si>
  <si>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</si>
  <si>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</si>
  <si>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</si>
  <si>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</si>
  <si>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</si>
  <si>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</si>
  <si>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</si>
  <si>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</si>
  <si>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</si>
  <si>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</si>
  <si>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</si>
  <si>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</si>
  <si>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</si>
  <si>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</si>
  <si>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</si>
  <si>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</si>
  <si>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</si>
  <si>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</si>
  <si>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</si>
  <si>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</si>
  <si>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</si>
  <si>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</si>
  <si>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</si>
  <si>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</si>
  <si>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</si>
  <si>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</si>
  <si>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</si>
  <si>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</si>
  <si>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</si>
  <si>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</si>
  <si>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</si>
  <si>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</si>
  <si>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</si>
  <si>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</si>
  <si>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</si>
  <si>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</si>
  <si>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</si>
  <si>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</si>
  <si>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</si>
  <si>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</si>
  <si>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</si>
  <si>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</si>
  <si>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</si>
  <si>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</si>
  <si>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</si>
  <si>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</si>
  <si>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</si>
  <si>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</si>
  <si>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</si>
  <si>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</si>
  <si>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</si>
  <si>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</si>
  <si>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</si>
  <si>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</si>
  <si>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</si>
  <si>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</si>
  <si>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</si>
  <si>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</si>
  <si>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</si>
  <si>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</si>
  <si>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</si>
  <si>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</si>
  <si>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</si>
  <si>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</si>
  <si>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</si>
  <si>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</si>
  <si>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</si>
  <si>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</si>
  <si>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</si>
  <si>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</si>
  <si>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</si>
  <si>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</si>
  <si>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</si>
  <si>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</si>
  <si>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</si>
  <si>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</si>
  <si>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</si>
  <si>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</si>
  <si>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</si>
  <si>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</si>
  <si>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</si>
  <si>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</si>
  <si>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</si>
  <si>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</si>
  <si>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</si>
  <si>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</si>
  <si>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</si>
  <si>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</si>
  <si>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</si>
  <si>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</si>
  <si>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</si>
  <si>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</si>
  <si>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</si>
  <si>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</si>
  <si>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</si>
  <si>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</si>
  <si>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</si>
  <si>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</si>
  <si>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</si>
  <si>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</si>
  <si>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</si>
  <si>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</si>
  <si>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</si>
  <si>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</si>
  <si>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</si>
  <si>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</si>
  <si>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</si>
  <si>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</si>
  <si>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</si>
  <si>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</si>
  <si>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</si>
  <si>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</si>
  <si>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</si>
  <si>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</si>
  <si>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</si>
  <si>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</si>
  <si>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</si>
  <si>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</si>
  <si>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</si>
  <si>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</si>
  <si>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</si>
  <si>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</si>
  <si>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</si>
  <si>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</si>
  <si>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</si>
  <si>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</si>
  <si>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</si>
  <si>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</si>
  <si>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</si>
  <si>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</si>
  <si>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</si>
  <si>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</si>
  <si>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</si>
  <si>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</si>
  <si>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</si>
  <si>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</si>
  <si>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</si>
  <si>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</si>
  <si>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</si>
  <si>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</si>
  <si>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</si>
  <si>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</si>
  <si>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</si>
  <si>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</si>
  <si>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</si>
  <si>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</si>
  <si>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</si>
  <si>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</si>
  <si>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</si>
  <si>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</si>
  <si>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</si>
  <si>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</si>
  <si>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</si>
  <si>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</si>
  <si>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</si>
  <si>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</si>
  <si>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</si>
  <si>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</si>
  <si>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</si>
  <si>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</si>
  <si>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</si>
  <si>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</si>
  <si>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</si>
  <si>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</si>
  <si>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</si>
  <si>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</si>
  <si>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</si>
  <si>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</si>
  <si>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</si>
  <si>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</si>
  <si>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</si>
  <si>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</si>
  <si>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</si>
  <si>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</si>
  <si>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</si>
  <si>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</si>
  <si>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</si>
  <si>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</si>
  <si>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</si>
  <si>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</si>
  <si>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</si>
  <si>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</si>
  <si>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</si>
  <si>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</si>
  <si>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</si>
  <si>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</si>
  <si>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</si>
  <si>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</si>
  <si>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</si>
  <si>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</si>
  <si>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</si>
  <si>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</si>
  <si>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</si>
  <si>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</si>
  <si>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</si>
  <si>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</si>
  <si>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</si>
  <si>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</si>
  <si>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</si>
  <si>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</si>
  <si>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</si>
  <si>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</si>
  <si>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</si>
  <si>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</si>
  <si>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</si>
  <si>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</si>
  <si>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</si>
  <si>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</si>
  <si>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</si>
  <si>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</si>
  <si>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</si>
  <si>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</si>
  <si>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</si>
  <si>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</si>
  <si>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</si>
  <si>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</si>
  <si>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</si>
  <si>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</si>
  <si>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</si>
  <si>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</si>
  <si>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</si>
  <si>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</si>
  <si>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</si>
  <si>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</si>
  <si>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</si>
  <si>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</si>
  <si>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</si>
  <si>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</si>
  <si>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</si>
  <si>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</si>
  <si>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</si>
  <si>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</si>
  <si>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</si>
  <si>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</si>
  <si>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</si>
  <si>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</si>
  <si>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</si>
  <si>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</si>
  <si>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</si>
  <si>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</si>
  <si>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</si>
  <si>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</si>
  <si>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</si>
  <si>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</si>
  <si>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</si>
  <si>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</si>
  <si>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</si>
  <si>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</si>
  <si>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</si>
  <si>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</si>
  <si>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</si>
  <si>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</si>
  <si>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</si>
  <si>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</si>
  <si>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</si>
  <si>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</si>
  <si>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</si>
  <si>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</si>
  <si>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</si>
  <si>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</si>
  <si>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</si>
  <si>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</si>
  <si>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</si>
  <si>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</si>
  <si>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</si>
  <si>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</si>
  <si>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</si>
  <si>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</si>
  <si>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</si>
  <si>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</si>
  <si>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</si>
  <si>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</si>
  <si>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</si>
  <si>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</si>
  <si>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</si>
  <si>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</si>
  <si>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</si>
  <si>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</si>
  <si>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</si>
  <si>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</si>
  <si>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</si>
  <si>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</si>
  <si>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</si>
  <si>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</si>
  <si>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</si>
  <si>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</si>
  <si>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</si>
  <si>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</si>
  <si>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</si>
  <si>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</si>
  <si>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</si>
  <si>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</si>
  <si>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</si>
  <si>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</si>
  <si>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</si>
  <si>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</si>
  <si>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</si>
  <si>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</si>
  <si>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</si>
  <si>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</si>
  <si>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</si>
  <si>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</si>
  <si>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</si>
  <si>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</si>
  <si>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</si>
  <si>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</si>
  <si>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</si>
  <si>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</si>
  <si>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</si>
  <si>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</si>
  <si>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</si>
  <si>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</si>
  <si>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</si>
  <si>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</si>
  <si>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</si>
  <si>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</si>
  <si>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</si>
  <si>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</si>
  <si>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</si>
  <si>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</si>
  <si>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</si>
  <si>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</si>
  <si>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</si>
  <si>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</si>
  <si>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</si>
  <si>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</si>
  <si>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</si>
  <si>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</si>
  <si>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</si>
  <si>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</si>
  <si>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</si>
  <si>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</si>
  <si>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</si>
  <si>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</si>
  <si>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</si>
  <si>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</si>
  <si>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</si>
  <si>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</si>
  <si>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</si>
  <si>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</si>
  <si>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</si>
  <si>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</si>
  <si>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</si>
  <si>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</si>
  <si>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</si>
  <si>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</si>
  <si>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</si>
  <si>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</si>
  <si>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</si>
  <si>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</si>
  <si>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</si>
  <si>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</si>
  <si>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</si>
  <si>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</si>
  <si>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</si>
  <si>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</si>
  <si>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</si>
  <si>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</si>
  <si>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</si>
  <si>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</si>
  <si>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</si>
  <si>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</si>
  <si>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</si>
  <si>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</si>
  <si>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</si>
  <si>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</si>
  <si>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</si>
  <si>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</si>
  <si>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</si>
  <si>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</si>
  <si>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</si>
  <si>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</si>
  <si>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</si>
  <si>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</si>
  <si>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</si>
  <si>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</si>
  <si>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</si>
  <si>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</si>
  <si>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</si>
  <si>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</si>
  <si>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</si>
  <si>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</si>
  <si>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</si>
  <si>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</si>
  <si>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</si>
  <si>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</si>
  <si>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</si>
  <si>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</si>
  <si>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</si>
  <si>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</si>
  <si>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</si>
  <si>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</si>
  <si>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</si>
  <si>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</si>
  <si>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</si>
  <si>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</si>
  <si>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</si>
  <si>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</si>
  <si>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</si>
  <si>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</si>
  <si>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</si>
  <si>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</si>
  <si>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</si>
  <si>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</si>
  <si>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</si>
  <si>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</si>
  <si>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</si>
  <si>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</si>
  <si>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</si>
  <si>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</si>
  <si>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</si>
  <si>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</si>
  <si>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</si>
  <si>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</si>
  <si>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</si>
  <si>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</si>
  <si>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</si>
  <si>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</si>
  <si>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</si>
  <si>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</si>
  <si>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</si>
  <si>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</si>
  <si>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</si>
  <si>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</si>
  <si>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</si>
  <si>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</si>
  <si>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</si>
  <si>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</si>
  <si>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</si>
  <si>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</si>
  <si>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</si>
  <si>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</si>
  <si>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</si>
  <si>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</si>
  <si>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</si>
  <si>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</si>
  <si>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</si>
  <si>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</si>
  <si>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</si>
  <si>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</si>
  <si>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</si>
  <si>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</si>
  <si>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</si>
  <si>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</si>
  <si>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</si>
  <si>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</si>
  <si>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</si>
  <si>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</si>
  <si>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</si>
  <si>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</si>
  <si>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</si>
  <si>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</si>
  <si>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</si>
  <si>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</si>
  <si>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</si>
  <si>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</si>
  <si>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</si>
  <si>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</si>
  <si>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</si>
  <si>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</si>
  <si>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</si>
  <si>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</si>
  <si>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</si>
  <si>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</si>
  <si>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</si>
  <si>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</si>
  <si>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</si>
  <si>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</si>
  <si>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</si>
  <si>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</si>
  <si>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</si>
  <si>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</si>
  <si>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</si>
  <si>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</si>
  <si>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</si>
  <si>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</si>
  <si>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</si>
  <si>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</si>
  <si>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</si>
  <si>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</si>
  <si>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</si>
  <si>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</si>
  <si>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</si>
  <si>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</si>
  <si>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</si>
  <si>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</si>
  <si>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</si>
  <si>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</si>
  <si>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</si>
  <si>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</si>
  <si>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</si>
  <si>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</si>
  <si>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</si>
  <si>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</si>
  <si>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</si>
  <si>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</si>
  <si>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</si>
  <si>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</si>
  <si>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</si>
  <si>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</si>
  <si>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</si>
  <si>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</si>
  <si>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</si>
  <si>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</si>
  <si>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</si>
  <si>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</si>
  <si>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</si>
  <si>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</si>
  <si>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</si>
  <si>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</si>
  <si>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</si>
  <si>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</si>
  <si>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</si>
  <si>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</si>
  <si>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</si>
  <si>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</si>
  <si>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</si>
  <si>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</si>
  <si>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</si>
  <si>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</si>
  <si>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</si>
  <si>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</si>
  <si>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</si>
  <si>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</si>
  <si>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</si>
  <si>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</si>
  <si>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</si>
  <si>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</si>
  <si>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</si>
  <si>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</si>
  <si>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</si>
  <si>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</si>
  <si>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</si>
  <si>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</si>
  <si>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</si>
  <si>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</si>
  <si>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</si>
  <si>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</si>
  <si>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</si>
  <si>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</si>
  <si>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</si>
  <si>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</si>
  <si>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</si>
  <si>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</si>
  <si>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</si>
  <si>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</si>
  <si>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</si>
  <si>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</si>
  <si>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</si>
  <si>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</si>
  <si>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</si>
  <si>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</si>
  <si>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</si>
  <si>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</si>
  <si>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</si>
  <si>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</si>
  <si>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</si>
  <si>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</si>
  <si>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</si>
  <si>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</si>
  <si>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</si>
  <si>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</si>
  <si>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</si>
  <si>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</si>
  <si>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</si>
  <si>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</si>
  <si>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</si>
  <si>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</si>
  <si>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</si>
  <si>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</si>
  <si>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</si>
  <si>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</si>
  <si>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</si>
  <si>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</si>
  <si>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</si>
  <si>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</si>
  <si>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</si>
  <si>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</si>
  <si>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</si>
  <si>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</si>
  <si>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</si>
  <si>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</si>
  <si>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</si>
  <si>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</si>
  <si>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</si>
  <si>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</si>
  <si>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</si>
  <si>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</si>
  <si>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</si>
  <si>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</si>
  <si>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</si>
  <si>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</si>
  <si>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</si>
  <si>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</si>
  <si>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</si>
  <si>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</si>
  <si>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</si>
  <si>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</si>
  <si>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</si>
  <si>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</si>
  <si>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</si>
  <si>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</si>
  <si>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</si>
  <si>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</si>
  <si>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</si>
  <si>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</si>
  <si>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</si>
  <si>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</si>
  <si>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</si>
  <si>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</si>
  <si>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</si>
  <si>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</si>
  <si>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</si>
  <si>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</si>
  <si>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</si>
  <si>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</si>
  <si>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</si>
  <si>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</si>
  <si>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</si>
  <si>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</si>
  <si>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</si>
  <si>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</si>
  <si>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</si>
  <si>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</si>
  <si>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</si>
  <si>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</si>
  <si>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</si>
  <si>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</si>
  <si>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</si>
  <si>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</si>
  <si>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</si>
  <si>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</si>
  <si>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</si>
  <si>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</si>
  <si>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</si>
  <si>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</si>
  <si>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</si>
  <si>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</si>
  <si>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</si>
  <si>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</si>
  <si>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</si>
  <si>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</si>
  <si>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</si>
  <si>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</si>
  <si>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</si>
  <si>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</si>
  <si>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</si>
  <si>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</si>
  <si>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</si>
  <si>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</si>
  <si>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</si>
  <si>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</si>
  <si>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</si>
  <si>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</si>
  <si>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</si>
  <si>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</si>
  <si>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</si>
  <si>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</si>
  <si>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</si>
  <si>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</si>
  <si>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</si>
  <si>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</si>
  <si>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</si>
  <si>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</si>
  <si>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</si>
  <si>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</si>
  <si>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</si>
  <si>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</si>
  <si>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</si>
  <si>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</si>
  <si>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</si>
  <si>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</si>
  <si>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</si>
  <si>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</si>
  <si>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</si>
  <si>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</si>
  <si>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</si>
  <si>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</si>
  <si>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</si>
  <si>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</si>
  <si>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</si>
  <si>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</si>
  <si>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</si>
  <si>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</si>
  <si>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</si>
  <si>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</si>
  <si>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</si>
  <si>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</si>
  <si>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</si>
  <si>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</si>
  <si>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</si>
  <si>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</si>
  <si>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</si>
  <si>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</si>
  <si>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</si>
  <si>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</si>
  <si>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</si>
  <si>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</si>
  <si>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</si>
  <si>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</si>
  <si>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</si>
  <si>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</si>
  <si>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</si>
  <si>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</si>
  <si>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</si>
  <si>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</si>
  <si>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</si>
  <si>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</si>
  <si>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</si>
  <si>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</si>
  <si>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</si>
  <si>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</si>
  <si>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</si>
  <si>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</si>
  <si>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</si>
  <si>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</si>
  <si>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</si>
  <si>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</si>
  <si>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</si>
  <si>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</si>
  <si>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</si>
  <si>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</si>
  <si>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</si>
  <si>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</si>
  <si>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</si>
  <si>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</si>
  <si>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</si>
  <si>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</si>
  <si>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</si>
  <si>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</si>
  <si>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</si>
  <si>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</si>
  <si>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</si>
  <si>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</si>
  <si>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</si>
  <si>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</si>
  <si>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</si>
  <si>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</si>
  <si>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</si>
  <si>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</si>
  <si>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</si>
  <si>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</si>
  <si>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</si>
  <si>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</si>
  <si>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</si>
  <si>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</si>
  <si>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</si>
  <si>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</si>
  <si>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</si>
  <si>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</si>
  <si>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</si>
  <si>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</si>
  <si>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</si>
  <si>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</si>
  <si>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</si>
  <si>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</si>
  <si>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</si>
  <si>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</si>
  <si>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</si>
  <si>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</si>
  <si>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</si>
  <si>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</si>
  <si>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</si>
  <si>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</si>
  <si>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</si>
  <si>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</si>
  <si>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</si>
  <si>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</si>
  <si>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</si>
  <si>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</si>
  <si>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</si>
  <si>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</si>
  <si>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</si>
  <si>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</si>
  <si>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</si>
  <si>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</si>
  <si>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</si>
  <si>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</si>
  <si>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</si>
  <si>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</si>
  <si>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</si>
  <si>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</si>
  <si>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</si>
  <si>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</si>
  <si>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</si>
  <si>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</si>
  <si>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</si>
  <si>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</si>
  <si>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</si>
  <si>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</si>
  <si>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</si>
  <si>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</si>
  <si>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</si>
  <si>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</si>
  <si>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</si>
  <si>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</si>
  <si>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</si>
  <si>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</si>
  <si>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</si>
  <si>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</si>
  <si>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</si>
  <si>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</si>
  <si>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</si>
  <si>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</si>
  <si>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</si>
  <si>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</si>
  <si>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</si>
  <si>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</si>
  <si>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</si>
  <si>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</si>
  <si>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</si>
  <si>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</si>
  <si>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</si>
  <si>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</si>
  <si>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</si>
  <si>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</si>
  <si>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</si>
  <si>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</si>
  <si>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</si>
  <si>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</si>
  <si>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</si>
  <si>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</si>
  <si>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</si>
  <si>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</si>
  <si>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</si>
  <si>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</si>
  <si>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</si>
  <si>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</si>
  <si>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</si>
  <si>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</si>
  <si>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</si>
  <si>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</si>
  <si>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</si>
  <si>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</si>
  <si>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</si>
  <si>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</si>
  <si>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</si>
  <si>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</si>
  <si>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</si>
  <si>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</si>
  <si>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</si>
  <si>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</si>
  <si>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</si>
  <si>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</si>
  <si>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</si>
  <si>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</si>
  <si>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</si>
  <si>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</si>
  <si>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</si>
  <si>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</si>
  <si>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</si>
  <si>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</si>
  <si>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</si>
  <si>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</si>
  <si>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</si>
  <si>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</si>
  <si>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</si>
  <si>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</si>
  <si>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</si>
  <si>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</si>
  <si>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</si>
  <si>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</si>
  <si>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</si>
  <si>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</si>
  <si>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</si>
  <si>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</si>
  <si>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</si>
  <si>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</si>
  <si>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</si>
  <si>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</si>
  <si>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</si>
  <si>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</si>
  <si>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</si>
  <si>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</si>
  <si>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</si>
  <si>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</si>
  <si>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</si>
  <si>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</si>
  <si>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</si>
  <si>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</si>
  <si>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</si>
  <si>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</si>
  <si>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</si>
  <si>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</si>
  <si>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</si>
  <si>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</si>
  <si>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</si>
  <si>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</si>
  <si>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</si>
  <si>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</si>
  <si>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</si>
  <si>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</si>
  <si>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</si>
  <si>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</si>
  <si>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</si>
  <si>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</si>
  <si>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</si>
  <si>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</si>
  <si>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</si>
  <si>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</si>
  <si>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</si>
  <si>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</si>
  <si>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</si>
  <si>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</si>
  <si>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</si>
  <si>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</si>
  <si>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</si>
  <si>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</si>
  <si>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</si>
  <si>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</si>
  <si>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</si>
  <si>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</si>
  <si>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</si>
  <si>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</si>
  <si>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</si>
  <si>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</si>
  <si>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</si>
  <si>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</si>
  <si>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</si>
  <si>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</si>
  <si>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</si>
  <si>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</si>
  <si>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</si>
  <si>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</si>
  <si>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</si>
  <si>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</si>
  <si>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</si>
  <si>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</si>
  <si>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</si>
  <si>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</si>
  <si>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</si>
  <si>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</si>
  <si>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</si>
  <si>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</si>
  <si>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</si>
  <si>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</si>
  <si>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</si>
  <si>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</si>
  <si>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</si>
  <si>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</si>
  <si>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</si>
  <si>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</si>
  <si>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</si>
  <si>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</si>
  <si>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</si>
  <si>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</si>
  <si>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</si>
  <si>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</si>
  <si>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</si>
  <si>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</si>
  <si>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</si>
  <si>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</si>
  <si>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</si>
  <si>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</si>
  <si>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</si>
  <si>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</si>
  <si>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</si>
  <si>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</si>
  <si>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</si>
  <si>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</si>
  <si>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</si>
  <si>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</si>
  <si>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</si>
  <si>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</si>
  <si>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</si>
  <si>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</si>
  <si>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</si>
  <si>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</si>
  <si>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</si>
  <si>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</si>
  <si>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</si>
  <si>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</si>
  <si>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</si>
  <si>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</si>
  <si>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</si>
  <si>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</si>
  <si>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</si>
  <si>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</si>
  <si>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</si>
  <si>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</si>
  <si>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</si>
  <si>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</si>
  <si>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</si>
  <si>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</si>
  <si>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</si>
  <si>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</si>
  <si>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</si>
  <si>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</si>
  <si>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</si>
  <si>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</si>
  <si>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</si>
  <si>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</si>
  <si>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</si>
  <si>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</si>
  <si>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</si>
  <si>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</si>
  <si>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</si>
  <si>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</si>
  <si>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</si>
  <si>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</si>
  <si>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</si>
  <si>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</si>
  <si>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</si>
  <si>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</si>
  <si>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</si>
  <si>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</si>
  <si>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</si>
  <si>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</si>
  <si>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</si>
  <si>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</si>
  <si>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</si>
  <si>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</si>
  <si>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</si>
  <si>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</si>
  <si>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</si>
  <si>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</si>
  <si>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</si>
  <si>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</si>
  <si>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</si>
  <si>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</si>
  <si>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</si>
  <si>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</si>
  <si>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</si>
  <si>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</si>
  <si>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</si>
  <si>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</si>
  <si>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</si>
  <si>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</si>
  <si>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</si>
  <si>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</si>
  <si>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</si>
  <si>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</si>
  <si>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</si>
  <si>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</si>
  <si>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</si>
  <si>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</si>
  <si>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</si>
  <si>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</si>
  <si>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</si>
  <si>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</si>
  <si>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</si>
  <si>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</si>
  <si>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</si>
  <si>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</si>
  <si>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</si>
  <si>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</si>
  <si>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</si>
  <si>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</si>
  <si>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</si>
  <si>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</si>
  <si>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</si>
  <si>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</si>
  <si>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</si>
  <si>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</si>
  <si>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</si>
  <si>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</si>
  <si>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</si>
  <si>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</si>
  <si>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</si>
  <si>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</si>
  <si>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</si>
  <si>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</si>
  <si>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</si>
  <si>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</si>
  <si>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</si>
  <si>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</si>
  <si>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</si>
  <si>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</si>
  <si>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</si>
  <si>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</si>
  <si>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</si>
  <si>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</si>
  <si>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</si>
  <si>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</si>
  <si>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</si>
  <si>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</si>
  <si>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</si>
  <si>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</si>
  <si>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</si>
  <si>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</si>
  <si>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</si>
  <si>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</si>
  <si>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</si>
  <si>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</si>
  <si>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</si>
  <si>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</si>
  <si>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</si>
  <si>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</si>
  <si>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</si>
  <si>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</si>
  <si>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</si>
  <si>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</si>
  <si>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</si>
  <si>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</si>
  <si>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</si>
  <si>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</si>
  <si>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</si>
  <si>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</si>
  <si>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</si>
  <si>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</si>
  <si>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</si>
  <si>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</si>
  <si>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</si>
  <si>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</si>
  <si>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</si>
  <si>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</si>
  <si>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</si>
  <si>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</si>
  <si>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</si>
  <si>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</si>
  <si>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</si>
  <si>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</si>
  <si>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</si>
  <si>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</si>
  <si>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</si>
  <si>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</si>
  <si>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</si>
  <si>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</si>
  <si>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</si>
  <si>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</si>
  <si>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</si>
  <si>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</si>
  <si>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</si>
  <si>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</si>
  <si>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</si>
  <si>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</si>
  <si>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</si>
  <si>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</si>
  <si>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</si>
  <si>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</si>
  <si>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</si>
  <si>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</si>
  <si>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</si>
  <si>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</si>
  <si>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</si>
  <si>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</si>
  <si>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</si>
  <si>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</si>
  <si>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</si>
  <si>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</si>
  <si>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</si>
  <si>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</si>
  <si>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</si>
  <si>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</si>
  <si>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</si>
  <si>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</si>
  <si>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</si>
  <si>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</si>
  <si>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</si>
  <si>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</si>
  <si>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</si>
  <si>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</si>
  <si>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</si>
  <si>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</si>
  <si>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</si>
  <si>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</si>
  <si>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</si>
  <si>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</si>
  <si>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</si>
  <si>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</si>
  <si>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</si>
  <si>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</si>
  <si>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</si>
  <si>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</si>
  <si>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</si>
  <si>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</si>
  <si>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</si>
  <si>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</si>
  <si>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</si>
  <si>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</si>
  <si>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</si>
  <si>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</si>
  <si>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</si>
  <si>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</si>
  <si>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</si>
  <si>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</si>
  <si>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</si>
  <si>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</si>
  <si>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</si>
  <si>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</si>
  <si>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</si>
  <si>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</si>
  <si>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</si>
  <si>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</si>
  <si>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</si>
  <si>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</si>
  <si>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</si>
  <si>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</si>
  <si>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</si>
  <si>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</si>
  <si>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</si>
  <si>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</si>
  <si>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</si>
  <si>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</si>
  <si>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</si>
  <si>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</si>
  <si>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</si>
  <si>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</si>
  <si>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</si>
  <si>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</si>
  <si>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</si>
  <si>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</si>
  <si>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</si>
  <si>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</si>
  <si>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</si>
  <si>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</si>
  <si>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</si>
  <si>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</si>
  <si>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</si>
  <si>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</si>
  <si>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</si>
  <si>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</si>
  <si>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</si>
  <si>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</si>
  <si>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</si>
  <si>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</si>
  <si>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</si>
  <si>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</si>
  <si>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</si>
  <si>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</si>
  <si>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</si>
  <si>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</si>
  <si>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</si>
  <si>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</si>
  <si>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</si>
  <si>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</si>
  <si>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</si>
  <si>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</si>
  <si>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</si>
  <si>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</si>
  <si>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</si>
  <si>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</si>
  <si>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</si>
  <si>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</si>
  <si>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</si>
  <si>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</si>
  <si>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</si>
  <si>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</si>
  <si>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</si>
  <si>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</si>
  <si>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</si>
  <si>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</si>
  <si>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</si>
  <si>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</si>
  <si>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</si>
  <si>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</si>
  <si>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</si>
  <si>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</si>
  <si>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</si>
  <si>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</si>
  <si>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</si>
  <si>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</si>
  <si>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</si>
  <si>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</si>
  <si>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</si>
  <si>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</si>
  <si>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</si>
  <si>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</si>
  <si>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</si>
  <si>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</si>
  <si>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</si>
  <si>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</si>
  <si>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</si>
  <si>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</si>
  <si>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</si>
  <si>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</si>
  <si>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</si>
  <si>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</si>
  <si>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</si>
  <si>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</si>
  <si>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</si>
  <si>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</si>
  <si>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</si>
  <si>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</si>
  <si>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</si>
  <si>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</si>
  <si>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</si>
  <si>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</si>
  <si>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</si>
  <si>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</si>
  <si>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</si>
  <si>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</si>
  <si>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</si>
  <si>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</si>
  <si>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</si>
  <si>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</si>
  <si>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</si>
  <si>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</si>
  <si>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</si>
  <si>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</si>
  <si>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</si>
  <si>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</si>
  <si>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</si>
  <si>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</si>
  <si>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</si>
  <si>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</si>
  <si>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</si>
  <si>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</si>
  <si>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</si>
  <si>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</si>
  <si>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</si>
  <si>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</si>
  <si>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</si>
  <si>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</si>
  <si>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</si>
  <si>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</si>
  <si>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</si>
  <si>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</si>
  <si>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</si>
  <si>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</si>
  <si>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</si>
  <si>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</si>
  <si>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</si>
  <si>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</si>
  <si>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</si>
  <si>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</si>
  <si>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</si>
  <si>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</si>
  <si>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</si>
  <si>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</si>
  <si>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</si>
  <si>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</si>
  <si>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</si>
  <si>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</si>
  <si>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</si>
  <si>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</si>
  <si>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</si>
  <si>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</si>
  <si>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</si>
  <si>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</si>
  <si>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</si>
  <si>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</si>
  <si>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</si>
  <si>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</si>
  <si>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</si>
  <si>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</si>
  <si>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</si>
  <si>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</si>
  <si>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</si>
  <si>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</si>
  <si>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</si>
  <si>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</si>
  <si>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</si>
  <si>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</si>
  <si>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</si>
  <si>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</si>
  <si>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</si>
  <si>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</si>
  <si>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</si>
  <si>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</si>
  <si>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</si>
  <si>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</si>
  <si>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</si>
  <si>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</si>
  <si>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</si>
  <si>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</si>
  <si>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</si>
  <si>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</si>
  <si>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</si>
  <si>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</si>
  <si>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</si>
  <si>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</si>
  <si>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</si>
  <si>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</si>
  <si>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</si>
  <si>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</si>
  <si>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</si>
  <si>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</si>
  <si>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</si>
  <si>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</si>
  <si>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</si>
  <si>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</si>
  <si>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</si>
  <si>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</si>
  <si>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</si>
  <si>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</si>
  <si>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</si>
  <si>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</si>
  <si>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</si>
  <si>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</si>
  <si>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</si>
  <si>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</si>
  <si>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</si>
  <si>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</si>
  <si>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</si>
  <si>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</si>
  <si>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</si>
  <si>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</si>
  <si>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</si>
  <si>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</si>
  <si>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</si>
  <si>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</si>
  <si>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</si>
  <si>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</si>
  <si>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</si>
  <si>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</si>
  <si>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</si>
  <si>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</si>
  <si>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</si>
  <si>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</si>
  <si>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</si>
  <si>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</si>
  <si>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</si>
  <si>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</si>
  <si>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</si>
  <si>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</si>
  <si>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</si>
  <si>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</si>
  <si>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</si>
  <si>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</si>
  <si>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</si>
  <si>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</si>
  <si>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</si>
  <si>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</si>
  <si>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</si>
  <si>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</si>
  <si>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</si>
  <si>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</si>
  <si>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</si>
  <si>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</si>
  <si>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</si>
  <si>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</si>
  <si>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</si>
  <si>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</si>
  <si>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</si>
  <si>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</si>
  <si>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</si>
  <si>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</si>
  <si>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</si>
  <si>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</si>
  <si>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</si>
  <si>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</si>
  <si>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</si>
  <si>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</si>
  <si>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</si>
  <si>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</si>
  <si>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</si>
  <si>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</si>
  <si>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</si>
  <si>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</si>
  <si>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</si>
  <si>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</si>
  <si>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</si>
  <si>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</si>
  <si>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</si>
  <si>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</si>
  <si>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</si>
  <si>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</si>
  <si>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</si>
  <si>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</si>
  <si>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</si>
  <si>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</si>
  <si>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</si>
  <si>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</si>
  <si>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</si>
  <si>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</si>
  <si>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</si>
  <si>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</si>
  <si>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</si>
  <si>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</si>
  <si>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</si>
  <si>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</si>
  <si>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</si>
  <si>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</si>
  <si>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</si>
  <si>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</si>
  <si>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</si>
  <si>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</si>
  <si>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</si>
  <si>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</si>
  <si>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</si>
  <si>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</si>
  <si>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</si>
  <si>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</si>
  <si>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</si>
  <si>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</si>
  <si>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</si>
  <si>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</si>
  <si>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</si>
  <si>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</si>
  <si>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</si>
  <si>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</si>
  <si>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</si>
  <si>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</si>
  <si>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</si>
  <si>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</si>
  <si>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</si>
  <si>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</si>
  <si>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</si>
  <si>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</si>
  <si>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</si>
  <si>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</si>
  <si>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</si>
  <si>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</si>
  <si>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</si>
  <si>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</si>
  <si>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</si>
  <si>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</si>
  <si>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</si>
  <si>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</si>
  <si>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</si>
  <si>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</si>
  <si>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</si>
  <si>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</si>
  <si>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</si>
  <si>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</si>
  <si>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</si>
  <si>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</si>
  <si>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</si>
  <si>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</si>
  <si>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</si>
  <si>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</si>
  <si>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</si>
  <si>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</si>
  <si>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</si>
  <si>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</si>
  <si>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</si>
  <si>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</si>
  <si>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</si>
  <si>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</si>
  <si>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</si>
  <si>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</si>
  <si>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</si>
  <si>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</si>
  <si>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</si>
  <si>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</si>
  <si>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</si>
  <si>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</si>
  <si>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</si>
  <si>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</si>
  <si>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</si>
  <si>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</si>
  <si>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</si>
  <si>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</si>
  <si>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</si>
  <si>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</si>
  <si>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</si>
  <si>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</si>
  <si>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</si>
  <si>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</si>
  <si>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</si>
  <si>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</si>
  <si>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</si>
  <si>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</si>
  <si>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</si>
  <si>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</si>
  <si>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</si>
  <si>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</si>
  <si>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</si>
  <si>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</si>
  <si>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</si>
  <si>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</si>
  <si>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</si>
  <si>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</si>
  <si>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</si>
  <si>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</si>
  <si>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</si>
  <si>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</si>
  <si>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</si>
  <si>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</si>
  <si>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</si>
  <si>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</si>
  <si>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</si>
  <si>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</si>
  <si>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</si>
  <si>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</si>
  <si>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</si>
  <si>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</si>
  <si>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</si>
  <si>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</si>
  <si>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</si>
  <si>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</si>
  <si>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</si>
  <si>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</si>
  <si>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</si>
  <si>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</si>
  <si>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</si>
  <si>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</si>
  <si>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</si>
  <si>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</si>
  <si>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</si>
  <si>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</si>
  <si>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</si>
  <si>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</si>
  <si>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</si>
  <si>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</si>
  <si>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</si>
  <si>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</si>
  <si>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</si>
  <si>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</si>
  <si>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</si>
  <si>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</si>
  <si>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</si>
  <si>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</si>
  <si>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</si>
  <si>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</si>
  <si>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</si>
  <si>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</si>
  <si>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</si>
  <si>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</si>
  <si>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</si>
  <si>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</si>
  <si>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</si>
  <si>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</si>
  <si>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</si>
  <si>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</si>
  <si>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</si>
  <si>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</si>
  <si>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</si>
  <si>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</si>
  <si>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</si>
  <si>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</si>
  <si>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</si>
  <si>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</si>
  <si>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</si>
  <si>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</si>
  <si>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</si>
  <si>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</si>
  <si>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</si>
  <si>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</si>
  <si>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</si>
  <si>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</si>
  <si>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</si>
  <si>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</si>
  <si>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</si>
  <si>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</si>
  <si>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</si>
  <si>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</si>
  <si>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</si>
  <si>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</si>
  <si>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</si>
  <si>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</si>
  <si>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</si>
  <si>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</si>
  <si>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</si>
  <si>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</si>
  <si>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</si>
  <si>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</si>
  <si>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</si>
  <si>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</si>
  <si>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</si>
  <si>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</si>
  <si>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</si>
  <si>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</si>
  <si>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</si>
  <si>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</si>
  <si>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</si>
  <si>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</si>
  <si>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</si>
  <si>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</si>
  <si>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</si>
  <si>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</si>
  <si>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</si>
  <si>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</si>
  <si>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</si>
  <si>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</si>
  <si>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</si>
  <si>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</si>
  <si>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</si>
  <si>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</si>
  <si>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</si>
  <si>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</si>
  <si>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</si>
  <si>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</si>
  <si>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</si>
  <si>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</si>
  <si>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</si>
  <si>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</si>
  <si>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</si>
  <si>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</si>
  <si>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</si>
  <si>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</si>
  <si>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</si>
  <si>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</si>
  <si>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</si>
  <si>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</si>
  <si>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</si>
  <si>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</si>
  <si>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</si>
  <si>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</si>
  <si>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</si>
  <si>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</si>
  <si>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</si>
  <si>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</si>
  <si>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</si>
  <si>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</si>
  <si>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</si>
  <si>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</si>
  <si>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</si>
  <si>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</si>
  <si>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</si>
  <si>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</si>
  <si>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</si>
  <si>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</si>
  <si>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</si>
  <si>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</si>
  <si>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</si>
  <si>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</si>
  <si>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</si>
  <si>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</si>
  <si>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</si>
  <si>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</si>
  <si>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</si>
  <si>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</si>
  <si>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</si>
  <si>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</si>
  <si>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</si>
  <si>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</si>
  <si>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</si>
  <si>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</si>
  <si>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</si>
  <si>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</si>
  <si>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</si>
  <si>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</si>
  <si>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</si>
  <si>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</si>
  <si>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</si>
  <si>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</si>
  <si>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</si>
  <si>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</si>
  <si>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</si>
  <si>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</si>
  <si>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</si>
  <si>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</si>
  <si>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</si>
  <si>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</si>
  <si>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</si>
  <si>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</si>
  <si>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</si>
  <si>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</si>
  <si>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</si>
  <si>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</si>
  <si>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</si>
  <si>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</si>
  <si>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</si>
  <si>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</si>
  <si>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</si>
  <si>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</si>
  <si>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</si>
  <si>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</si>
  <si>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</si>
  <si>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</si>
  <si>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</si>
  <si>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</si>
  <si>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</si>
  <si>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</si>
  <si>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</si>
  <si>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</si>
  <si>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</si>
  <si>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</si>
  <si>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</si>
  <si>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</si>
  <si>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</si>
  <si>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</si>
  <si>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</si>
  <si>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</si>
  <si>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</si>
  <si>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</si>
  <si>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</si>
  <si>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</si>
  <si>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</si>
  <si>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</si>
  <si>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</si>
  <si>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</si>
  <si>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</si>
  <si>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</si>
  <si>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</si>
  <si>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</si>
  <si>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</si>
  <si>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</si>
  <si>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</si>
  <si>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</si>
  <si>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</si>
  <si>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</si>
  <si>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</si>
  <si>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</si>
  <si>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</si>
  <si>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</si>
  <si>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</si>
  <si>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</si>
  <si>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</si>
  <si>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</si>
  <si>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</si>
  <si>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</si>
  <si>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</si>
  <si>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</si>
  <si>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</si>
  <si>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</si>
  <si>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</si>
  <si>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</si>
  <si>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</si>
  <si>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</si>
  <si>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</si>
  <si>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</si>
  <si>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</si>
  <si>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</si>
  <si>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</si>
  <si>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</si>
  <si>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</si>
  <si>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</si>
  <si>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</si>
  <si>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</si>
  <si>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</si>
  <si>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</si>
  <si>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</si>
  <si>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</si>
  <si>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</si>
  <si>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</si>
  <si>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</si>
  <si>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</si>
  <si>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</si>
  <si>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</si>
  <si>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</si>
  <si>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</si>
  <si>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</si>
  <si>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</si>
  <si>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</si>
  <si>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</si>
  <si>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</si>
  <si>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</si>
  <si>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</si>
  <si>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</si>
  <si>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</si>
  <si>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</si>
  <si>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</si>
  <si>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</si>
  <si>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</si>
  <si>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</si>
  <si>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</si>
  <si>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</si>
  <si>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</si>
  <si>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</si>
  <si>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</si>
  <si>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</si>
  <si>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</si>
  <si>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</si>
  <si>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</si>
  <si>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</si>
  <si>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</si>
  <si>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</si>
  <si>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</si>
  <si>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</si>
  <si>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</si>
  <si>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</si>
  <si>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</si>
  <si>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</si>
  <si>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</si>
  <si>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</si>
  <si>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</si>
  <si>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</si>
  <si>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</si>
  <si>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</si>
  <si>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</si>
  <si>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</si>
  <si>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</si>
  <si>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</si>
  <si>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</si>
  <si>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</si>
  <si>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</si>
  <si>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</si>
  <si>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</si>
  <si>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</si>
  <si>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</si>
  <si>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</si>
  <si>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</si>
  <si>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</si>
  <si>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</si>
  <si>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</si>
  <si>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</si>
  <si>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</si>
  <si>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</si>
  <si>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</si>
  <si>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</si>
  <si>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</si>
  <si>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</si>
  <si>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</si>
  <si>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</si>
  <si>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</si>
  <si>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</si>
  <si>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</si>
  <si>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</si>
  <si>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</si>
  <si>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</si>
  <si>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</si>
  <si>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</si>
  <si>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</si>
  <si>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</si>
  <si>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</si>
  <si>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</si>
  <si>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</si>
  <si>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</si>
  <si>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</si>
  <si>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</si>
  <si>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</si>
  <si>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</si>
  <si>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</si>
  <si>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</si>
  <si>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</si>
  <si>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</si>
  <si>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</si>
  <si>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</si>
  <si>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</si>
  <si>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</si>
  <si>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</si>
  <si>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</si>
  <si>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</si>
  <si>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</si>
  <si>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</si>
  <si>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</si>
  <si>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</si>
  <si>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</si>
  <si>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</si>
  <si>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</si>
  <si>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</si>
  <si>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</si>
  <si>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</si>
  <si>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</si>
  <si>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</si>
  <si>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</si>
  <si>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</si>
  <si>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</si>
  <si>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</si>
  <si>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</si>
  <si>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</si>
  <si>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</si>
  <si>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</si>
  <si>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</si>
  <si>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</si>
  <si>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</si>
  <si>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</si>
  <si>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</si>
  <si>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</si>
  <si>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</si>
  <si>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</si>
  <si>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</si>
  <si>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</si>
  <si>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</si>
  <si>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</si>
  <si>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</si>
  <si>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</si>
  <si>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</si>
  <si>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</si>
  <si>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</si>
  <si>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</si>
  <si>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</si>
  <si>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</si>
  <si>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</si>
  <si>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</si>
  <si>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</si>
  <si>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</si>
  <si>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</si>
  <si>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</si>
  <si>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</si>
  <si>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</si>
  <si>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</si>
  <si>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</si>
  <si>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</si>
  <si>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</si>
  <si>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</si>
  <si>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</si>
  <si>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</si>
  <si>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</si>
  <si>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</si>
  <si>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</si>
  <si>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</si>
  <si>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</si>
  <si>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</si>
  <si>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</si>
  <si>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</si>
  <si>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</si>
  <si>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</si>
  <si>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</si>
  <si>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</si>
  <si>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</si>
  <si>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</si>
  <si>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</si>
  <si>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</si>
  <si>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</si>
  <si>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</si>
  <si>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</si>
  <si>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</si>
  <si>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</si>
  <si>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</si>
  <si>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</si>
  <si>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</si>
  <si>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</si>
  <si>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</si>
  <si>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</si>
  <si>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</si>
  <si>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</si>
  <si>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</si>
  <si>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</si>
  <si>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</si>
  <si>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</si>
  <si>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</si>
  <si>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</si>
  <si>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</si>
  <si>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</si>
  <si>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</si>
  <si>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</si>
  <si>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</si>
  <si>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</si>
  <si>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</si>
  <si>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</si>
  <si>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</si>
  <si>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</si>
  <si>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</si>
  <si>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</si>
  <si>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</si>
  <si>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</si>
  <si>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</si>
  <si>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</si>
  <si>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</si>
  <si>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</si>
  <si>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</si>
  <si>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</si>
  <si>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</si>
  <si>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</si>
  <si>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</si>
  <si>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</si>
  <si>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</si>
  <si>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</si>
  <si>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</si>
  <si>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</si>
  <si>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</si>
  <si>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</si>
  <si>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</si>
  <si>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</si>
  <si>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</si>
  <si>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</si>
  <si>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</si>
  <si>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</si>
  <si>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</si>
  <si>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</si>
  <si>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</si>
  <si>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</si>
  <si>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</si>
  <si>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</si>
  <si>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</si>
  <si>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</si>
  <si>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</si>
  <si>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</si>
  <si>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</si>
  <si>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</si>
  <si>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</si>
  <si>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</si>
  <si>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</si>
  <si>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</si>
  <si>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</si>
  <si>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</si>
  <si>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</si>
  <si>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</si>
  <si>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</si>
  <si>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</si>
  <si>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</si>
  <si>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</si>
  <si>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</si>
  <si>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</si>
  <si>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</si>
  <si>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</si>
  <si>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</si>
  <si>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</si>
  <si>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</si>
  <si>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</si>
  <si>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</si>
  <si>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</si>
  <si>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</si>
  <si>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</si>
  <si>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</si>
  <si>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</si>
  <si>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</si>
  <si>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</si>
  <si>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</si>
  <si>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</si>
  <si>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</si>
  <si>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</si>
  <si>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</si>
  <si>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</si>
  <si>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</si>
  <si>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</si>
  <si>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</si>
  <si>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</si>
  <si>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</si>
  <si>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</si>
  <si>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</si>
  <si>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</si>
  <si>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</si>
  <si>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</si>
  <si>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</si>
  <si>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</si>
  <si>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</si>
  <si>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</si>
  <si>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</si>
  <si>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</si>
  <si>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</si>
  <si>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</si>
  <si>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</si>
  <si>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</si>
  <si>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</si>
  <si>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</si>
  <si>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</si>
  <si>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</si>
  <si>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</si>
  <si>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</si>
  <si>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</si>
  <si>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</si>
  <si>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</si>
  <si>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</si>
  <si>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</si>
  <si>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</si>
  <si>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</si>
  <si>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</si>
  <si>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</si>
  <si>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</si>
  <si>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</si>
  <si>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</si>
  <si>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</si>
  <si>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</si>
  <si>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</si>
  <si>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</si>
  <si>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</si>
  <si>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</si>
  <si>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</si>
  <si>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</si>
  <si>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</si>
  <si>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</si>
  <si>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</si>
  <si>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</si>
  <si>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</si>
  <si>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</si>
  <si>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</si>
  <si>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</si>
  <si>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</si>
  <si>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</si>
  <si>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</si>
  <si>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</si>
  <si>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</si>
  <si>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</si>
  <si>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</si>
  <si>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</si>
  <si>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</si>
  <si>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</si>
  <si>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</si>
  <si>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</si>
  <si>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</si>
  <si>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</si>
  <si>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</si>
  <si>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</si>
  <si>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</si>
  <si>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</si>
  <si>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</si>
  <si>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</si>
  <si>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</si>
  <si>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</si>
  <si>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</si>
  <si>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</si>
  <si>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</si>
  <si>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</si>
  <si>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</si>
  <si>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</si>
  <si>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</si>
  <si>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</si>
  <si>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</si>
  <si>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</si>
  <si>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</si>
  <si>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</si>
  <si>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</si>
  <si>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</si>
  <si>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</si>
  <si>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</si>
  <si>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</si>
  <si>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</si>
  <si>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</si>
  <si>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</si>
  <si>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</si>
  <si>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</si>
  <si>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</si>
  <si>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</si>
  <si>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</si>
  <si>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</si>
  <si>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</si>
  <si>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</si>
  <si>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</si>
  <si>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</si>
  <si>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</si>
  <si>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</si>
  <si>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</si>
  <si>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</si>
  <si>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</si>
  <si>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</si>
  <si>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</si>
  <si>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</si>
  <si>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</si>
  <si>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</si>
  <si>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</si>
  <si>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</si>
  <si>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</si>
  <si>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</si>
  <si>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</si>
  <si>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</si>
  <si>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</si>
  <si>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</si>
  <si>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</si>
  <si>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</si>
  <si>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</si>
  <si>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</si>
  <si>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</si>
  <si>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</si>
  <si>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</si>
  <si>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</si>
  <si>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</si>
  <si>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</si>
  <si>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</si>
  <si>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</si>
  <si>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</si>
  <si>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</si>
  <si>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</si>
  <si>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</si>
  <si>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</si>
  <si>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</si>
  <si>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</si>
  <si>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</si>
  <si>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</si>
  <si>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</si>
  <si>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</si>
  <si>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</si>
  <si>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</si>
  <si>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</si>
  <si>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</si>
  <si>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</si>
  <si>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</si>
  <si>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</si>
  <si>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</si>
  <si>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</si>
  <si>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</si>
  <si>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</si>
  <si>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</si>
  <si>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</si>
  <si>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</si>
  <si>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</si>
  <si>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</si>
  <si>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</si>
  <si>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</si>
  <si>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</si>
  <si>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</si>
  <si>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</si>
  <si>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</si>
  <si>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</si>
  <si>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</si>
  <si>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</si>
  <si>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</si>
  <si>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</si>
  <si>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</si>
  <si>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</si>
  <si>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</si>
  <si>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</si>
  <si>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</si>
  <si>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</si>
  <si>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</si>
  <si>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</si>
  <si>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</si>
  <si>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</si>
  <si>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</si>
  <si>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</si>
  <si>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</si>
  <si>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</si>
  <si>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</si>
  <si>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</si>
  <si>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</si>
  <si>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</si>
  <si>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</si>
  <si>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</si>
  <si>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</si>
  <si>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</si>
  <si>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</si>
  <si>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</si>
  <si>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</si>
  <si>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</si>
  <si>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</si>
  <si>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</si>
  <si>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</si>
  <si>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</si>
  <si>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</si>
  <si>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</si>
  <si>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</si>
  <si>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</si>
  <si>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</si>
  <si>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</si>
  <si>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</si>
  <si>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</si>
  <si>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</si>
  <si>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</si>
  <si>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</si>
  <si>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</si>
  <si>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</si>
  <si>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</si>
  <si>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</si>
  <si>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</si>
  <si>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</si>
  <si>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</si>
  <si>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</si>
  <si>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</si>
  <si>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</si>
  <si>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</si>
  <si>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</si>
  <si>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</si>
  <si>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</si>
  <si>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</si>
  <si>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</si>
  <si>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</si>
  <si>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</si>
  <si>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</si>
  <si>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</si>
  <si>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</si>
  <si>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</si>
  <si>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</si>
  <si>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</si>
  <si>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</si>
  <si>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</si>
  <si>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</si>
  <si>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</si>
  <si>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</si>
  <si>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</si>
  <si>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</si>
  <si>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</si>
  <si>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</si>
  <si>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</si>
  <si>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</si>
  <si>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</si>
  <si>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</si>
  <si>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</si>
  <si>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</si>
  <si>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</si>
  <si>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</si>
  <si>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</si>
  <si>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</si>
  <si>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</si>
  <si>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</si>
  <si>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</si>
  <si>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</si>
  <si>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</si>
  <si>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</si>
  <si>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</si>
  <si>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</si>
  <si>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</si>
  <si>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</si>
  <si>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</si>
  <si>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</si>
  <si>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</si>
  <si>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</si>
  <si>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</si>
  <si>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</si>
  <si>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</si>
  <si>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</si>
  <si>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</si>
  <si>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</si>
  <si>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</si>
  <si>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</si>
  <si>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</si>
  <si>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</si>
  <si>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</si>
  <si>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</si>
  <si>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</si>
  <si>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</si>
  <si>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</si>
  <si>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</si>
  <si>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</si>
  <si>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</si>
  <si>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</si>
  <si>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</si>
  <si>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</si>
  <si>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</si>
  <si>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</si>
  <si>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</si>
  <si>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</si>
  <si>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</si>
  <si>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</si>
  <si>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</si>
  <si>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</si>
  <si>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</si>
  <si>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</si>
  <si>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</si>
  <si>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</si>
  <si>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</si>
  <si>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</si>
  <si>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</si>
  <si>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</si>
  <si>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</si>
  <si>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</si>
  <si>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</si>
  <si>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</si>
  <si>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</si>
  <si>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</si>
  <si>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</si>
  <si>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</si>
  <si>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</si>
  <si>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</si>
  <si>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</si>
  <si>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</si>
  <si>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</si>
  <si>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</si>
  <si>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</si>
  <si>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</si>
  <si>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</si>
  <si>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</si>
  <si>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</si>
  <si>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</si>
  <si>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</si>
  <si>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</si>
  <si>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</si>
  <si>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</si>
  <si>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</si>
  <si>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</si>
  <si>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</si>
  <si>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</si>
  <si>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</si>
  <si>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</si>
  <si>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</si>
  <si>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</si>
  <si>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</si>
  <si>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</si>
  <si>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</si>
  <si>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</si>
  <si>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</si>
  <si>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</si>
  <si>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</si>
  <si>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</si>
  <si>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</si>
  <si>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</si>
  <si>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</si>
  <si>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</si>
  <si>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</si>
  <si>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</si>
  <si>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</si>
  <si>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</si>
  <si>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</si>
  <si>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</si>
  <si>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</si>
  <si>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</si>
  <si>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</si>
  <si>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</si>
  <si>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</si>
  <si>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</si>
  <si>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</si>
  <si>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</si>
  <si>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</si>
  <si>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</si>
  <si>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</si>
  <si>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</si>
  <si>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</si>
  <si>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</si>
  <si>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</si>
  <si>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</si>
  <si>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</si>
  <si>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</si>
  <si>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</si>
  <si>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</si>
  <si>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</si>
  <si>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</si>
  <si>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</si>
  <si>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</si>
  <si>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</si>
  <si>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</si>
  <si>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</si>
  <si>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</si>
  <si>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</si>
  <si>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</si>
  <si>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</si>
  <si>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</si>
  <si>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</si>
  <si>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</si>
  <si>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</si>
  <si>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</si>
  <si>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</si>
  <si>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</si>
  <si>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</si>
  <si>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</si>
  <si>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</si>
  <si>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</si>
  <si>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</si>
  <si>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</si>
  <si>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</si>
  <si>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</si>
  <si>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</si>
  <si>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</si>
  <si>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</si>
  <si>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</si>
  <si>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</si>
  <si>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</si>
  <si>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</si>
  <si>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</si>
  <si>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</si>
  <si>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</si>
  <si>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</si>
  <si>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</si>
  <si>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</si>
  <si>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</si>
  <si>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</si>
  <si>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</si>
  <si>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</si>
  <si>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</si>
  <si>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</si>
  <si>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</si>
  <si>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</si>
  <si>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</si>
  <si>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</si>
  <si>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</si>
  <si>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</si>
  <si>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</si>
  <si>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</si>
  <si>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</si>
  <si>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</si>
  <si>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</si>
  <si>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</si>
  <si>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</si>
  <si>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</si>
  <si>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</si>
  <si>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</si>
  <si>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</si>
  <si>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</si>
  <si>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</si>
  <si>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</si>
  <si>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</si>
  <si>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</si>
  <si>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</si>
  <si>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</si>
  <si>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</si>
  <si>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</si>
  <si>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</si>
  <si>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</si>
  <si>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</si>
  <si>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</si>
  <si>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</si>
  <si>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</si>
  <si>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</si>
  <si>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</si>
  <si>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</si>
  <si>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</si>
  <si>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</si>
  <si>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</si>
  <si>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</si>
  <si>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</si>
  <si>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</si>
  <si>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</si>
  <si>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</si>
  <si>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</si>
  <si>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</si>
  <si>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</si>
  <si>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</si>
  <si>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</si>
  <si>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</si>
  <si>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</si>
  <si>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</si>
  <si>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</si>
  <si>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</si>
  <si>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</si>
  <si>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</si>
  <si>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</si>
  <si>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</si>
  <si>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</si>
  <si>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</si>
  <si>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</si>
  <si>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</si>
  <si>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</si>
  <si>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</si>
  <si>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</si>
  <si>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</si>
  <si>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</si>
  <si>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</si>
  <si>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</si>
  <si>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</si>
  <si>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</si>
  <si>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</si>
  <si>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</si>
  <si>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</si>
  <si>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</si>
  <si>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</si>
  <si>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</si>
  <si>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</si>
  <si>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</si>
  <si>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</si>
  <si>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</si>
  <si>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</si>
  <si>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</si>
  <si>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</si>
  <si>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</si>
  <si>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</si>
  <si>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</si>
  <si>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</si>
  <si>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</si>
  <si>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</si>
  <si>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</si>
  <si>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</si>
  <si>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</si>
  <si>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</si>
  <si>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</si>
  <si>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</si>
  <si>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</si>
  <si>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</si>
  <si>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</si>
  <si>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</si>
  <si>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</si>
  <si>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</si>
  <si>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</si>
  <si>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</si>
  <si>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</si>
  <si>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</si>
  <si>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</si>
  <si>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</si>
  <si>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</si>
  <si>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</si>
  <si>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</si>
  <si>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</si>
  <si>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</si>
  <si>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</si>
  <si>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</si>
  <si>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</si>
  <si>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</si>
  <si>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</si>
  <si>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</si>
  <si>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</si>
  <si>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</si>
  <si>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</si>
  <si>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</si>
  <si>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</si>
  <si>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</si>
  <si>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</si>
  <si>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</si>
  <si>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</si>
  <si>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</si>
  <si>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</si>
  <si>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</si>
  <si>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</si>
  <si>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</si>
  <si>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</si>
  <si>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</si>
  <si>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</si>
  <si>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</si>
  <si>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</si>
  <si>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</si>
  <si>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</si>
  <si>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</si>
  <si>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</si>
  <si>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</si>
  <si>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</si>
  <si>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</si>
  <si>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</si>
  <si>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</si>
  <si>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</si>
  <si>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</si>
  <si>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</si>
  <si>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</si>
  <si>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</si>
  <si>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</si>
  <si>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</si>
  <si>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</si>
  <si>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</si>
  <si>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</si>
  <si>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</si>
  <si>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</si>
  <si>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</si>
  <si>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</si>
  <si>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</si>
  <si>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</si>
  <si>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</si>
  <si>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</si>
  <si>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</si>
  <si>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</si>
  <si>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</si>
  <si>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</si>
  <si>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</si>
  <si>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</si>
  <si>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</si>
  <si>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</si>
  <si>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</si>
  <si>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</si>
  <si>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</si>
  <si>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</si>
  <si>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</si>
  <si>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</si>
  <si>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</si>
  <si>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</si>
  <si>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</si>
  <si>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</si>
  <si>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</si>
  <si>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</si>
  <si>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</si>
  <si>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</si>
  <si>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</si>
  <si>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</si>
  <si>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</si>
  <si>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</si>
  <si>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</si>
  <si>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</si>
  <si>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</si>
  <si>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</si>
  <si>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</si>
  <si>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</si>
  <si>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</si>
  <si>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</si>
  <si>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</si>
  <si>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</si>
  <si>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</si>
  <si>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</si>
  <si>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</si>
  <si>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</si>
  <si>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</si>
  <si>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</si>
  <si>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</si>
  <si>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</si>
  <si>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</si>
  <si>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</si>
  <si>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</si>
  <si>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</si>
  <si>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</si>
  <si>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</si>
  <si>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</si>
  <si>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</si>
  <si>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</si>
  <si>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</si>
  <si>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</si>
  <si>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</si>
  <si>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</si>
  <si>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</si>
  <si>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</si>
  <si>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</si>
  <si>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</si>
  <si>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</si>
  <si>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</si>
  <si>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</si>
  <si>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</si>
  <si>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</si>
  <si>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</si>
  <si>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</si>
  <si>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</si>
  <si>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</si>
  <si>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</si>
  <si>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</si>
  <si>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</si>
  <si>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</si>
  <si>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</si>
  <si>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</si>
  <si>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</si>
  <si>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</si>
  <si>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</si>
  <si>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</si>
  <si>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</si>
  <si>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</si>
  <si>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</si>
  <si>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</si>
  <si>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</si>
  <si>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</si>
  <si>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</si>
  <si>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</si>
  <si>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</si>
  <si>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</si>
  <si>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</si>
  <si>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</si>
  <si>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</si>
  <si>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</si>
  <si>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</si>
  <si>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</si>
  <si>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</si>
  <si>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</si>
  <si>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</si>
  <si>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</si>
  <si>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</si>
  <si>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</si>
  <si>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</si>
  <si>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</si>
  <si>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</si>
  <si>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</si>
  <si>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</si>
  <si>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</si>
  <si>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</si>
  <si>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</si>
  <si>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</si>
  <si>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</si>
  <si>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</si>
  <si>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</si>
  <si>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</si>
  <si>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</si>
  <si>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</si>
  <si>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</si>
  <si>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</si>
  <si>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</si>
  <si>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</si>
  <si>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</si>
  <si>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</si>
  <si>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</si>
  <si>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</si>
  <si>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</si>
  <si>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</si>
  <si>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</si>
  <si>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</si>
  <si>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</si>
  <si>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</si>
  <si>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</si>
  <si>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</si>
  <si>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</si>
  <si>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</si>
  <si>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</si>
  <si>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</si>
  <si>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</si>
  <si>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</si>
  <si>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</si>
  <si>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</si>
  <si>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</si>
  <si>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</si>
  <si>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</si>
  <si>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</si>
  <si>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</si>
  <si>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</si>
  <si>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</si>
  <si>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</si>
  <si>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</si>
  <si>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</si>
  <si>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</si>
  <si>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</si>
  <si>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</si>
  <si>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</si>
  <si>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</si>
  <si>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</si>
  <si>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</si>
  <si>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</si>
  <si>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</si>
  <si>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</si>
  <si>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</si>
  <si>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</si>
  <si>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</si>
  <si>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</si>
  <si>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</si>
  <si>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</si>
  <si>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</si>
  <si>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</si>
  <si>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</si>
  <si>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</si>
  <si>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</si>
  <si>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</si>
  <si>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</si>
  <si>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</si>
  <si>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</si>
  <si>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</si>
  <si>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</si>
  <si>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</si>
  <si>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</si>
  <si>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</si>
  <si>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</si>
  <si>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</si>
  <si>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</si>
  <si>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</si>
  <si>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</si>
  <si>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</si>
  <si>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</si>
  <si>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</si>
  <si>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</si>
  <si>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</si>
  <si>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</si>
  <si>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</si>
  <si>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</si>
  <si>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</si>
  <si>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</si>
  <si>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</si>
  <si>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</si>
  <si>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</si>
  <si>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</si>
  <si>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</si>
  <si>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</si>
  <si>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</si>
  <si>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</si>
  <si>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</si>
  <si>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</si>
  <si>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</si>
  <si>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</si>
  <si>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</si>
  <si>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</si>
  <si>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</si>
  <si>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</si>
  <si>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</si>
  <si>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</si>
  <si>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</si>
  <si>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</si>
  <si>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</si>
  <si>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</si>
  <si>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</si>
  <si>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</si>
  <si>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</si>
  <si>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</si>
  <si>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</si>
  <si>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</si>
  <si>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</si>
  <si>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</si>
  <si>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</si>
  <si>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</si>
  <si>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</si>
  <si>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</si>
  <si>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</si>
  <si>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</si>
  <si>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</si>
  <si>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</si>
  <si>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</si>
  <si>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</si>
  <si>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</si>
  <si>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</si>
  <si>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</si>
  <si>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</si>
  <si>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</si>
  <si>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</si>
  <si>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</si>
  <si>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</si>
  <si>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</si>
  <si>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</si>
  <si>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</si>
  <si>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</si>
  <si>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</si>
  <si>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</si>
  <si>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</si>
  <si>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</si>
  <si>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</si>
  <si>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</si>
  <si>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</si>
  <si>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</si>
  <si>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</si>
  <si>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</si>
  <si>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</si>
  <si>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</si>
  <si>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</si>
  <si>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</si>
  <si>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</si>
  <si>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</si>
  <si>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</si>
  <si>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</si>
  <si>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</si>
  <si>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</si>
  <si>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</si>
  <si>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</si>
  <si>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</si>
  <si>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</si>
  <si>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</si>
  <si>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</si>
  <si>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</si>
  <si>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</si>
  <si>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</si>
  <si>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</si>
  <si>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</si>
  <si>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</si>
  <si>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</si>
  <si>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</si>
  <si>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</si>
  <si>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</si>
  <si>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</si>
  <si>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</si>
  <si>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</si>
  <si>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</si>
  <si>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</si>
  <si>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</si>
  <si>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</si>
  <si>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</si>
  <si>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</si>
  <si>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</si>
  <si>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</si>
  <si>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</si>
  <si>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</si>
  <si>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</si>
  <si>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</si>
  <si>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</si>
  <si>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</si>
  <si>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</si>
  <si>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</si>
  <si>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</si>
  <si>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</si>
  <si>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</si>
  <si>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</si>
  <si>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</si>
  <si>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</si>
  <si>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</si>
  <si>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</si>
  <si>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</si>
  <si>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</si>
  <si>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</si>
  <si>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</si>
  <si>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</si>
  <si>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</si>
  <si>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</si>
  <si>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</si>
  <si>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</si>
  <si>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</si>
  <si>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</si>
  <si>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</si>
  <si>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</si>
  <si>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</si>
  <si>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</si>
  <si>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</si>
  <si>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</si>
  <si>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</si>
  <si>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</si>
  <si>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</si>
  <si>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</si>
  <si>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</si>
  <si>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</si>
  <si>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</si>
  <si>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</si>
  <si>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</si>
  <si>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</si>
  <si>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</si>
  <si>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</si>
  <si>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</si>
  <si>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</si>
  <si>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</si>
  <si>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</si>
  <si>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</si>
  <si>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</si>
  <si>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</si>
  <si>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</si>
  <si>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</si>
  <si>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</si>
  <si>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</si>
  <si>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</si>
  <si>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</si>
  <si>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</si>
  <si>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</si>
  <si>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</si>
  <si>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</si>
  <si>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</si>
  <si>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</si>
  <si>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</si>
  <si>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</si>
  <si>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</si>
  <si>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</si>
  <si>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</si>
  <si>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</si>
  <si>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</si>
  <si>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</si>
  <si>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</si>
  <si>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</si>
  <si>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</si>
  <si>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</si>
  <si>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</si>
  <si>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</si>
  <si>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</si>
  <si>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</si>
  <si>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</si>
  <si>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</si>
  <si>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</si>
  <si>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</si>
  <si>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</si>
  <si>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</si>
  <si>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</si>
  <si>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</si>
  <si>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</si>
  <si>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</si>
  <si>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</si>
  <si>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</si>
  <si>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</si>
  <si>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</si>
  <si>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</si>
  <si>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</si>
  <si>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</si>
  <si>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</si>
  <si>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</si>
  <si>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</si>
  <si>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</si>
  <si>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</si>
  <si>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</si>
  <si>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</si>
  <si>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</si>
  <si>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</si>
  <si>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</si>
  <si>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</si>
  <si>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</si>
  <si>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</si>
  <si>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</si>
  <si>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</si>
  <si>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</si>
  <si>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</si>
  <si>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</si>
  <si>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</si>
  <si>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</si>
  <si>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</si>
  <si>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</si>
  <si>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</si>
  <si>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</si>
  <si>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</si>
  <si>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</si>
  <si>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</si>
  <si>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</si>
  <si>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</si>
  <si>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</si>
  <si>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</si>
  <si>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</si>
  <si>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</si>
  <si>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</si>
  <si>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</si>
  <si>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</si>
  <si>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</si>
  <si>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</si>
  <si>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</si>
  <si>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</si>
  <si>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</si>
  <si>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</si>
  <si>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</si>
  <si>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</si>
  <si>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</si>
  <si>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</si>
  <si>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</si>
  <si>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</si>
  <si>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</si>
  <si>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</si>
  <si>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</si>
  <si>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</si>
  <si>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</si>
  <si>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</si>
  <si>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</si>
  <si>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</si>
  <si>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</si>
  <si>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</si>
  <si>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</si>
  <si>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</si>
  <si>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</si>
  <si>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</si>
  <si>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</si>
  <si>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</si>
  <si>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</si>
  <si>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</si>
  <si>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</si>
  <si>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</si>
  <si>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</si>
  <si>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</si>
  <si>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</si>
  <si>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</si>
  <si>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</si>
  <si>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</si>
  <si>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</si>
  <si>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</si>
  <si>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</si>
  <si>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</si>
  <si>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</si>
  <si>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</si>
  <si>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</si>
  <si>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</si>
  <si>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</si>
  <si>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</si>
  <si>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</si>
  <si>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</si>
  <si>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</si>
  <si>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</si>
  <si>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</si>
  <si>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</si>
  <si>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</si>
  <si>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</si>
  <si>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</si>
  <si>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</si>
  <si>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</si>
  <si>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</si>
  <si>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</si>
  <si>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</si>
  <si>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</si>
  <si>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</si>
  <si>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</si>
  <si>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</si>
  <si>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</si>
  <si>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</si>
  <si>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</si>
  <si>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</si>
  <si>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</si>
  <si>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</si>
  <si>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</si>
  <si>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</si>
  <si>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</si>
  <si>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</si>
  <si>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</si>
  <si>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</si>
  <si>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</si>
  <si>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</si>
  <si>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</si>
  <si>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</si>
  <si>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</si>
  <si>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</si>
  <si>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</si>
  <si>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</si>
  <si>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</si>
  <si>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</si>
  <si>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</si>
  <si>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</si>
  <si>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</si>
  <si>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</si>
  <si>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</si>
  <si>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</si>
  <si>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</si>
  <si>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</si>
  <si>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</si>
  <si>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</si>
  <si>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</si>
  <si>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</si>
  <si>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</si>
  <si>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</si>
  <si>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</si>
  <si>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</si>
  <si>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</si>
  <si>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</si>
  <si>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</si>
  <si>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</si>
  <si>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</si>
  <si>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</si>
  <si>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</si>
  <si>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</si>
  <si>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</si>
  <si>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</si>
  <si>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</si>
  <si>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</si>
  <si>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</si>
  <si>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</si>
  <si>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</si>
  <si>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</si>
  <si>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</si>
  <si>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</si>
  <si>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</si>
  <si>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</si>
  <si>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</si>
  <si>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</si>
  <si>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</si>
  <si>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</si>
  <si>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</si>
  <si>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</si>
  <si>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</si>
  <si>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</si>
  <si>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</si>
  <si>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</si>
  <si>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</si>
  <si>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</si>
  <si>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</si>
  <si>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</si>
  <si>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</si>
  <si>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</si>
  <si>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</si>
  <si>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</si>
  <si>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</si>
  <si>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</si>
  <si>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</si>
  <si>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</si>
  <si>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</si>
  <si>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</si>
  <si>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</si>
  <si>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</si>
  <si>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</si>
  <si>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</si>
  <si>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</si>
  <si>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</si>
  <si>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</si>
  <si>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</si>
  <si>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</si>
  <si>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</si>
  <si>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</si>
  <si>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</si>
  <si>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</si>
  <si>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</si>
  <si>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</si>
  <si>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</si>
  <si>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</si>
  <si>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</si>
  <si>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</si>
  <si>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</si>
  <si>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</si>
  <si>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</si>
  <si>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</si>
  <si>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</si>
  <si>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</si>
  <si>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</si>
  <si>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</si>
  <si>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</si>
  <si>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</si>
  <si>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</si>
  <si>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</si>
  <si>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</si>
  <si>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</si>
  <si>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</si>
  <si>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</si>
  <si>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</si>
  <si>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</si>
  <si>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</si>
  <si>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</si>
  <si>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</si>
  <si>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</si>
  <si>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</si>
  <si>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</si>
  <si>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</si>
  <si>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</si>
  <si>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</si>
  <si>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</si>
  <si>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</si>
  <si>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</si>
  <si>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</si>
  <si>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</si>
  <si>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</si>
  <si>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</si>
  <si>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</si>
  <si>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</si>
  <si>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</si>
  <si>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</si>
  <si>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</si>
  <si>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</si>
  <si>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</si>
  <si>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</si>
  <si>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</si>
  <si>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</si>
  <si>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</si>
  <si>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</si>
  <si>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</si>
  <si>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</si>
  <si>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</si>
  <si>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</si>
  <si>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</si>
  <si>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</si>
  <si>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</si>
  <si>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</si>
  <si>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</si>
  <si>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</si>
  <si>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</si>
  <si>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</si>
  <si>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</si>
  <si>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</si>
  <si>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</si>
  <si>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</si>
  <si>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</si>
  <si>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</si>
  <si>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</si>
  <si>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</si>
  <si>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</si>
  <si>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</si>
  <si>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</si>
  <si>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</si>
  <si>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</si>
  <si>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</si>
  <si>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</si>
  <si>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</si>
  <si>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</si>
  <si>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</si>
  <si>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</si>
  <si>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</si>
  <si>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</si>
  <si>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</si>
  <si>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</si>
  <si>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</si>
  <si>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</si>
  <si>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</si>
  <si>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</si>
  <si>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</si>
  <si>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</si>
  <si>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</si>
  <si>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</si>
  <si>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</si>
  <si>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</si>
  <si>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</si>
  <si>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</si>
  <si>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</si>
  <si>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</si>
  <si>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</si>
  <si>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</si>
  <si>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</si>
  <si>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</si>
  <si>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</si>
  <si>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</si>
  <si>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</si>
  <si>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</si>
  <si>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</si>
  <si>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</si>
  <si>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</si>
  <si>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</si>
  <si>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</si>
  <si>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</si>
  <si>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</si>
  <si>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</si>
  <si>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</si>
  <si>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</si>
  <si>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</si>
  <si>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</si>
  <si>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</si>
  <si>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</si>
  <si>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</si>
  <si>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</si>
  <si>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</si>
  <si>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</si>
  <si>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</si>
  <si>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</si>
  <si>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</si>
  <si>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</si>
  <si>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</si>
  <si>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</si>
  <si>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</si>
  <si>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</si>
  <si>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</si>
  <si>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</si>
  <si>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</si>
  <si>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</si>
  <si>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</si>
  <si>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</si>
  <si>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</si>
  <si>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</si>
  <si>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</si>
  <si>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</si>
  <si>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</si>
  <si>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</si>
  <si>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</si>
  <si>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</si>
  <si>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</si>
  <si>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</si>
  <si>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</si>
  <si>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</si>
  <si>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</si>
  <si>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</si>
  <si>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</si>
  <si>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</si>
  <si>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</si>
  <si>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</si>
  <si>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</si>
  <si>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</si>
  <si>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</si>
  <si>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</si>
  <si>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</si>
  <si>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</si>
  <si>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</si>
  <si>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</si>
  <si>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</si>
  <si>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</si>
  <si>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</si>
  <si>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</si>
  <si>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</si>
  <si>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</si>
  <si>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</si>
  <si>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</si>
  <si>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</si>
  <si>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</si>
  <si>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</si>
  <si>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</si>
  <si>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</si>
  <si>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</si>
  <si>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</si>
  <si>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</si>
  <si>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</si>
  <si>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</si>
  <si>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</si>
  <si>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</si>
  <si>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</si>
  <si>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</si>
  <si>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</si>
  <si>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</si>
  <si>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</si>
  <si>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</si>
  <si>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</si>
  <si>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</si>
  <si>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</si>
  <si>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</si>
  <si>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</si>
  <si>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</si>
  <si>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</si>
  <si>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</si>
  <si>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</si>
  <si>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</si>
  <si>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</si>
  <si>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</si>
  <si>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</si>
  <si>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</si>
  <si>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</si>
  <si>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</si>
  <si>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</si>
  <si>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</si>
  <si>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</si>
  <si>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</si>
  <si>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</si>
  <si>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</si>
  <si>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</si>
  <si>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</si>
  <si>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</si>
  <si>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</si>
  <si>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</si>
  <si>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</si>
  <si>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</si>
  <si>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</si>
  <si>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</si>
  <si>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</si>
  <si>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</si>
  <si>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</si>
  <si>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</si>
  <si>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</si>
  <si>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</si>
  <si>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</si>
  <si>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</si>
  <si>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</si>
  <si>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</si>
  <si>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</si>
  <si>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</si>
  <si>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</si>
  <si>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</si>
  <si>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</si>
  <si>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</si>
  <si>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</si>
  <si>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</si>
  <si>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</si>
  <si>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</si>
  <si>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</si>
  <si>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</si>
  <si>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</si>
  <si>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</si>
  <si>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</si>
  <si>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</si>
  <si>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</si>
  <si>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</si>
  <si>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</si>
  <si>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</si>
  <si>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</si>
  <si>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</si>
  <si>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</si>
  <si>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</si>
  <si>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</si>
  <si>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</si>
  <si>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</si>
  <si>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</si>
  <si>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</si>
  <si>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</si>
  <si>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</si>
  <si>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</si>
  <si>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</si>
  <si>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</si>
  <si>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</si>
  <si>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</si>
  <si>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</si>
  <si>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</si>
  <si>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</si>
  <si>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</si>
  <si>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</si>
  <si>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</si>
  <si>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</si>
  <si>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</si>
  <si>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</si>
  <si>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</si>
  <si>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</si>
  <si>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</si>
  <si>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</si>
  <si>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</si>
  <si>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</si>
  <si>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</si>
  <si>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</si>
  <si>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</si>
  <si>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</si>
  <si>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</si>
  <si>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</si>
  <si>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</si>
  <si>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</si>
  <si>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</si>
  <si>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</si>
  <si>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</si>
  <si>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</si>
  <si>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</si>
  <si>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</si>
  <si>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</si>
  <si>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</si>
  <si>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</si>
  <si>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</si>
  <si>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</si>
  <si>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</si>
  <si>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</si>
  <si>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</si>
  <si>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</si>
  <si>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</si>
  <si>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</si>
  <si>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</si>
  <si>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</si>
  <si>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</si>
  <si>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</si>
  <si>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</si>
  <si>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</si>
  <si>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</si>
  <si>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</si>
  <si>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</si>
  <si>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</si>
  <si>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</si>
  <si>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</si>
  <si>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</si>
  <si>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</si>
  <si>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</si>
  <si>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</si>
  <si>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</si>
  <si>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</si>
  <si>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</si>
  <si>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</si>
  <si>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</si>
  <si>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</si>
  <si>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</si>
  <si>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</si>
  <si>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</si>
  <si>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</si>
  <si>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</si>
  <si>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</si>
  <si>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</si>
  <si>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</si>
  <si>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</si>
  <si>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</si>
  <si>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</si>
  <si>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</si>
  <si>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</si>
  <si>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</si>
  <si>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</si>
  <si>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</si>
  <si>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</si>
  <si>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</si>
  <si>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</si>
  <si>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</si>
  <si>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</si>
  <si>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</si>
  <si>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</si>
  <si>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</si>
  <si>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</si>
  <si>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</si>
  <si>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</si>
  <si>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</si>
  <si>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</si>
  <si>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</si>
  <si>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</si>
  <si>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</si>
  <si>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</si>
  <si>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</si>
  <si>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</si>
  <si>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</si>
  <si>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</si>
  <si>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</si>
  <si>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</si>
  <si>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</si>
  <si>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</si>
  <si>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</si>
  <si>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</si>
  <si>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</si>
  <si>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</si>
  <si>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</si>
  <si>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</si>
  <si>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</si>
  <si>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</si>
  <si>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</si>
  <si>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</si>
  <si>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</si>
  <si>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</si>
  <si>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</si>
  <si>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</si>
  <si>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</si>
  <si>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</si>
  <si>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</si>
  <si>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</si>
  <si>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</si>
  <si>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</si>
  <si>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</si>
  <si>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</si>
  <si>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</si>
  <si>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</si>
  <si>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</si>
  <si>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</si>
  <si>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</si>
  <si>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</si>
  <si>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</si>
  <si>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</si>
  <si>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</si>
  <si>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</si>
  <si>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</si>
  <si>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</si>
  <si>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</si>
  <si>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</si>
  <si>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</si>
  <si>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</si>
  <si>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</si>
  <si>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</si>
  <si>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</si>
  <si>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</si>
  <si>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</si>
  <si>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</si>
  <si>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</si>
  <si>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</si>
  <si>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</si>
  <si>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</si>
  <si>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</si>
  <si>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</si>
  <si>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</si>
  <si>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</si>
  <si>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</si>
  <si>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</si>
  <si>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</si>
  <si>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</si>
  <si>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</si>
  <si>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</si>
  <si>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</si>
  <si>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</si>
  <si>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</si>
  <si>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</si>
  <si>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</si>
  <si>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</si>
  <si>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</si>
  <si>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</si>
  <si>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</si>
  <si>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</si>
  <si>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</si>
  <si>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</si>
  <si>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</si>
  <si>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</si>
  <si>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</si>
  <si>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</si>
  <si>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</si>
  <si>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</si>
  <si>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</si>
  <si>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</si>
  <si>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</si>
  <si>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</si>
  <si>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</si>
  <si>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</si>
  <si>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</si>
  <si>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</si>
  <si>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</si>
  <si>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</si>
  <si>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</si>
  <si>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</si>
  <si>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</si>
  <si>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</si>
  <si>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</si>
  <si>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</si>
  <si>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</si>
  <si>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</si>
  <si>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</si>
  <si>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</si>
  <si>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</si>
  <si>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</si>
  <si>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</si>
  <si>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</si>
  <si>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</si>
  <si>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</si>
  <si>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</si>
  <si>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</si>
  <si>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</si>
  <si>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</si>
  <si>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</si>
  <si>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</si>
  <si>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</si>
  <si>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</si>
  <si>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</si>
  <si>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</si>
  <si>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</si>
  <si>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</si>
  <si>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</si>
  <si>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</si>
  <si>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</si>
  <si>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</si>
  <si>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</si>
  <si>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</si>
  <si>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</si>
  <si>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</si>
  <si>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</si>
  <si>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</si>
  <si>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</si>
  <si>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</si>
  <si>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</si>
  <si>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</si>
  <si>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</si>
  <si>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</si>
  <si>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</si>
  <si>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</si>
  <si>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</si>
  <si>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</si>
  <si>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</si>
  <si>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</si>
  <si>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</si>
  <si>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</si>
  <si>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</si>
  <si>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</si>
  <si>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</si>
  <si>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</si>
  <si>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</si>
  <si>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</si>
  <si>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</si>
  <si>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</si>
  <si>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</si>
  <si>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</si>
  <si>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</si>
  <si>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</si>
  <si>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</si>
  <si>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</si>
  <si>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</si>
  <si>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</si>
  <si>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</si>
  <si>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</si>
  <si>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</si>
  <si>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</si>
  <si>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</si>
  <si>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</si>
  <si>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</si>
  <si>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</si>
  <si>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</si>
  <si>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</si>
  <si>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</si>
  <si>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</si>
  <si>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</si>
  <si>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</si>
  <si>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</si>
  <si>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</si>
  <si>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</si>
  <si>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</si>
  <si>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</si>
  <si>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</si>
  <si>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</si>
  <si>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</si>
  <si>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</si>
  <si>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</si>
  <si>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</si>
  <si>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</si>
  <si>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</si>
  <si>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</si>
  <si>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</si>
  <si>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</si>
  <si>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</si>
  <si>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</si>
  <si>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</si>
  <si>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</si>
  <si>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</si>
  <si>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</si>
  <si>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</si>
  <si>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</si>
  <si>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</si>
  <si>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</si>
  <si>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</si>
  <si>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</si>
  <si>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</si>
  <si>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</si>
  <si>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</si>
  <si>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</si>
  <si>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</si>
  <si>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</si>
  <si>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</si>
  <si>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</si>
  <si>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</si>
  <si>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</si>
  <si>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</si>
  <si>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</si>
  <si>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</si>
  <si>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</si>
  <si>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</si>
  <si>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</si>
  <si>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</si>
  <si>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</si>
  <si>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</si>
  <si>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</si>
  <si>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</si>
  <si>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</si>
  <si>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</si>
  <si>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</si>
  <si>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</si>
  <si>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</si>
  <si>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</si>
  <si>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</si>
  <si>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</si>
  <si>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</si>
  <si>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</si>
  <si>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</si>
  <si>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</si>
  <si>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</si>
  <si>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</si>
  <si>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</si>
  <si>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</si>
  <si>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</si>
  <si>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</si>
  <si>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</si>
  <si>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</si>
  <si>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</si>
  <si>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</si>
  <si>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</si>
  <si>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</si>
  <si>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</si>
  <si>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</si>
  <si>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</si>
  <si>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</si>
  <si>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</si>
  <si>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</si>
  <si>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</si>
  <si>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</si>
  <si>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</si>
  <si>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</si>
  <si>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</si>
  <si>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</si>
  <si>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</si>
  <si>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</si>
  <si>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</si>
  <si>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</si>
  <si>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</si>
  <si>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</si>
  <si>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</si>
  <si>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</si>
  <si>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</si>
  <si>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</si>
  <si>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</si>
  <si>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</si>
  <si>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</si>
  <si>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</si>
  <si>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</si>
  <si>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</si>
  <si>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</si>
  <si>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</si>
  <si>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</si>
  <si>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</si>
  <si>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</si>
  <si>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</si>
  <si>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</si>
  <si>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</si>
  <si>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</si>
  <si>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</si>
  <si>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</si>
  <si>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</si>
  <si>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</si>
  <si>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</si>
  <si>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</si>
  <si>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</si>
  <si>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</si>
  <si>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</si>
  <si>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</si>
  <si>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</si>
  <si>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</si>
  <si>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</si>
  <si>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</si>
  <si>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</si>
  <si>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</si>
  <si>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</si>
  <si>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</si>
  <si>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</si>
  <si>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</si>
  <si>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</si>
  <si>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</si>
  <si>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</si>
  <si>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</si>
  <si>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</si>
  <si>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</si>
  <si>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</si>
  <si>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</si>
  <si>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</si>
  <si>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</si>
  <si>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</si>
  <si>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</si>
  <si>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</si>
  <si>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</si>
  <si>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</si>
  <si>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</si>
  <si>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</si>
  <si>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</si>
  <si>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</si>
  <si>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</si>
  <si>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</si>
  <si>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</si>
  <si>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</si>
  <si>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</si>
  <si>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</si>
  <si>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</si>
  <si>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</si>
  <si>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</si>
  <si>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</si>
  <si>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</si>
  <si>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</si>
  <si>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</si>
  <si>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</si>
  <si>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</si>
  <si>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</si>
  <si>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</si>
  <si>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</si>
  <si>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</si>
  <si>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</si>
  <si>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</si>
  <si>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</si>
  <si>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</si>
  <si>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</si>
  <si>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</si>
  <si>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</si>
  <si>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</si>
  <si>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</si>
  <si>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</si>
  <si>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</si>
  <si>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</si>
  <si>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</si>
  <si>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</si>
  <si>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</si>
  <si>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</si>
  <si>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</si>
  <si>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</si>
  <si>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</si>
  <si>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</si>
  <si>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</si>
  <si>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</si>
  <si>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</si>
  <si>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</si>
  <si>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</si>
  <si>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</si>
  <si>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</si>
  <si>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</si>
  <si>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</si>
  <si>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</si>
  <si>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</si>
  <si>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</si>
  <si>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</si>
  <si>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</si>
  <si>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</si>
  <si>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</si>
  <si>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</si>
  <si>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</si>
  <si>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</si>
  <si>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</si>
  <si>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</si>
  <si>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</si>
  <si>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</si>
  <si>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</si>
  <si>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</si>
  <si>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</si>
  <si>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</si>
  <si>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</si>
  <si>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</si>
  <si>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</si>
  <si>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</si>
  <si>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</si>
  <si>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</si>
  <si>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</si>
  <si>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</si>
  <si>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</si>
  <si>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</si>
  <si>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</si>
  <si>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</si>
  <si>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</si>
  <si>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</si>
  <si>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</si>
  <si>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</si>
  <si>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</si>
  <si>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</si>
  <si>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</si>
  <si>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</si>
  <si>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</si>
  <si>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</si>
  <si>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</si>
  <si>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</si>
  <si>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</si>
  <si>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</si>
  <si>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</si>
  <si>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</si>
  <si>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</si>
  <si>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</si>
  <si>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</si>
  <si>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</si>
  <si>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</si>
  <si>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</si>
  <si>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</si>
  <si>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</si>
  <si>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</si>
  <si>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</si>
  <si>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</si>
  <si>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</si>
  <si>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</si>
  <si>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</si>
  <si>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</si>
  <si>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</si>
  <si>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</si>
  <si>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</si>
  <si>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</si>
  <si>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</si>
  <si>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</si>
  <si>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</si>
  <si>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</si>
  <si>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</si>
  <si>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</si>
  <si>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</si>
  <si>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</si>
  <si>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</si>
  <si>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</si>
  <si>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</si>
  <si>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</si>
  <si>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</si>
  <si>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</si>
  <si>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</si>
  <si>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</si>
  <si>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</si>
  <si>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</si>
  <si>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</si>
  <si>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</si>
  <si>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</si>
  <si>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</si>
  <si>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</si>
  <si>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</si>
  <si>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</si>
  <si>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</si>
  <si>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</si>
  <si>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</si>
  <si>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</si>
  <si>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</si>
  <si>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</si>
  <si>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</si>
  <si>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</si>
  <si>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</si>
  <si>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</si>
  <si>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</si>
  <si>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</si>
  <si>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</si>
  <si>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</si>
  <si>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</si>
  <si>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</si>
  <si>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</si>
  <si>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</si>
  <si>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</si>
  <si>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</si>
  <si>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</si>
  <si>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</si>
  <si>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</si>
  <si>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</si>
  <si>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</si>
  <si>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</si>
  <si>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</si>
  <si>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</si>
  <si>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</si>
  <si>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</si>
  <si>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</si>
  <si>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</si>
  <si>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</si>
  <si>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</si>
  <si>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</si>
  <si>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</si>
  <si>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</si>
  <si>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</si>
  <si>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</si>
  <si>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</si>
  <si>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</si>
  <si>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</si>
  <si>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</si>
  <si>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</si>
  <si>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</si>
  <si>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</si>
  <si>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</si>
  <si>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</si>
  <si>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</si>
  <si>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</si>
  <si>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</si>
  <si>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</si>
  <si>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</si>
  <si>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</si>
  <si>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</si>
  <si>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</si>
  <si>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</si>
  <si>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</si>
  <si>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</si>
  <si>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</si>
  <si>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</si>
  <si>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</si>
  <si>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</si>
  <si>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</si>
  <si>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</si>
  <si>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</si>
  <si>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</si>
  <si>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</si>
  <si>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</si>
  <si>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</si>
  <si>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</si>
  <si>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</si>
  <si>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</si>
  <si>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</si>
  <si>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</si>
  <si>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</si>
  <si>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</si>
  <si>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</si>
  <si>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</si>
  <si>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</si>
  <si>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</si>
  <si>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</si>
  <si>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</si>
  <si>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</si>
  <si>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</si>
  <si>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</si>
  <si>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</si>
  <si>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</si>
  <si>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</si>
  <si>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</si>
  <si>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</si>
  <si>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</si>
  <si>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</si>
  <si>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</si>
  <si>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</si>
  <si>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</si>
  <si>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</si>
  <si>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</si>
  <si>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</si>
  <si>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</si>
  <si>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</si>
  <si>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</si>
  <si>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</si>
  <si>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</si>
  <si>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</si>
  <si>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</si>
  <si>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</si>
  <si>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</si>
  <si>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</si>
  <si>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</si>
  <si>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</si>
  <si>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</si>
  <si>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</si>
  <si>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</si>
  <si>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</si>
  <si>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</si>
  <si>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</si>
  <si>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</si>
  <si>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</si>
  <si>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</si>
  <si>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</si>
  <si>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</si>
  <si>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</si>
  <si>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</si>
  <si>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</si>
  <si>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</si>
  <si>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</si>
  <si>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</si>
  <si>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</si>
  <si>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</si>
  <si>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</si>
  <si>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</si>
  <si>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</si>
  <si>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</si>
  <si>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</si>
  <si>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</si>
  <si>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</si>
  <si>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</si>
  <si>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</si>
  <si>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</si>
  <si>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</si>
  <si>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</si>
  <si>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</si>
  <si>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</si>
  <si>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</si>
  <si>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</si>
  <si>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</si>
  <si>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</si>
  <si>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</si>
  <si>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</si>
  <si>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</si>
  <si>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</si>
  <si>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</si>
  <si>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</si>
  <si>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</si>
  <si>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</si>
  <si>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</si>
  <si>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</si>
  <si>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</si>
  <si>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</si>
  <si>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</si>
  <si>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</si>
  <si>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</si>
  <si>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</si>
  <si>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</si>
  <si>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</si>
  <si>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</si>
  <si>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</si>
  <si>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</si>
  <si>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</si>
  <si>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</si>
  <si>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</si>
  <si>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</si>
  <si>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</si>
  <si>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</si>
  <si>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</si>
  <si>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</si>
  <si>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</si>
  <si>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</si>
  <si>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</si>
  <si>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</si>
  <si>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</si>
  <si>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</si>
  <si>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</si>
  <si>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</si>
  <si>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</si>
  <si>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</si>
  <si>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</si>
  <si>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</si>
  <si>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</si>
  <si>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</si>
  <si>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</si>
  <si>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</si>
  <si>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</si>
  <si>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</si>
  <si>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</si>
  <si>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</si>
  <si>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</si>
  <si>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</si>
  <si>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</si>
  <si>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</si>
  <si>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</si>
  <si>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</si>
  <si>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</si>
  <si>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</si>
  <si>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</si>
  <si>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</si>
  <si>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</si>
  <si>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</si>
  <si>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</si>
  <si>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</si>
  <si>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</si>
  <si>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</si>
  <si>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</si>
  <si>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</si>
  <si>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</si>
  <si>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</si>
  <si>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</si>
  <si>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</si>
  <si>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</si>
  <si>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</si>
  <si>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</si>
  <si>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</si>
  <si>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</si>
  <si>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</si>
  <si>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</si>
  <si>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</si>
  <si>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</si>
  <si>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</si>
  <si>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</si>
  <si>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</si>
  <si>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</si>
  <si>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</si>
  <si>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</si>
  <si>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</si>
  <si>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</si>
  <si>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</si>
  <si>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</si>
  <si>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</si>
  <si>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</si>
  <si>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</si>
  <si>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</si>
  <si>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</si>
  <si>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</si>
  <si>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</si>
  <si>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</si>
  <si>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</si>
  <si>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</si>
  <si>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</si>
  <si>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</si>
  <si>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</si>
  <si>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</si>
  <si>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</si>
  <si>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</si>
  <si>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</si>
  <si>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</si>
  <si>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</si>
  <si>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</si>
  <si>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</si>
  <si>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</si>
  <si>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</si>
  <si>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</si>
  <si>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</si>
  <si>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</si>
  <si>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</si>
  <si>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</si>
  <si>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</si>
  <si>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</si>
  <si>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</si>
  <si>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</si>
  <si>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</si>
  <si>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</si>
  <si>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</si>
  <si>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</si>
  <si>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</si>
  <si>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</si>
  <si>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</si>
  <si>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</si>
  <si>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</si>
  <si>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</si>
  <si>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</si>
  <si>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</si>
  <si>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</si>
  <si>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</si>
  <si>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</si>
  <si>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</si>
  <si>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</si>
  <si>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</si>
  <si>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</si>
  <si>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</si>
  <si>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</si>
  <si>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</si>
  <si>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</si>
  <si>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</si>
  <si>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</si>
  <si>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</si>
  <si>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</si>
  <si>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</si>
  <si>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</si>
  <si>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</si>
  <si>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</si>
  <si>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</si>
  <si>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</si>
  <si>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</si>
  <si>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</si>
  <si>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</si>
  <si>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</si>
  <si>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</si>
  <si>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</si>
  <si>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</si>
  <si>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</si>
  <si>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</si>
  <si>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</si>
  <si>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</si>
  <si>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</si>
  <si>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</si>
  <si>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</si>
  <si>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</si>
  <si>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</si>
  <si>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</si>
  <si>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</si>
  <si>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</si>
  <si>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</si>
  <si>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</si>
  <si>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</si>
  <si>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</si>
  <si>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</si>
  <si>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</si>
  <si>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</si>
  <si>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</si>
  <si>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</si>
  <si>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</si>
  <si>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</si>
  <si>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</si>
  <si>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</si>
  <si>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</si>
  <si>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</si>
  <si>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</si>
  <si>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</si>
  <si>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</si>
  <si>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</si>
  <si>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</si>
  <si>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</si>
  <si>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</si>
  <si>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</si>
  <si>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</si>
  <si>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</si>
  <si>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</si>
  <si>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</si>
  <si>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</si>
  <si>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</si>
  <si>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</si>
  <si>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</si>
  <si>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</si>
  <si>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</si>
  <si>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</si>
  <si>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</si>
  <si>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</si>
  <si>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</si>
  <si>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</si>
  <si>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</si>
  <si>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</si>
  <si>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</si>
  <si>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</si>
  <si>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</si>
  <si>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</si>
  <si>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</si>
  <si>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</si>
  <si>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</si>
  <si>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</si>
  <si>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</si>
  <si>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</si>
  <si>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</si>
  <si>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</si>
  <si>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</si>
  <si>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</si>
  <si>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</si>
  <si>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</si>
  <si>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</si>
  <si>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</si>
  <si>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</si>
  <si>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</si>
  <si>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</si>
  <si>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</si>
  <si>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</si>
  <si>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</si>
  <si>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</si>
  <si>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</si>
  <si>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</si>
  <si>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</si>
  <si>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</si>
  <si>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</si>
  <si>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</si>
  <si>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</si>
  <si>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</si>
  <si>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</si>
  <si>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</si>
  <si>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</si>
  <si>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</si>
  <si>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</si>
  <si>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</si>
  <si>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</si>
  <si>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</si>
  <si>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</si>
  <si>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</si>
  <si>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</si>
  <si>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</si>
  <si>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</si>
  <si>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</si>
  <si>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</si>
  <si>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</si>
  <si>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</si>
  <si>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</si>
  <si>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</si>
  <si>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</si>
  <si>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</si>
  <si>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</si>
  <si>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</si>
  <si>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</si>
  <si>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</si>
  <si>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</si>
  <si>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</si>
  <si>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</si>
  <si>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</si>
  <si>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</si>
  <si>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</si>
  <si>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</si>
  <si>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</si>
  <si>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</si>
  <si>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</si>
  <si>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</si>
  <si>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</si>
  <si>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</si>
  <si>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</si>
  <si>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</si>
  <si>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</si>
  <si>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</si>
  <si>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</si>
  <si>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</si>
  <si>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</si>
  <si>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</si>
  <si>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</si>
  <si>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</si>
  <si>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</si>
  <si>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</si>
  <si>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</si>
  <si>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</si>
  <si>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</si>
  <si>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</si>
  <si>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</si>
  <si>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</si>
  <si>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</si>
  <si>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</si>
  <si>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</si>
  <si>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</si>
  <si>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</si>
  <si>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</si>
  <si>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</si>
  <si>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</si>
  <si>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</si>
  <si>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</si>
  <si>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</si>
  <si>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</si>
  <si>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</si>
  <si>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</si>
  <si>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</si>
  <si>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</si>
  <si>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</si>
  <si>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</si>
  <si>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</si>
  <si>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</si>
  <si>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</si>
  <si>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</si>
  <si>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</si>
  <si>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</si>
  <si>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</si>
  <si>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</si>
  <si>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</si>
  <si>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</si>
  <si>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</si>
  <si>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</si>
  <si>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</si>
  <si>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</si>
  <si>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</si>
  <si>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</si>
  <si>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</si>
  <si>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</si>
  <si>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</si>
  <si>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</si>
  <si>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</si>
  <si>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</si>
  <si>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</si>
  <si>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</si>
  <si>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</si>
  <si>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</si>
  <si>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</si>
  <si>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</si>
  <si>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</si>
  <si>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</si>
  <si>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</si>
  <si>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</si>
  <si>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</si>
  <si>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</si>
  <si>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</si>
  <si>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</si>
  <si>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</si>
  <si>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</si>
  <si>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</si>
  <si>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</si>
  <si>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</si>
  <si>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</si>
  <si>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</si>
  <si>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</si>
  <si>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</si>
  <si>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</si>
  <si>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</si>
  <si>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</si>
  <si>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</si>
  <si>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</si>
  <si>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</si>
  <si>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</si>
  <si>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</si>
  <si>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</si>
  <si>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</si>
  <si>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</si>
  <si>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</si>
  <si>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</si>
  <si>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</si>
  <si>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</si>
  <si>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</si>
  <si>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</si>
  <si>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</si>
  <si>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</si>
  <si>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</si>
  <si>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</si>
  <si>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</si>
  <si>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</si>
  <si>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</si>
  <si>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</si>
  <si>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</si>
  <si>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</si>
  <si>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</si>
  <si>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</si>
  <si>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</si>
  <si>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</si>
  <si>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</si>
  <si>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</si>
  <si>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</si>
  <si>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</si>
  <si>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</si>
  <si>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</si>
  <si>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</si>
  <si>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</si>
  <si>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</si>
  <si>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</si>
  <si>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</si>
  <si>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</si>
  <si>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</si>
  <si>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</si>
  <si>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</si>
  <si>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</si>
  <si>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</si>
  <si>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</si>
  <si>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</si>
  <si>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</si>
  <si>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</si>
  <si>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</si>
  <si>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</si>
  <si>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</si>
  <si>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</si>
  <si>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</si>
  <si>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</si>
  <si>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</si>
  <si>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</si>
  <si>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</si>
  <si>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</si>
  <si>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</si>
  <si>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</si>
  <si>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</si>
  <si>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</si>
  <si>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</si>
  <si>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</si>
  <si>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</si>
  <si>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</si>
  <si>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</si>
  <si>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</si>
  <si>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</si>
  <si>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</si>
  <si>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</si>
  <si>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</si>
  <si>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</si>
  <si>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</si>
  <si>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</si>
  <si>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</si>
  <si>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</si>
  <si>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</si>
  <si>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</si>
  <si>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</si>
  <si>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</si>
  <si>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</si>
  <si>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</si>
  <si>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</si>
  <si>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</si>
  <si>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</si>
  <si>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</si>
  <si>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</si>
  <si>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</si>
  <si>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</si>
  <si>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</si>
  <si>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</si>
  <si>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</si>
  <si>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</si>
  <si>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</si>
  <si>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</si>
  <si>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</si>
  <si>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</si>
  <si>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</si>
  <si>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</si>
  <si>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</si>
  <si>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</si>
  <si>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</si>
  <si>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</si>
  <si>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</si>
  <si>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</si>
  <si>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</si>
  <si>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</si>
  <si>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</si>
  <si>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</si>
  <si>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</si>
  <si>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</si>
  <si>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</si>
  <si>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</si>
  <si>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</si>
  <si>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</si>
  <si>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</si>
  <si>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</si>
  <si>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</si>
  <si>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</si>
  <si>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</si>
  <si>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</si>
  <si>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</si>
  <si>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</si>
  <si>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</si>
  <si>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</si>
  <si>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</si>
  <si>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</si>
  <si>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</si>
  <si>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</si>
  <si>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</si>
  <si>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</si>
  <si>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</si>
  <si>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</si>
  <si>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</si>
  <si>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</si>
  <si>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</si>
  <si>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</si>
  <si>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</si>
  <si>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</si>
  <si>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</si>
  <si>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</si>
  <si>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</si>
  <si>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</si>
  <si>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</si>
  <si>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</si>
  <si>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</si>
  <si>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</si>
  <si>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</si>
  <si>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</si>
  <si>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</si>
  <si>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</si>
  <si>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</si>
  <si>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</si>
  <si>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</si>
  <si>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</si>
  <si>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</si>
  <si>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</si>
  <si>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</si>
  <si>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</si>
  <si>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</si>
  <si>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</si>
  <si>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</si>
  <si>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</si>
  <si>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</si>
  <si>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</si>
  <si>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</si>
  <si>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</si>
  <si>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</si>
  <si>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</si>
  <si>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</si>
  <si>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</si>
  <si>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</si>
  <si>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</si>
  <si>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</si>
  <si>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</si>
  <si>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</si>
  <si>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</si>
  <si>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</si>
  <si>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</si>
  <si>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</si>
  <si>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</si>
  <si>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</si>
  <si>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</si>
  <si>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</si>
  <si>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</si>
  <si>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</si>
  <si>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</si>
  <si>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</si>
  <si>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</si>
  <si>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</si>
  <si>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</si>
  <si>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</si>
  <si>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</si>
  <si>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</si>
  <si>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</si>
  <si>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</si>
  <si>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</si>
  <si>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</si>
  <si>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</si>
  <si>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</si>
  <si>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</si>
  <si>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</si>
  <si>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</si>
  <si>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</si>
  <si>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</si>
  <si>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</si>
  <si>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</si>
  <si>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</si>
  <si>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</si>
  <si>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</si>
  <si>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</si>
  <si>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</si>
  <si>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</si>
  <si>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</si>
  <si>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</si>
  <si>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</si>
  <si>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</si>
  <si>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</si>
  <si>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</si>
  <si>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</si>
  <si>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</si>
  <si>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</si>
  <si>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</si>
  <si>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</si>
  <si>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</si>
  <si>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</si>
  <si>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</si>
  <si>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</si>
  <si>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</si>
  <si>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</si>
  <si>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</si>
  <si>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</si>
  <si>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</si>
  <si>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</si>
  <si>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</si>
  <si>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</si>
  <si>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</si>
  <si>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</si>
  <si>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</si>
  <si>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</si>
  <si>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</si>
  <si>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</si>
  <si>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</si>
  <si>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</si>
  <si>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</si>
  <si>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</si>
  <si>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</si>
  <si>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</si>
  <si>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</si>
  <si>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</si>
  <si>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</si>
  <si>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</si>
  <si>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</si>
  <si>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</si>
  <si>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</si>
  <si>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</si>
  <si>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</si>
  <si>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</si>
  <si>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</si>
  <si>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</si>
  <si>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</si>
  <si>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</si>
  <si>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</si>
  <si>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</si>
  <si>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</si>
  <si>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</si>
  <si>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</si>
  <si>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</si>
  <si>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</si>
  <si>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</si>
  <si>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</si>
  <si>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</si>
  <si>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</si>
  <si>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</si>
  <si>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</si>
  <si>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</si>
  <si>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</si>
  <si>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</si>
  <si>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</si>
  <si>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</si>
  <si>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</si>
  <si>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</si>
  <si>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</si>
  <si>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</si>
  <si>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</si>
  <si>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</si>
  <si>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</si>
  <si>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</si>
  <si>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</si>
  <si>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</si>
  <si>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</si>
  <si>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</si>
  <si>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</si>
  <si>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</si>
  <si>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</si>
  <si>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</si>
  <si>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</si>
  <si>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</si>
  <si>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</si>
  <si>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</si>
  <si>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</si>
  <si>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</si>
  <si>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</si>
  <si>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</si>
  <si>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</si>
  <si>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</si>
  <si>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</si>
  <si>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</si>
  <si>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</si>
  <si>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</si>
  <si>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</si>
  <si>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</si>
  <si>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</si>
  <si>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</si>
  <si>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</si>
  <si>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</si>
  <si>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</si>
  <si>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</si>
  <si>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</si>
  <si>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</si>
  <si>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</si>
  <si>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</si>
  <si>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</si>
  <si>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</si>
  <si>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</si>
  <si>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</si>
  <si>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</si>
  <si>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</si>
  <si>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</si>
  <si>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</si>
  <si>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</si>
  <si>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</si>
  <si>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</si>
  <si>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</si>
  <si>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</si>
  <si>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</si>
  <si>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</si>
  <si>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</si>
  <si>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</si>
  <si>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</si>
  <si>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</si>
  <si>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</si>
  <si>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</si>
  <si>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</si>
  <si>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</si>
  <si>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</si>
  <si>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</si>
  <si>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</si>
  <si>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</si>
  <si>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</si>
  <si>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</si>
  <si>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</si>
  <si>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</si>
  <si>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</si>
  <si>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</si>
  <si>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</si>
  <si>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</si>
  <si>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</si>
  <si>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</si>
  <si>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</si>
  <si>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</si>
  <si>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</si>
  <si>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</si>
  <si>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</si>
  <si>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</si>
  <si>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</si>
  <si>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</si>
  <si>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</si>
  <si>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</si>
  <si>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</si>
  <si>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</si>
  <si>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</si>
  <si>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</si>
  <si>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</si>
  <si>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</si>
  <si>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</si>
  <si>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</si>
  <si>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</si>
  <si>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</si>
  <si>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</si>
  <si>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</si>
  <si>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</si>
  <si>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</si>
  <si>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</si>
  <si>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</si>
  <si>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</si>
  <si>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</si>
  <si>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</si>
  <si>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</si>
  <si>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</si>
  <si>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</si>
  <si>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</si>
  <si>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</si>
  <si>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</si>
  <si>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</si>
  <si>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</si>
  <si>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</si>
  <si>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</si>
  <si>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</si>
  <si>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</si>
  <si>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</si>
  <si>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</si>
  <si>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</si>
  <si>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</si>
  <si>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</si>
  <si>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</si>
  <si>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</si>
  <si>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</si>
  <si>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</si>
  <si>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</si>
  <si>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</si>
  <si>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</si>
  <si>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</si>
  <si>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</si>
  <si>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</si>
  <si>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</si>
  <si>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</si>
  <si>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</si>
  <si>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</si>
  <si>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</si>
  <si>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</si>
  <si>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</si>
  <si>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</si>
  <si>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</si>
  <si>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</si>
  <si>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</si>
  <si>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</si>
  <si>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</si>
  <si>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</si>
  <si>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</si>
  <si>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</si>
  <si>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</si>
  <si>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</si>
  <si>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</si>
  <si>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</si>
  <si>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</si>
  <si>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</si>
  <si>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</si>
  <si>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</si>
  <si>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</si>
  <si>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</si>
  <si>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</si>
  <si>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</si>
  <si>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</si>
  <si>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</si>
  <si>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</si>
  <si>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</si>
  <si>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</si>
  <si>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</si>
  <si>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</si>
  <si>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</si>
  <si>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</si>
  <si>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</si>
  <si>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</si>
  <si>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</si>
  <si>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</si>
  <si>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</si>
  <si>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</si>
  <si>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</si>
  <si>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</si>
  <si>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</si>
  <si>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</si>
  <si>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</si>
  <si>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</si>
  <si>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</si>
  <si>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</si>
  <si>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</si>
  <si>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</si>
  <si>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</si>
  <si>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</si>
  <si>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</si>
  <si>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</si>
  <si>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</si>
  <si>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</si>
  <si>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</si>
  <si>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</si>
  <si>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</si>
  <si>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</si>
  <si>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</si>
  <si>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</si>
  <si>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</si>
  <si>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</si>
  <si>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</si>
  <si>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</si>
  <si>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</si>
  <si>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</si>
  <si>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</si>
  <si>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</si>
  <si>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</si>
  <si>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</si>
  <si>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</si>
  <si>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</si>
  <si>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</si>
  <si>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</si>
  <si>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</si>
  <si>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</si>
  <si>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</si>
  <si>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</si>
  <si>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</si>
  <si>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</si>
  <si>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</si>
  <si>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</si>
  <si>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</si>
  <si>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</si>
  <si>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</si>
  <si>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</si>
  <si>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</si>
  <si>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</si>
  <si>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</si>
  <si>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</si>
  <si>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</si>
  <si>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</si>
  <si>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</si>
  <si>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</si>
  <si>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</si>
  <si>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</si>
  <si>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</si>
  <si>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</si>
  <si>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</si>
  <si>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</si>
  <si>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</si>
  <si>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</si>
  <si>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</si>
  <si>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</si>
  <si>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</si>
  <si>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</si>
  <si>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</si>
  <si>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</si>
  <si>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</si>
  <si>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</si>
  <si>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</si>
  <si>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</si>
  <si>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</si>
  <si>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</si>
  <si>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</si>
  <si>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</si>
  <si>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</si>
  <si>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</si>
  <si>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</si>
  <si>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</si>
  <si>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</si>
  <si>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</si>
  <si>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</si>
  <si>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</si>
  <si>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</si>
  <si>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</si>
  <si>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</si>
  <si>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</si>
  <si>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</si>
  <si>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</si>
  <si>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</si>
  <si>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</si>
  <si>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</si>
  <si>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</si>
  <si>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</si>
  <si>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</si>
  <si>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</si>
  <si>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</si>
  <si>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</si>
  <si>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</si>
  <si>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</si>
  <si>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</si>
  <si>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</si>
  <si>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</si>
  <si>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</si>
  <si>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</si>
  <si>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</si>
  <si>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</si>
  <si>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</si>
  <si>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</si>
  <si>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</si>
  <si>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</si>
  <si>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</si>
  <si>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</si>
  <si>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</si>
  <si>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</si>
  <si>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</si>
  <si>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</si>
  <si>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</si>
  <si>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</si>
  <si>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</si>
  <si>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</si>
  <si>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</si>
  <si>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</si>
  <si>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</si>
  <si>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</si>
  <si>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</si>
  <si>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</si>
  <si>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</si>
  <si>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</si>
  <si>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</si>
  <si>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</si>
  <si>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</si>
  <si>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</si>
  <si>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</si>
  <si>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</si>
  <si>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</si>
  <si>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</si>
  <si>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</si>
  <si>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</si>
  <si>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</si>
  <si>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</si>
  <si>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</si>
  <si>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</si>
  <si>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</si>
  <si>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</si>
  <si>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</si>
  <si>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</si>
  <si>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</si>
  <si>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</si>
  <si>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</si>
  <si>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</si>
  <si>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</si>
  <si>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</si>
  <si>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</si>
  <si>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</si>
  <si>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</si>
  <si>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</si>
  <si>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</si>
  <si>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</si>
  <si>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</si>
  <si>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</si>
  <si>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</si>
  <si>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</si>
  <si>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</si>
  <si>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</si>
  <si>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</si>
  <si>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</si>
  <si>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</si>
  <si>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</si>
  <si>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</si>
  <si>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</si>
  <si>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</si>
  <si>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</si>
  <si>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</si>
  <si>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</si>
  <si>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</si>
  <si>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</si>
  <si>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</si>
  <si>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</si>
  <si>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</si>
  <si>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</si>
  <si>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</si>
  <si>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</si>
  <si>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</si>
  <si>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</si>
  <si>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</si>
  <si>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</si>
  <si>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</si>
  <si>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</si>
  <si>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</si>
  <si>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</si>
  <si>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</si>
  <si>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</si>
  <si>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</si>
  <si>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</si>
  <si>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</si>
  <si>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</si>
  <si>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</si>
  <si>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</si>
  <si>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</si>
  <si>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</si>
  <si>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</si>
  <si>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</si>
  <si>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</si>
  <si>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</si>
  <si>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</si>
  <si>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</si>
  <si>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</si>
  <si>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</si>
  <si>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</si>
  <si>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</si>
  <si>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</si>
  <si>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</si>
  <si>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</si>
  <si>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</si>
  <si>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</si>
  <si>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</si>
  <si>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</si>
  <si>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</si>
  <si>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</si>
  <si>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</si>
  <si>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</si>
  <si>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</si>
  <si>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</si>
  <si>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</si>
  <si>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</si>
  <si>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</si>
  <si>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</si>
  <si>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</si>
  <si>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</si>
  <si>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</si>
  <si>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</si>
  <si>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</si>
  <si>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</si>
  <si>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</si>
  <si>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</si>
  <si>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</si>
  <si>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</si>
  <si>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</si>
  <si>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</si>
  <si>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</si>
  <si>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</si>
  <si>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</si>
  <si>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</si>
  <si>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</si>
  <si>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</si>
  <si>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</si>
  <si>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</si>
  <si>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</si>
  <si>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</si>
  <si>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</si>
  <si>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</si>
  <si>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</si>
  <si>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</si>
  <si>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</si>
  <si>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</si>
  <si>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</si>
  <si>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</si>
  <si>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</si>
  <si>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</si>
  <si>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</si>
  <si>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</si>
  <si>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</si>
  <si>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</si>
  <si>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</si>
  <si>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</si>
  <si>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</si>
  <si>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</si>
  <si>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</si>
  <si>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</si>
  <si>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</si>
  <si>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</si>
  <si>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</si>
  <si>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</si>
  <si>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</si>
  <si>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</si>
  <si>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</si>
  <si>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</si>
  <si>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</si>
  <si>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</si>
  <si>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</si>
  <si>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</si>
  <si>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</si>
  <si>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</si>
  <si>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</si>
  <si>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</si>
  <si>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</si>
  <si>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</si>
  <si>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</si>
  <si>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</si>
  <si>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</si>
  <si>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</si>
  <si>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</si>
  <si>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</si>
  <si>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</si>
  <si>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</si>
  <si>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</si>
  <si>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</si>
  <si>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</si>
  <si>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</si>
  <si>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</si>
  <si>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</si>
  <si>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</si>
  <si>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</si>
  <si>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</si>
  <si>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</si>
  <si>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</si>
  <si>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</si>
  <si>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</si>
  <si>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</si>
  <si>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</si>
  <si>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</si>
  <si>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</si>
  <si>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</si>
  <si>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</si>
  <si>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</si>
  <si>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</si>
  <si>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</si>
  <si>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</si>
  <si>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</si>
  <si>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</si>
  <si>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</si>
  <si>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</si>
  <si>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</si>
  <si>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</si>
  <si>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</si>
  <si>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</si>
  <si>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</si>
  <si>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</si>
  <si>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</si>
  <si>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</si>
  <si>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</si>
  <si>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</si>
  <si>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</si>
  <si>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</si>
  <si>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</si>
  <si>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</si>
  <si>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</si>
  <si>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</si>
  <si>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</si>
  <si>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</si>
  <si>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</si>
  <si>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</si>
  <si>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</si>
  <si>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</si>
  <si>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</si>
  <si>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</si>
  <si>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</si>
  <si>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</si>
  <si>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</si>
  <si>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</si>
  <si>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</si>
  <si>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</si>
  <si>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</si>
  <si>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</si>
  <si>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</si>
  <si>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</si>
  <si>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</si>
  <si>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</si>
  <si>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</si>
  <si>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</si>
  <si>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</si>
  <si>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</si>
  <si>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</si>
  <si>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</si>
  <si>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</si>
  <si>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</si>
  <si>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</si>
  <si>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</si>
  <si>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</si>
  <si>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</si>
  <si>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</si>
  <si>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</si>
  <si>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</si>
  <si>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</si>
  <si>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</si>
  <si>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</si>
  <si>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</si>
  <si>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</si>
  <si>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</si>
  <si>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</si>
  <si>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</si>
  <si>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</si>
  <si>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</si>
  <si>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</si>
  <si>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</si>
  <si>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</si>
  <si>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</si>
  <si>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</si>
  <si>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</si>
  <si>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</si>
  <si>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</si>
  <si>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</si>
  <si>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</si>
  <si>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</si>
  <si>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</si>
  <si>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</si>
  <si>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</si>
  <si>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</si>
  <si>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</si>
  <si>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</si>
  <si>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</si>
  <si>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</si>
  <si>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</si>
  <si>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</si>
  <si>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</si>
  <si>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</si>
  <si>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</si>
  <si>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</si>
  <si>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</si>
  <si>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</si>
  <si>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</si>
  <si>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</si>
  <si>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</si>
  <si>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</si>
  <si>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</si>
  <si>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</si>
  <si>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</si>
  <si>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</si>
  <si>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</si>
  <si>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</si>
  <si>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</si>
  <si>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</si>
  <si>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</si>
  <si>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</si>
  <si>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</si>
  <si>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</si>
  <si>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</si>
  <si>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</si>
  <si>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</si>
  <si>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</si>
  <si>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</si>
  <si>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</si>
  <si>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</si>
  <si>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</si>
  <si>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</si>
  <si>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</si>
  <si>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</si>
  <si>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</si>
  <si>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</si>
  <si>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</si>
  <si>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</si>
  <si>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</si>
  <si>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</si>
  <si>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</si>
  <si>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</si>
  <si>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</si>
  <si>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</si>
  <si>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</si>
  <si>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</si>
  <si>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</si>
  <si>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</si>
  <si>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</si>
  <si>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</si>
  <si>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</si>
  <si>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</si>
  <si>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</si>
  <si>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</si>
  <si>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</si>
  <si>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</si>
  <si>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</si>
  <si>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</si>
  <si>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</si>
  <si>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</si>
  <si>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</si>
  <si>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</si>
  <si>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</si>
  <si>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</si>
  <si>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</si>
  <si>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</si>
  <si>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</si>
  <si>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</si>
  <si>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</si>
  <si>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</si>
  <si>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</si>
  <si>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</si>
  <si>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</si>
  <si>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</si>
  <si>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</si>
  <si>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</si>
  <si>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</si>
  <si>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</si>
  <si>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</si>
  <si>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</si>
  <si>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</si>
  <si>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</si>
  <si>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</si>
  <si>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</si>
  <si>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</si>
  <si>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</si>
  <si>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</si>
  <si>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</si>
  <si>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</si>
  <si>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</si>
  <si>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</si>
  <si>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</si>
  <si>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</si>
  <si>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</si>
  <si>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</si>
  <si>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</si>
  <si>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</si>
  <si>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</si>
  <si>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</si>
  <si>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</si>
  <si>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</si>
  <si>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</si>
  <si>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</si>
  <si>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</si>
  <si>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</si>
  <si>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</si>
  <si>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</si>
  <si>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</si>
  <si>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</si>
  <si>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</si>
  <si>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</si>
  <si>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</si>
  <si>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</si>
  <si>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</si>
  <si>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</si>
  <si>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</si>
  <si>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</si>
  <si>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</si>
  <si>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</si>
  <si>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</si>
  <si>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</si>
  <si>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</si>
  <si>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</si>
  <si>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</si>
  <si>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</si>
  <si>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</si>
  <si>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</si>
  <si>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</si>
  <si>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</si>
  <si>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</si>
  <si>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</si>
  <si>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</si>
  <si>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</si>
  <si>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</si>
  <si>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</si>
  <si>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</si>
  <si>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</si>
  <si>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</si>
  <si>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</si>
  <si>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</si>
  <si>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</si>
  <si>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</si>
  <si>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</si>
  <si>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</si>
  <si>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</si>
  <si>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</si>
  <si>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</si>
  <si>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</si>
  <si>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</si>
  <si>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</si>
  <si>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</si>
  <si>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</si>
  <si>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</si>
  <si>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</si>
  <si>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</si>
  <si>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</si>
  <si>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</si>
  <si>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</si>
  <si>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</si>
  <si>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</si>
  <si>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</si>
  <si>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</si>
  <si>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</si>
  <si>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</si>
  <si>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</si>
  <si>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</si>
  <si>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</si>
  <si>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</si>
  <si>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</si>
  <si>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</si>
  <si>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</si>
  <si>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</si>
  <si>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</si>
  <si>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</si>
  <si>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</si>
  <si>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</si>
  <si>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</si>
  <si>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</si>
  <si>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</si>
  <si>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</si>
  <si>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</si>
  <si>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</si>
  <si>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</si>
  <si>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</si>
  <si>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</si>
  <si>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</si>
  <si>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</si>
  <si>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</si>
  <si>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</si>
  <si>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</si>
  <si>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</si>
  <si>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</si>
  <si>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</si>
  <si>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</si>
  <si>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</si>
  <si>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</si>
  <si>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</si>
  <si>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</si>
  <si>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</si>
  <si>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</si>
  <si>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</si>
  <si>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</si>
  <si>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</si>
  <si>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</si>
  <si>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</si>
  <si>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</si>
  <si>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</si>
  <si>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</si>
  <si>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</si>
  <si>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</si>
  <si>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</si>
  <si>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</si>
  <si>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</si>
  <si>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</si>
  <si>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</si>
  <si>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</si>
  <si>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</si>
  <si>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</si>
  <si>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</si>
  <si>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</si>
  <si>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</si>
  <si>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</si>
  <si>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</si>
  <si>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</si>
  <si>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</si>
  <si>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</si>
  <si>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</si>
  <si>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</si>
  <si>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</si>
  <si>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</si>
  <si>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</si>
  <si>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</si>
  <si>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</si>
  <si>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</si>
  <si>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</si>
  <si>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</si>
  <si>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</si>
  <si>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</si>
  <si>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</si>
  <si>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</si>
  <si>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</si>
  <si>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</si>
  <si>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</si>
  <si>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</si>
  <si>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</si>
  <si>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</si>
  <si>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</si>
  <si>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</si>
  <si>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</si>
  <si>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</si>
  <si>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</si>
  <si>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</si>
  <si>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</si>
  <si>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</si>
  <si>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</si>
  <si>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</si>
  <si>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</si>
  <si>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</si>
  <si>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</si>
  <si>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</si>
  <si>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</si>
  <si>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</si>
  <si>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</si>
  <si>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</si>
  <si>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</si>
  <si>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</si>
  <si>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</si>
  <si>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</si>
  <si>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</si>
  <si>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</si>
  <si>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</si>
  <si>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</si>
  <si>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</si>
  <si>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</si>
  <si>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</si>
  <si>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</si>
  <si>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</si>
  <si>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</si>
  <si>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</si>
  <si>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</si>
  <si>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</si>
  <si>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</si>
  <si>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</si>
  <si>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</si>
  <si>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</si>
  <si>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</si>
  <si>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</si>
  <si>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</si>
  <si>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</si>
  <si>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</si>
  <si>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</si>
  <si>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</si>
  <si>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</si>
  <si>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</si>
  <si>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</si>
  <si>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</si>
  <si>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</si>
  <si>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</si>
  <si>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</si>
  <si>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</si>
  <si>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</si>
  <si>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</si>
  <si>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</si>
  <si>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</si>
  <si>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</si>
  <si>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</si>
  <si>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</si>
  <si>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</si>
  <si>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</si>
  <si>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</si>
  <si>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</si>
  <si>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</si>
  <si>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</si>
  <si>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</si>
  <si>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</si>
  <si>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</si>
  <si>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</si>
  <si>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</si>
  <si>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</si>
  <si>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</si>
  <si>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</si>
  <si>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</si>
  <si>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</si>
  <si>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</si>
  <si>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</si>
  <si>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</si>
  <si>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</si>
  <si>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</si>
  <si>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</si>
  <si>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</si>
  <si>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</si>
  <si>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</si>
  <si>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</si>
  <si>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</si>
  <si>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</si>
  <si>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</si>
  <si>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</si>
  <si>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</si>
  <si>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</si>
  <si>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</si>
  <si>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</si>
  <si>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</si>
  <si>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</si>
  <si>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</si>
  <si>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</si>
  <si>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</si>
  <si>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</si>
  <si>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</si>
  <si>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</si>
  <si>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</si>
  <si>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</si>
  <si>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</si>
  <si>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</si>
  <si>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</si>
  <si>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</si>
  <si>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</si>
  <si>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</si>
  <si>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</si>
  <si>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</si>
  <si>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</si>
  <si>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</si>
  <si>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</si>
  <si>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</si>
  <si>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</si>
  <si>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</si>
  <si>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</si>
  <si>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</si>
  <si>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</si>
  <si>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</si>
  <si>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</si>
  <si>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</si>
  <si>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</si>
  <si>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</si>
  <si>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</si>
  <si>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</si>
  <si>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</si>
  <si>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</si>
  <si>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</si>
  <si>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</si>
  <si>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</si>
  <si>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</si>
  <si>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</si>
  <si>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</si>
  <si>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</si>
  <si>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</si>
  <si>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</si>
  <si>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</si>
  <si>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</si>
  <si>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</si>
  <si>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</si>
  <si>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</si>
  <si>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</si>
  <si>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</si>
  <si>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</si>
  <si>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</si>
  <si>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</si>
  <si>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</si>
  <si>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</si>
  <si>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</si>
  <si>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</si>
  <si>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</si>
  <si>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</si>
  <si>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</si>
  <si>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</si>
  <si>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</si>
  <si>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</si>
  <si>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</si>
  <si>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</si>
  <si>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</si>
  <si>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</si>
  <si>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</si>
  <si>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</si>
  <si>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</si>
  <si>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</si>
  <si>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</si>
  <si>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</si>
  <si>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</si>
  <si>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</si>
  <si>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</si>
  <si>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</si>
  <si>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</si>
  <si>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</si>
  <si>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</si>
  <si>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</si>
  <si>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</si>
  <si>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</si>
  <si>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</si>
  <si>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</si>
  <si>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</si>
  <si>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</si>
  <si>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</si>
  <si>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</si>
  <si>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</si>
  <si>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</si>
  <si>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</si>
  <si>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</si>
  <si>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</si>
  <si>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</si>
  <si>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</si>
  <si>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</si>
  <si>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</si>
  <si>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</si>
  <si>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</si>
  <si>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</si>
  <si>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</si>
  <si>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</si>
  <si>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</si>
  <si>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</si>
  <si>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</si>
  <si>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</si>
  <si>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</si>
  <si>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</si>
  <si>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</si>
  <si>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</si>
  <si>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</si>
  <si>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</si>
  <si>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</si>
  <si>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</si>
  <si>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</si>
  <si>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</si>
  <si>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</si>
  <si>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</si>
  <si>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</si>
  <si>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</si>
  <si>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</si>
  <si>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</si>
  <si>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</si>
  <si>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</si>
  <si>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</si>
  <si>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</si>
  <si>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</si>
  <si>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</si>
  <si>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</si>
  <si>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</si>
  <si>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</si>
  <si>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</si>
  <si>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</si>
  <si>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</si>
  <si>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</si>
  <si>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</si>
  <si>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</si>
  <si>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</si>
  <si>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</si>
  <si>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</si>
  <si>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</si>
  <si>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</si>
  <si>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</si>
  <si>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</si>
  <si>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</si>
  <si>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</si>
  <si>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</si>
  <si>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</si>
  <si>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</si>
  <si>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</si>
  <si>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</si>
  <si>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</si>
  <si>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</si>
  <si>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</si>
  <si>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</si>
  <si>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</si>
  <si>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</si>
  <si>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</si>
  <si>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</si>
  <si>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</si>
  <si>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</si>
  <si>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</si>
  <si>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</si>
  <si>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</si>
  <si>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</si>
  <si>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</si>
  <si>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</si>
  <si>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</si>
  <si>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</si>
  <si>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</si>
  <si>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</si>
  <si>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</si>
  <si>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</si>
  <si>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</si>
  <si>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</si>
  <si>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</si>
  <si>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</si>
  <si>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</si>
  <si>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</si>
  <si>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</si>
  <si>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</si>
  <si>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</si>
  <si>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</si>
  <si>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</si>
  <si>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</si>
  <si>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</si>
  <si>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</si>
  <si>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</si>
  <si>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</si>
  <si>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</si>
  <si>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</si>
  <si>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</si>
  <si>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</si>
  <si>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</si>
  <si>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</si>
  <si>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</si>
  <si>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</si>
  <si>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</si>
  <si>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</si>
  <si>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</si>
  <si>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</si>
  <si>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</si>
  <si>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</si>
  <si>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</si>
  <si>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</si>
  <si>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</si>
  <si>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</si>
  <si>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</si>
  <si>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</si>
  <si>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</si>
  <si>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</si>
  <si>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</si>
  <si>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</si>
  <si>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</si>
  <si>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</si>
  <si>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</si>
  <si>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</si>
  <si>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</si>
  <si>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</si>
  <si>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</si>
  <si>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</si>
  <si>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</si>
  <si>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</si>
  <si>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</si>
  <si>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</si>
  <si>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</si>
  <si>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</si>
  <si>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</si>
  <si>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</si>
  <si>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</si>
  <si>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</si>
  <si>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</si>
  <si>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</si>
  <si>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</si>
  <si>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</si>
  <si>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</si>
  <si>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</si>
  <si>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</si>
  <si>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</si>
  <si>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</si>
  <si>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</si>
  <si>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</si>
  <si>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</si>
  <si>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</si>
  <si>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</si>
  <si>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</si>
  <si>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</si>
  <si>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</si>
  <si>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</si>
  <si>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</si>
  <si>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</si>
  <si>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</si>
  <si>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</si>
  <si>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</si>
  <si>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</si>
  <si>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</si>
  <si>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</si>
  <si>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</si>
  <si>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</si>
  <si>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</si>
  <si>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</si>
  <si>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</si>
  <si>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</si>
  <si>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</si>
  <si>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</si>
  <si>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</si>
  <si>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</si>
  <si>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</si>
  <si>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</si>
  <si>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</si>
  <si>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</si>
  <si>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</si>
  <si>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</si>
  <si>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</si>
  <si>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</si>
  <si>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</si>
  <si>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</si>
  <si>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</si>
  <si>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</si>
  <si>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</si>
  <si>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</si>
  <si>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</si>
  <si>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</si>
  <si>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</si>
  <si>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</si>
  <si>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</si>
  <si>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</si>
  <si>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</si>
  <si>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</si>
  <si>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</si>
  <si>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</si>
  <si>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</si>
  <si>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</si>
  <si>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</si>
  <si>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</si>
  <si>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</si>
  <si>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</si>
  <si>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</si>
  <si>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</si>
  <si>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</si>
  <si>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</si>
  <si>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</si>
  <si>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</si>
  <si>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</si>
  <si>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</si>
  <si>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</si>
  <si>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</si>
  <si>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</si>
  <si>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</si>
  <si>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</si>
  <si>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</si>
  <si>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</si>
  <si>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</si>
  <si>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</si>
  <si>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</si>
  <si>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</si>
  <si>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</si>
  <si>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</si>
  <si>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</si>
  <si>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</si>
  <si>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</si>
  <si>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</si>
  <si>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</si>
  <si>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</si>
  <si>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</si>
  <si>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</si>
  <si>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</si>
  <si>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</si>
  <si>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</si>
  <si>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</si>
  <si>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</si>
  <si>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</si>
  <si>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</si>
  <si>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</si>
  <si>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</si>
  <si>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</si>
  <si>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</si>
  <si>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</si>
  <si>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</si>
  <si>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</si>
  <si>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</si>
  <si>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</si>
  <si>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</si>
  <si>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</si>
  <si>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</si>
  <si>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</si>
  <si>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</si>
  <si>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</si>
  <si>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</si>
  <si>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</si>
  <si>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</si>
  <si>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</si>
  <si>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</si>
  <si>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</si>
  <si>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</si>
  <si>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</si>
  <si>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</si>
  <si>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</si>
  <si>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</si>
  <si>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</si>
  <si>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</si>
  <si>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</si>
  <si>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</si>
  <si>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</si>
  <si>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</si>
  <si>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</si>
  <si>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</si>
  <si>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</si>
  <si>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</si>
  <si>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</si>
  <si>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</si>
  <si>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</si>
  <si>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</si>
  <si>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</si>
  <si>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</si>
  <si>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</si>
  <si>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</si>
  <si>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</si>
  <si>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</si>
  <si>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</si>
  <si>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</si>
  <si>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</si>
  <si>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</si>
  <si>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</si>
  <si>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</si>
  <si>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</si>
  <si>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</si>
  <si>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</si>
  <si>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</si>
  <si>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</si>
  <si>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</si>
  <si>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</si>
  <si>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</si>
  <si>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</si>
  <si>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</si>
  <si>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</si>
  <si>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</si>
  <si>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</si>
  <si>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</si>
  <si>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</si>
  <si>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</si>
  <si>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</si>
  <si>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</si>
  <si>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</si>
  <si>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</si>
  <si>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</si>
  <si>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</si>
  <si>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</si>
  <si>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</si>
  <si>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</si>
  <si>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</si>
  <si>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</si>
  <si>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</si>
  <si>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</si>
  <si>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</si>
  <si>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</si>
  <si>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</si>
  <si>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</si>
  <si>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</si>
  <si>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</si>
  <si>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</si>
  <si>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</si>
  <si>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</si>
  <si>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</si>
  <si>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</si>
  <si>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</si>
  <si>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</si>
  <si>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</si>
  <si>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</si>
  <si>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</si>
  <si>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</si>
  <si>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</si>
  <si>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</si>
  <si>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</si>
  <si>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</si>
  <si>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</si>
  <si>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</si>
  <si>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</si>
  <si>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</si>
  <si>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</si>
  <si>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</si>
  <si>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</si>
  <si>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</si>
  <si>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</si>
  <si>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</si>
  <si>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</si>
  <si>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</si>
  <si>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</si>
  <si>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</si>
  <si>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</si>
  <si>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</si>
  <si>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</si>
  <si>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</si>
  <si>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</si>
  <si>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</si>
  <si>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</si>
  <si>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</si>
  <si>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</si>
  <si>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</si>
  <si>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</si>
  <si>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</si>
  <si>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</si>
  <si>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</si>
  <si>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</si>
  <si>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</si>
  <si>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</si>
  <si>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</si>
  <si>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</si>
  <si>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</si>
  <si>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</si>
  <si>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</si>
  <si>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</si>
  <si>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</si>
  <si>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</si>
  <si>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</si>
  <si>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</si>
  <si>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</si>
  <si>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</si>
  <si>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</si>
  <si>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</si>
  <si>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</si>
  <si>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</si>
  <si>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</si>
  <si>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</si>
  <si>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</si>
  <si>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</si>
  <si>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</si>
  <si>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</si>
  <si>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</si>
  <si>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</si>
  <si>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</si>
  <si>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</si>
  <si>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</si>
  <si>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</si>
  <si>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</si>
  <si>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</si>
  <si>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</si>
  <si>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</si>
  <si>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</si>
  <si>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</si>
  <si>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</si>
  <si>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</si>
  <si>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</si>
  <si>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</si>
  <si>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</si>
  <si>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</si>
  <si>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</si>
  <si>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</si>
  <si>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</si>
  <si>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</si>
  <si>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</si>
  <si>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</si>
  <si>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</si>
  <si>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</si>
  <si>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</si>
  <si>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</si>
  <si>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</si>
  <si>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</si>
  <si>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</si>
  <si>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</si>
  <si>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</si>
  <si>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</si>
  <si>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</si>
  <si>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</si>
  <si>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</si>
  <si>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</si>
  <si>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</si>
  <si>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</si>
  <si>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</si>
  <si>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</si>
  <si>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</si>
  <si>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</si>
  <si>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</si>
  <si>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</si>
  <si>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</si>
  <si>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</si>
  <si>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</si>
  <si>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</si>
  <si>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</si>
  <si>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</si>
  <si>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</si>
  <si>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</si>
  <si>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</si>
  <si>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</si>
  <si>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</si>
  <si>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</si>
  <si>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</si>
  <si>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</si>
  <si>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</si>
  <si>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</si>
  <si>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</si>
  <si>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</si>
  <si>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</si>
  <si>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</si>
  <si>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</si>
  <si>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</si>
  <si>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</si>
  <si>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</si>
  <si>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</si>
  <si>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</si>
  <si>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</si>
  <si>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</si>
  <si>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</si>
  <si>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</si>
  <si>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</si>
  <si>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</si>
  <si>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</si>
  <si>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</si>
  <si>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</si>
  <si>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</si>
  <si>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</si>
  <si>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</si>
  <si>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</si>
  <si>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</si>
  <si>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</si>
  <si>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</si>
  <si>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</si>
  <si>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</si>
  <si>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</si>
  <si>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</si>
  <si>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</si>
  <si>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</si>
  <si>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</si>
  <si>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</si>
  <si>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</si>
  <si>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</si>
  <si>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</si>
  <si>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</si>
  <si>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</si>
  <si>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</si>
  <si>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</si>
  <si>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</si>
  <si>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</si>
  <si>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</si>
  <si>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</si>
  <si>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</si>
  <si>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</si>
  <si>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</si>
  <si>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</si>
  <si>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</si>
  <si>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</si>
  <si>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</si>
  <si>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</si>
  <si>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</si>
  <si>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</si>
  <si>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</si>
  <si>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</si>
  <si>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</si>
  <si>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</si>
  <si>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</si>
  <si>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</si>
  <si>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</si>
  <si>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</si>
  <si>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</si>
  <si>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</si>
  <si>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</si>
  <si>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</si>
  <si>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</si>
  <si>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</si>
  <si>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</si>
  <si>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</si>
  <si>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</si>
  <si>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</si>
  <si>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</si>
  <si>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</si>
  <si>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</si>
  <si>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</si>
  <si>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</si>
  <si>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</si>
  <si>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</si>
  <si>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</si>
  <si>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</si>
  <si>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</si>
  <si>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</si>
  <si>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</si>
  <si>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</si>
  <si>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</si>
  <si>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</si>
  <si>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</si>
  <si>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</si>
  <si>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</si>
  <si>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</si>
  <si>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</si>
  <si>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</si>
  <si>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</si>
  <si>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</si>
  <si>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</si>
  <si>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</si>
  <si>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</si>
  <si>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</si>
  <si>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</si>
  <si>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</si>
  <si>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</si>
  <si>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</si>
  <si>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</si>
  <si>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</si>
  <si>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</si>
  <si>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</si>
  <si>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</si>
  <si>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</si>
  <si>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</si>
  <si>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</si>
  <si>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</si>
  <si>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</si>
  <si>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</si>
  <si>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</si>
  <si>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</si>
  <si>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</si>
  <si>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</si>
  <si>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</si>
  <si>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</si>
  <si>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</si>
  <si>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</si>
  <si>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</si>
  <si>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</si>
  <si>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</si>
  <si>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</si>
  <si>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</si>
  <si>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</si>
  <si>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</si>
  <si>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</si>
  <si>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</si>
  <si>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</si>
  <si>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</si>
  <si>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</si>
  <si>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</si>
  <si>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</si>
  <si>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</si>
  <si>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</si>
  <si>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</si>
  <si>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</si>
  <si>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</si>
  <si>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</si>
  <si>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</si>
  <si>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</si>
  <si>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</si>
  <si>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</si>
  <si>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</si>
  <si>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</si>
  <si>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</si>
  <si>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</si>
  <si>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</si>
  <si>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</si>
  <si>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</si>
  <si>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</si>
  <si>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</si>
  <si>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</si>
  <si>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</si>
  <si>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</si>
  <si>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</si>
  <si>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</si>
  <si>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</si>
  <si>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</si>
  <si>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</si>
  <si>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</si>
  <si>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</si>
  <si>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</si>
  <si>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</si>
  <si>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</si>
  <si>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</si>
  <si>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</si>
  <si>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</si>
  <si>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</si>
  <si>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</si>
  <si>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</si>
  <si>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</si>
  <si>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</si>
  <si>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</si>
  <si>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</si>
  <si>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</si>
  <si>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</si>
  <si>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</si>
  <si>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</si>
  <si>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</si>
  <si>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</si>
  <si>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</si>
  <si>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</si>
  <si>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</si>
  <si>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</si>
  <si>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</si>
  <si>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</si>
  <si>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</si>
  <si>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</si>
  <si>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</si>
  <si>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</si>
  <si>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</si>
  <si>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</si>
  <si>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</si>
  <si>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</si>
  <si>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</si>
  <si>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</si>
  <si>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</si>
  <si>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</si>
  <si>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</si>
  <si>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</si>
  <si>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</si>
  <si>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</si>
  <si>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</si>
  <si>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</si>
  <si>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</si>
  <si>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</si>
  <si>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</si>
  <si>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</si>
  <si>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</si>
  <si>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</si>
  <si>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</si>
  <si>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</si>
  <si>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</si>
  <si>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</si>
  <si>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</si>
  <si>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</si>
  <si>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</si>
  <si>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</si>
  <si>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</si>
  <si>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</si>
  <si>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</si>
  <si>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</si>
  <si>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</si>
  <si>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</si>
  <si>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</si>
  <si>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</si>
  <si>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</si>
  <si>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</si>
  <si>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</si>
  <si>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</si>
  <si>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</si>
  <si>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</si>
  <si>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</si>
  <si>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</si>
  <si>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</si>
  <si>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</si>
  <si>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</si>
  <si>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</si>
  <si>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</si>
  <si>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</si>
  <si>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</si>
  <si>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</si>
  <si>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</si>
  <si>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</si>
  <si>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</si>
  <si>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</si>
  <si>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</si>
  <si>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</si>
  <si>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</si>
  <si>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</si>
  <si>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</si>
  <si>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</si>
  <si>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</si>
  <si>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</si>
  <si>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</si>
  <si>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</si>
  <si>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</si>
  <si>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</si>
  <si>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</si>
  <si>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</si>
  <si>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</si>
  <si>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</si>
  <si>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</si>
  <si>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</si>
  <si>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</si>
  <si>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</si>
  <si>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</si>
  <si>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</si>
  <si>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</si>
  <si>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</si>
  <si>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</si>
  <si>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</si>
  <si>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</si>
  <si>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</si>
  <si>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</si>
  <si>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</si>
  <si>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</si>
  <si>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</si>
  <si>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</si>
  <si>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</si>
  <si>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</si>
  <si>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</si>
  <si>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</si>
  <si>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</si>
  <si>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</si>
  <si>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</si>
  <si>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</si>
  <si>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</si>
  <si>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</si>
  <si>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</si>
  <si>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</si>
  <si>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</si>
  <si>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</si>
  <si>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</si>
  <si>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</si>
  <si>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</si>
  <si>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</si>
  <si>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</si>
  <si>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</si>
  <si>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</si>
  <si>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</si>
  <si>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</si>
  <si>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</si>
  <si>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</si>
  <si>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</si>
  <si>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</si>
  <si>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</si>
  <si>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</si>
  <si>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</si>
  <si>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</si>
  <si>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</si>
  <si>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</si>
  <si>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</si>
  <si>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</si>
  <si>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</si>
  <si>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</si>
  <si>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</si>
  <si>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</si>
  <si>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</si>
  <si>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</si>
  <si>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</si>
  <si>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</si>
  <si>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</si>
  <si>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</si>
  <si>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</si>
  <si>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</si>
  <si>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</si>
  <si>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</si>
  <si>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</si>
  <si>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</si>
  <si>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</si>
  <si>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</si>
  <si>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</si>
  <si>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</si>
  <si>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</si>
  <si>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</si>
  <si>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</si>
  <si>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</si>
  <si>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</si>
  <si>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</si>
  <si>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</si>
  <si>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</si>
  <si>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</si>
  <si>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</si>
  <si>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</si>
  <si>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</si>
  <si>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</si>
  <si>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</si>
  <si>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</si>
  <si>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</si>
  <si>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</si>
  <si>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</si>
  <si>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</si>
  <si>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</si>
  <si>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</si>
  <si>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</si>
  <si>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</si>
  <si>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</si>
  <si>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</si>
  <si>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</si>
  <si>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</si>
  <si>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</si>
  <si>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</si>
  <si>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</si>
  <si>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</si>
  <si>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</si>
  <si>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</si>
  <si>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</si>
  <si>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</si>
  <si>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</si>
  <si>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</si>
  <si>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</si>
  <si>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</si>
  <si>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</si>
  <si>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</si>
  <si>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</si>
  <si>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</si>
  <si>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</si>
  <si>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</si>
  <si>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</si>
  <si>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</si>
  <si>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</si>
  <si>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</si>
  <si>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</si>
  <si>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</si>
  <si>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</si>
  <si>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</si>
  <si>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</si>
  <si>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</si>
  <si>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</si>
  <si>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</si>
  <si>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</si>
  <si>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</si>
  <si>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</si>
  <si>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</si>
  <si>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</si>
  <si>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</si>
  <si>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</si>
  <si>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</si>
  <si>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</si>
  <si>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</si>
  <si>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</si>
  <si>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</si>
  <si>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</si>
  <si>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</si>
  <si>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</si>
  <si>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</si>
  <si>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</si>
  <si>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</si>
  <si>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</si>
  <si>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</si>
  <si>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</si>
  <si>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</si>
  <si>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</si>
  <si>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</si>
  <si>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</si>
  <si>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</si>
  <si>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</si>
  <si>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</si>
  <si>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</si>
  <si>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</si>
  <si>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</si>
  <si>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</si>
  <si>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</si>
  <si>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</si>
  <si>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</si>
  <si>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</si>
  <si>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</si>
  <si>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</si>
  <si>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</si>
  <si>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</si>
  <si>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</si>
  <si>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</si>
  <si>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</si>
  <si>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</si>
  <si>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</si>
  <si>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</si>
  <si>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</si>
  <si>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</si>
  <si>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</si>
  <si>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</si>
  <si>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</si>
  <si>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</si>
  <si>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</si>
  <si>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</si>
  <si>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</si>
  <si>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</si>
  <si>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</si>
  <si>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</si>
  <si>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</si>
  <si>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</si>
  <si>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</si>
  <si>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</si>
  <si>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</si>
  <si>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</si>
  <si>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</si>
  <si>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</si>
  <si>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</si>
  <si>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</si>
  <si>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</si>
  <si>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</si>
  <si>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</si>
  <si>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</si>
  <si>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</si>
  <si>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</si>
  <si>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</si>
  <si>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</si>
  <si>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</si>
  <si>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</si>
  <si>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</si>
  <si>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</si>
  <si>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</si>
  <si>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</si>
  <si>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</si>
  <si>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</si>
  <si>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</si>
  <si>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</si>
  <si>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</si>
  <si>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</si>
  <si>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</si>
  <si>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</si>
  <si>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</si>
  <si>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</si>
  <si>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</si>
  <si>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</si>
  <si>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</si>
  <si>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</si>
  <si>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</si>
  <si>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</si>
  <si>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</si>
  <si>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</si>
  <si>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</si>
  <si>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</si>
  <si>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</si>
  <si>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</si>
  <si>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</si>
  <si>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</si>
  <si>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</si>
  <si>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</si>
  <si>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</si>
  <si>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</si>
  <si>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</si>
  <si>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</si>
  <si>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</si>
  <si>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</si>
  <si>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</si>
  <si>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</si>
  <si>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</si>
  <si>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</si>
  <si>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</si>
  <si>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</si>
  <si>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</si>
  <si>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</si>
  <si>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</si>
  <si>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</si>
  <si>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</si>
  <si>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</si>
  <si>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</si>
  <si>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</si>
  <si>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</si>
  <si>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</si>
  <si>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</si>
  <si>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</si>
  <si>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</si>
  <si>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</si>
  <si>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</si>
  <si>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</si>
  <si>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</si>
  <si>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</si>
  <si>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</si>
  <si>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</si>
  <si>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</si>
  <si>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</si>
  <si>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</si>
  <si>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</si>
  <si>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</si>
  <si>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</si>
  <si>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</si>
  <si>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</si>
  <si>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</si>
  <si>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</si>
  <si>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</si>
  <si>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</si>
  <si>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</si>
  <si>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</si>
  <si>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</si>
  <si>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</si>
  <si>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</si>
  <si>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</si>
  <si>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</si>
  <si>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</si>
  <si>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</si>
  <si>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</si>
  <si>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</si>
  <si>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</si>
  <si>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</si>
  <si>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</si>
  <si>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</si>
  <si>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</si>
  <si>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</si>
  <si>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</si>
  <si>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</si>
  <si>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</si>
  <si>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</si>
  <si>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</si>
  <si>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</si>
  <si>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</si>
  <si>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</si>
  <si>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</si>
  <si>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</si>
  <si>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</si>
  <si>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</si>
  <si>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</si>
  <si>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</si>
  <si>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</si>
  <si>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</si>
  <si>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</si>
  <si>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</si>
  <si>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</si>
  <si>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</si>
  <si>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</si>
  <si>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</si>
  <si>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</si>
  <si>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</si>
  <si>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</si>
  <si>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</si>
  <si>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</si>
  <si>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</si>
  <si>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</si>
  <si>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</si>
  <si>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</si>
  <si>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</si>
  <si>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</si>
  <si>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</si>
  <si>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</si>
  <si>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</si>
  <si>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</si>
  <si>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</si>
  <si>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</si>
  <si>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</si>
  <si>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</si>
  <si>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</si>
  <si>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</si>
  <si>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</si>
  <si>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</si>
  <si>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</si>
  <si>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</si>
  <si>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</si>
  <si>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</si>
  <si>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</si>
  <si>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</si>
  <si>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</si>
  <si>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</si>
  <si>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</si>
  <si>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</si>
  <si>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</si>
  <si>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</si>
  <si>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</si>
  <si>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</si>
  <si>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</si>
  <si>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</si>
  <si>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</si>
  <si>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</si>
  <si>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</si>
  <si>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</si>
  <si>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</si>
  <si>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</si>
  <si>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</si>
  <si>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</si>
  <si>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</si>
  <si>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</si>
  <si>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</si>
  <si>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</si>
  <si>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</si>
  <si>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</si>
  <si>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</si>
  <si>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</si>
  <si>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</si>
  <si>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</si>
  <si>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</si>
  <si>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</si>
  <si>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</si>
  <si>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</si>
  <si>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</si>
  <si>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</si>
  <si>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</si>
  <si>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</si>
  <si>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</si>
  <si>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</si>
  <si>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</si>
  <si>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</si>
  <si>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</si>
  <si>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</si>
  <si>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</si>
  <si>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</si>
  <si>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</si>
  <si>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</si>
  <si>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</si>
  <si>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</si>
  <si>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</si>
  <si>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</si>
  <si>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</si>
  <si>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</si>
  <si>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</si>
  <si>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</si>
  <si>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</si>
  <si>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</si>
  <si>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</si>
  <si>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</si>
  <si>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</si>
  <si>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</si>
  <si>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</si>
  <si>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</si>
  <si>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</si>
  <si>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</si>
  <si>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</si>
  <si>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</si>
  <si>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</si>
  <si>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</si>
  <si>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</si>
  <si>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</si>
  <si>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</si>
  <si>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</si>
  <si>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</si>
  <si>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</si>
  <si>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</si>
  <si>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</si>
  <si>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</si>
  <si>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</si>
  <si>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</si>
  <si>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</si>
  <si>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</si>
  <si>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</si>
  <si>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</si>
  <si>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</si>
  <si>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</si>
  <si>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</si>
  <si>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</si>
  <si>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</si>
  <si>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</si>
  <si>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</si>
  <si>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</si>
  <si>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</si>
  <si>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</si>
  <si>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</si>
  <si>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</si>
  <si>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</si>
  <si>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</si>
  <si>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</si>
  <si>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</si>
  <si>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</si>
  <si>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</si>
  <si>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</si>
  <si>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</si>
  <si>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</si>
  <si>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</si>
  <si>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</si>
  <si>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</si>
  <si>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</si>
  <si>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</si>
  <si>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</si>
  <si>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</si>
  <si>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</si>
  <si>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</si>
  <si>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</si>
  <si>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</si>
  <si>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</si>
  <si>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</si>
  <si>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</si>
  <si>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</si>
  <si>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</si>
  <si>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</si>
  <si>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</si>
  <si>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</si>
  <si>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</si>
  <si>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</si>
  <si>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</si>
  <si>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</si>
  <si>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</si>
  <si>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</si>
  <si>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</si>
  <si>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</si>
  <si>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</si>
  <si>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</si>
  <si>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</si>
  <si>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</si>
  <si>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</si>
  <si>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</si>
  <si>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</si>
  <si>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</si>
  <si>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</si>
  <si>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</si>
  <si>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</si>
  <si>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</si>
  <si>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</si>
  <si>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</si>
  <si>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</si>
  <si>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</si>
  <si>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</si>
  <si>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</si>
  <si>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</si>
  <si>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</si>
  <si>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</si>
  <si>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</si>
  <si>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</si>
  <si>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</si>
  <si>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</si>
  <si>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</si>
  <si>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</si>
  <si>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</si>
  <si>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</si>
  <si>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</si>
  <si>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</si>
  <si>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</si>
  <si>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</si>
  <si>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</si>
  <si>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</si>
  <si>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</si>
  <si>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</si>
  <si>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</si>
  <si>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</si>
  <si>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</si>
  <si>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</si>
  <si>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</si>
  <si>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</si>
  <si>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</si>
  <si>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</si>
  <si>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</si>
  <si>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</si>
  <si>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</si>
  <si>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</si>
  <si>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</si>
  <si>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</si>
  <si>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</si>
  <si>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</si>
  <si>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</si>
  <si>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</si>
  <si>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</si>
  <si>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</si>
  <si>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</si>
  <si>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</si>
  <si>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</si>
  <si>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</si>
  <si>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</si>
  <si>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</si>
  <si>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</si>
  <si>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</si>
  <si>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</si>
  <si>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</si>
  <si>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</si>
  <si>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</si>
  <si>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</si>
  <si>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</si>
  <si>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</si>
  <si>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</si>
  <si>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</si>
  <si>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</si>
  <si>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</si>
  <si>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</si>
  <si>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</si>
  <si>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</si>
  <si>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</si>
  <si>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</si>
  <si>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</si>
  <si>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</si>
  <si>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</si>
  <si>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</si>
  <si>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</si>
  <si>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</si>
  <si>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</si>
  <si>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</si>
  <si>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</si>
  <si>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</si>
  <si>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</si>
  <si>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</si>
  <si>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</si>
  <si>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</si>
  <si>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</si>
  <si>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</si>
  <si>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</si>
  <si>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</si>
  <si>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</si>
  <si>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</si>
  <si>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</si>
  <si>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</si>
  <si>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</si>
  <si>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</si>
  <si>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</si>
  <si>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</si>
  <si>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</si>
  <si>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</si>
  <si>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</si>
  <si>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</si>
  <si>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</si>
  <si>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</si>
  <si>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</si>
  <si>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</si>
  <si>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</si>
  <si>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</si>
  <si>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</si>
  <si>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</si>
  <si>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</si>
  <si>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</si>
  <si>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</si>
  <si>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</si>
  <si>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</si>
  <si>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</si>
  <si>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</si>
  <si>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</si>
  <si>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</si>
  <si>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</si>
  <si>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</si>
  <si>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</si>
  <si>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</si>
  <si>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</si>
  <si>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</si>
  <si>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</si>
  <si>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</si>
  <si>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</si>
  <si>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</si>
  <si>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</si>
  <si>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</si>
  <si>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</si>
  <si>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</si>
  <si>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</si>
  <si>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</si>
  <si>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</si>
  <si>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</si>
  <si>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</si>
  <si>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</si>
  <si>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</si>
  <si>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</si>
  <si>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</si>
  <si>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</si>
  <si>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</si>
  <si>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</si>
  <si>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</si>
  <si>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</si>
  <si>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</si>
  <si>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</si>
  <si>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</si>
  <si>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</si>
  <si>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</si>
  <si>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</si>
  <si>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</si>
  <si>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</si>
  <si>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</si>
  <si>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</si>
  <si>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</si>
  <si>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</si>
  <si>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</si>
  <si>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</si>
  <si>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</si>
  <si>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</si>
  <si>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</si>
  <si>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</si>
  <si>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</si>
  <si>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</si>
  <si>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</si>
  <si>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</si>
  <si>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</si>
  <si>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</si>
  <si>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</si>
  <si>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</si>
  <si>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</si>
  <si>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</si>
  <si>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</si>
  <si>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</si>
  <si>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</si>
  <si>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</si>
  <si>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</si>
  <si>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</si>
  <si>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</si>
  <si>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</si>
  <si>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</si>
  <si>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</si>
  <si>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</si>
  <si>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</si>
  <si>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</si>
  <si>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</si>
  <si>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</si>
  <si>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</si>
  <si>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</si>
  <si>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</si>
  <si>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</si>
  <si>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</si>
  <si>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</si>
  <si>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</si>
  <si>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</si>
  <si>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</si>
  <si>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</si>
  <si>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</si>
  <si>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</si>
  <si>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</si>
  <si>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</si>
  <si>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</si>
  <si>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</si>
  <si>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</si>
  <si>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</si>
  <si>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</si>
  <si>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</si>
  <si>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</si>
  <si>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</si>
  <si>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</si>
  <si>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</si>
  <si>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</si>
  <si>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</si>
  <si>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</si>
  <si>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</si>
  <si>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</si>
  <si>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</si>
  <si>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</si>
  <si>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</si>
  <si>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</si>
  <si>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</si>
  <si>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</si>
  <si>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</si>
  <si>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</si>
  <si>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</si>
  <si>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</si>
  <si>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</si>
  <si>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</si>
  <si>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</si>
  <si>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</si>
  <si>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</si>
  <si>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</si>
  <si>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</si>
  <si>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</si>
  <si>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</si>
  <si>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</si>
  <si>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</si>
  <si>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</si>
  <si>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</si>
  <si>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</si>
  <si>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</si>
  <si>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</si>
  <si>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</si>
  <si>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</si>
  <si>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</si>
  <si>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</si>
  <si>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</si>
  <si>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</si>
  <si>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</si>
  <si>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</si>
  <si>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</si>
  <si>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</si>
  <si>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</si>
  <si>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</si>
  <si>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</si>
  <si>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</si>
  <si>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</si>
  <si>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</si>
  <si>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</si>
  <si>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</si>
  <si>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</si>
  <si>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</si>
  <si>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</si>
  <si>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</si>
  <si>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</si>
  <si>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</si>
  <si>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</si>
  <si>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</si>
  <si>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</si>
  <si>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</si>
  <si>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</si>
  <si>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</si>
  <si>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</si>
  <si>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</si>
  <si>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</si>
  <si>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</si>
  <si>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</si>
  <si>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</si>
  <si>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</si>
  <si>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</si>
  <si>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</si>
  <si>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</si>
  <si>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</si>
  <si>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</si>
  <si>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</si>
  <si>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</si>
  <si>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</si>
  <si>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</si>
  <si>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</si>
  <si>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</si>
  <si>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</si>
  <si>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</si>
  <si>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</si>
  <si>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</si>
  <si>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</si>
  <si>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</si>
  <si>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</si>
  <si>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</si>
  <si>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</si>
  <si>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</si>
  <si>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</si>
  <si>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</si>
  <si>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</si>
  <si>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</si>
  <si>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</si>
  <si>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</si>
  <si>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</si>
  <si>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</si>
  <si>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</si>
  <si>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</si>
  <si>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</si>
  <si>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</si>
  <si>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</si>
  <si>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</si>
  <si>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</si>
  <si>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</si>
  <si>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</si>
  <si>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</si>
  <si>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</si>
  <si>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</si>
  <si>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</si>
  <si>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</si>
  <si>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</si>
  <si>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</si>
  <si>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</si>
  <si>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</si>
  <si>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</si>
  <si>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</si>
  <si>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</si>
  <si>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</si>
  <si>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</si>
  <si>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</si>
  <si>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</si>
  <si>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</si>
  <si>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</si>
  <si>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</si>
  <si>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</si>
  <si>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</si>
  <si>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</si>
  <si>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</si>
  <si>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</si>
  <si>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</si>
  <si>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</si>
  <si>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</si>
  <si>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</si>
  <si>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</si>
  <si>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</si>
  <si>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</si>
  <si>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</si>
  <si>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</si>
  <si>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</si>
  <si>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</si>
  <si>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</si>
  <si>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</si>
  <si>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</si>
  <si>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</si>
  <si>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</si>
  <si>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</si>
  <si>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</si>
  <si>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</si>
  <si>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</si>
  <si>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</si>
  <si>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</si>
  <si>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</si>
  <si>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</si>
  <si>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</si>
  <si>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</si>
  <si>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</si>
  <si>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</si>
  <si>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</si>
  <si>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</si>
  <si>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</si>
  <si>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</si>
  <si>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</si>
  <si>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</si>
  <si>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</si>
  <si>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</si>
  <si>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</si>
  <si>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</si>
  <si>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</si>
  <si>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</si>
  <si>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</si>
  <si>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</si>
  <si>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</si>
  <si>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</si>
  <si>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</si>
  <si>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</si>
  <si>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</si>
  <si>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</si>
  <si>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</si>
  <si>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</si>
  <si>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</si>
  <si>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</si>
  <si>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</si>
  <si>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</si>
  <si>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</si>
  <si>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</si>
  <si>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</si>
  <si>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</si>
  <si>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</si>
  <si>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</si>
  <si>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</si>
  <si>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</si>
  <si>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</si>
  <si>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</si>
  <si>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</si>
  <si>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</si>
  <si>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</si>
  <si>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</si>
  <si>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</si>
  <si>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</si>
  <si>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</si>
  <si>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</si>
  <si>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</si>
  <si>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</si>
  <si>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</si>
  <si>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</si>
  <si>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</si>
  <si>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</si>
  <si>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</si>
  <si>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</si>
  <si>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</si>
  <si>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</si>
  <si>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</si>
  <si>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</si>
  <si>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</si>
  <si>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</si>
  <si>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</si>
  <si>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</si>
  <si>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</si>
  <si>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</si>
  <si>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</si>
  <si>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</si>
  <si>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</si>
  <si>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</si>
  <si>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</si>
  <si>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</si>
  <si>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</si>
  <si>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</si>
  <si>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</si>
  <si>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</si>
  <si>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</si>
  <si>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</si>
  <si>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</si>
  <si>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</si>
  <si>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</si>
  <si>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</si>
  <si>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</si>
  <si>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</si>
  <si>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</si>
  <si>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</si>
  <si>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</si>
  <si>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</si>
  <si>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</si>
  <si>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</si>
  <si>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</si>
  <si>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</si>
  <si>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</si>
  <si>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</si>
  <si>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</si>
  <si>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</si>
  <si>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</si>
  <si>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</si>
  <si>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</si>
  <si>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</si>
  <si>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</si>
  <si>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</si>
  <si>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</si>
  <si>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</si>
  <si>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</si>
  <si>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</si>
  <si>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</si>
  <si>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</si>
  <si>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</si>
  <si>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</si>
  <si>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</si>
  <si>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</si>
  <si>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</si>
  <si>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</si>
  <si>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</si>
  <si>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</si>
  <si>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</si>
  <si>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</si>
  <si>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</si>
  <si>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</si>
  <si>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</si>
  <si>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</si>
  <si>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</si>
  <si>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</si>
  <si>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</si>
  <si>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</si>
  <si>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</si>
  <si>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</si>
  <si>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</si>
  <si>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</si>
  <si>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</si>
  <si>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</si>
  <si>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</si>
  <si>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</si>
  <si>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</si>
  <si>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</si>
  <si>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</si>
  <si>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</si>
  <si>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</si>
  <si>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</si>
  <si>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</si>
  <si>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</si>
  <si>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</si>
  <si>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</si>
  <si>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</si>
  <si>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</si>
  <si>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</si>
  <si>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</si>
  <si>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</si>
  <si>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</si>
  <si>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</si>
  <si>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</si>
  <si>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</si>
  <si>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</si>
  <si>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</si>
  <si>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</si>
  <si>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</si>
  <si>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</si>
  <si>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</si>
  <si>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</si>
  <si>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</si>
  <si>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</si>
  <si>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</si>
  <si>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</si>
  <si>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</si>
  <si>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</si>
  <si>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</si>
  <si>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</si>
  <si>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</si>
  <si>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</si>
  <si>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</si>
  <si>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</si>
  <si>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</si>
  <si>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</si>
  <si>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</si>
  <si>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</si>
  <si>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</si>
  <si>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</si>
  <si>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</si>
  <si>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</si>
  <si>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</si>
  <si>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</si>
  <si>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</si>
  <si>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</si>
  <si>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</si>
  <si>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</si>
  <si>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</si>
  <si>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</si>
  <si>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</si>
  <si>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</si>
  <si>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</si>
  <si>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</si>
  <si>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</si>
  <si>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</si>
  <si>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</si>
  <si>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</si>
  <si>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</si>
  <si>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</si>
  <si>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</si>
  <si>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</si>
  <si>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</si>
  <si>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</si>
  <si>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</si>
  <si>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</si>
  <si>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</si>
  <si>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</si>
  <si>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</si>
  <si>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</si>
  <si>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</si>
  <si>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</si>
  <si>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</si>
  <si>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</si>
  <si>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</si>
  <si>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</si>
  <si>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</si>
  <si>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</si>
  <si>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</si>
  <si>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</si>
  <si>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</si>
  <si>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</si>
  <si>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</si>
  <si>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</si>
  <si>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</si>
  <si>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</si>
  <si>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</si>
  <si>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</si>
  <si>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</si>
  <si>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</si>
  <si>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</si>
  <si>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</si>
  <si>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</si>
  <si>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</si>
  <si>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</si>
  <si>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</si>
  <si>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</si>
  <si>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</si>
  <si>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</si>
  <si>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</si>
  <si>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</si>
  <si>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</si>
  <si>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</si>
  <si>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</si>
  <si>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</si>
  <si>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</si>
  <si>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</si>
  <si>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</si>
  <si>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</si>
  <si>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</si>
  <si>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</si>
  <si>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</si>
  <si>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</si>
  <si>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</si>
  <si>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</si>
  <si>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</si>
  <si>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</si>
  <si>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</si>
  <si>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</si>
  <si>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</si>
  <si>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</si>
  <si>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</si>
  <si>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</si>
  <si>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</si>
  <si>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</si>
  <si>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</si>
  <si>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</si>
  <si>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</si>
  <si>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</si>
  <si>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</si>
  <si>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</si>
  <si>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</si>
  <si>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</si>
  <si>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</si>
  <si>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</si>
  <si>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</si>
  <si>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</si>
  <si>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</si>
  <si>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</si>
  <si>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</si>
  <si>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</si>
  <si>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</si>
  <si>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</si>
  <si>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</si>
  <si>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</si>
  <si>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</si>
  <si>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</si>
  <si>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</si>
  <si>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</si>
  <si>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</si>
  <si>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</si>
  <si>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</si>
  <si>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</si>
  <si>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</si>
  <si>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</si>
  <si>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</si>
  <si>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</si>
  <si>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</si>
  <si>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</si>
  <si>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</si>
  <si>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</si>
  <si>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</si>
  <si>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</si>
  <si>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</si>
  <si>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</si>
  <si>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</si>
  <si>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</si>
  <si>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</si>
  <si>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</si>
  <si>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</si>
  <si>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</si>
  <si>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</si>
  <si>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</si>
  <si>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</si>
  <si>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</si>
  <si>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</si>
  <si>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</si>
  <si>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</si>
  <si>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</si>
  <si>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</si>
  <si>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</si>
  <si>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</si>
  <si>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</si>
  <si>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</si>
  <si>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</si>
  <si>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</si>
  <si>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</si>
  <si>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</si>
  <si>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</si>
  <si>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</si>
  <si>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</si>
  <si>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</si>
  <si>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</si>
  <si>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</si>
  <si>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</si>
  <si>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</si>
  <si>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</si>
  <si>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</si>
  <si>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</si>
  <si>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</si>
  <si>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</si>
  <si>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</si>
  <si>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</si>
  <si>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</si>
  <si>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</si>
  <si>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</si>
  <si>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</si>
  <si>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</si>
  <si>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</si>
  <si>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</si>
  <si>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</si>
  <si>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</si>
  <si>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</si>
  <si>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</si>
  <si>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</si>
  <si>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</si>
  <si>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</si>
  <si>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</si>
  <si>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</si>
  <si>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</si>
  <si>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</si>
  <si>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</si>
  <si>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</si>
  <si>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</si>
  <si>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</si>
  <si>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</si>
  <si>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</si>
  <si>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</si>
  <si>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</si>
  <si>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</si>
  <si>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</si>
  <si>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</si>
  <si>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</si>
  <si>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</si>
  <si>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</si>
  <si>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</si>
  <si>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</si>
  <si>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</si>
  <si>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</si>
  <si>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</si>
  <si>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</si>
  <si>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</si>
  <si>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</si>
  <si>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</si>
  <si>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</si>
  <si>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</si>
  <si>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</si>
  <si>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</si>
  <si>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</si>
  <si>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</si>
  <si>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</si>
  <si>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</si>
  <si>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</si>
  <si>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</si>
  <si>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</si>
  <si>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</si>
  <si>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</si>
  <si>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</si>
  <si>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</si>
  <si>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</si>
  <si>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</si>
  <si>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</si>
  <si>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</si>
  <si>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</si>
  <si>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</si>
  <si>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</si>
  <si>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</si>
  <si>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</si>
  <si>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</si>
  <si>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</si>
  <si>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</si>
  <si>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</si>
  <si>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</si>
  <si>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</si>
  <si>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</si>
  <si>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</si>
  <si>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</si>
  <si>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</si>
  <si>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</si>
  <si>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</si>
  <si>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</si>
  <si>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</si>
  <si>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</si>
  <si>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</si>
  <si>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</si>
  <si>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</si>
  <si>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</si>
  <si>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</si>
  <si>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</si>
  <si>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</si>
  <si>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</si>
  <si>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</si>
  <si>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</si>
  <si>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</si>
  <si>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</si>
  <si>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</si>
  <si>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</si>
  <si>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</si>
  <si>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</si>
  <si>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</si>
  <si>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</si>
  <si>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</si>
  <si>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</si>
  <si>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</si>
  <si>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</si>
  <si>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</si>
  <si>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</si>
  <si>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</si>
  <si>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</si>
  <si>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</si>
  <si>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</si>
  <si>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</si>
  <si>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</si>
  <si>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</si>
  <si>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</si>
  <si>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</si>
  <si>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</si>
  <si>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</si>
  <si>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</si>
  <si>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</si>
  <si>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</si>
  <si>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</si>
  <si>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</si>
  <si>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</si>
  <si>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</si>
  <si>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</si>
  <si>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</si>
  <si>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</si>
  <si>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</si>
  <si>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</si>
  <si>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</si>
  <si>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</si>
  <si>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</si>
  <si>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</si>
  <si>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</si>
  <si>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</si>
  <si>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</si>
  <si>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</si>
  <si>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</si>
  <si>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</si>
  <si>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</si>
  <si>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</si>
  <si>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</si>
  <si>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</si>
  <si>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</si>
  <si>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</si>
  <si>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</si>
  <si>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</si>
  <si>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</si>
  <si>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</si>
  <si>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</si>
  <si>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</si>
  <si>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</si>
  <si>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</si>
  <si>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</si>
  <si>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</si>
  <si>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</si>
  <si>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</si>
  <si>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</si>
  <si>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</si>
  <si>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</si>
  <si>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</si>
  <si>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</si>
  <si>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</si>
  <si>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</si>
  <si>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</si>
  <si>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</si>
  <si>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</si>
  <si>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</si>
  <si>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</si>
  <si>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</si>
  <si>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</si>
  <si>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</si>
  <si>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</si>
  <si>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</si>
  <si>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</si>
  <si>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</si>
  <si>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</si>
  <si>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</si>
  <si>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</si>
  <si>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</si>
  <si>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</si>
  <si>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</si>
  <si>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</si>
  <si>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</si>
  <si>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</si>
  <si>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</si>
  <si>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</si>
  <si>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</si>
  <si>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</si>
  <si>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</si>
  <si>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</si>
  <si>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</si>
  <si>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</si>
  <si>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</si>
  <si>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</si>
  <si>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</si>
  <si>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</si>
  <si>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</si>
  <si>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</si>
  <si>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</si>
  <si>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</si>
  <si>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</si>
  <si>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</si>
  <si>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</si>
  <si>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</si>
  <si>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</si>
  <si>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</si>
  <si>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</si>
  <si>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</si>
  <si>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</si>
  <si>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</si>
  <si>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</si>
  <si>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</si>
  <si>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</si>
  <si>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</si>
  <si>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</si>
  <si>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</si>
  <si>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</si>
  <si>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</si>
  <si>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</si>
  <si>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</si>
  <si>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</si>
  <si>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</si>
  <si>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</si>
  <si>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</si>
  <si>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</si>
  <si>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</si>
  <si>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</si>
  <si>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</si>
  <si>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</si>
  <si>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</si>
  <si>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</si>
  <si>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</si>
  <si>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</si>
  <si>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</si>
  <si>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</si>
  <si>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</si>
  <si>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</si>
  <si>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</si>
  <si>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</si>
  <si>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</si>
  <si>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</si>
  <si>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</si>
  <si>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</si>
  <si>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</si>
  <si>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</si>
  <si>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</si>
  <si>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</si>
  <si>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</si>
  <si>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</si>
  <si>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</si>
  <si>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</si>
  <si>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</si>
  <si>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</si>
  <si>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</si>
  <si>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</si>
  <si>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</si>
  <si>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</si>
  <si>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</si>
  <si>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</si>
  <si>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</si>
  <si>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</si>
  <si>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</si>
  <si>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</si>
  <si>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</si>
  <si>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</si>
  <si>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</si>
  <si>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</si>
  <si>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</si>
  <si>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</si>
  <si>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</si>
  <si>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</si>
  <si>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</si>
  <si>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</si>
  <si>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</si>
  <si>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</si>
  <si>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</si>
  <si>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</si>
  <si>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</si>
  <si>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</si>
  <si>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</si>
  <si>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</si>
  <si>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</si>
  <si>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</si>
  <si>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</si>
  <si>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</si>
  <si>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</si>
  <si>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</si>
  <si>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</si>
  <si>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</si>
  <si>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</si>
  <si>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</si>
  <si>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</si>
  <si>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</si>
  <si>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</si>
  <si>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</si>
  <si>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</si>
  <si>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</si>
  <si>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</si>
  <si>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</si>
  <si>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</si>
  <si>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</si>
  <si>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</si>
  <si>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</si>
  <si>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</si>
  <si>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</si>
  <si>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</si>
  <si>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</si>
  <si>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</si>
  <si>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</si>
  <si>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</si>
  <si>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</si>
  <si>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</si>
  <si>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</si>
  <si>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</si>
  <si>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</si>
  <si>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</si>
  <si>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</si>
  <si>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</si>
  <si>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</si>
  <si>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</si>
  <si>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</si>
  <si>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</si>
  <si>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</si>
  <si>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</si>
  <si>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</si>
  <si>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</si>
  <si>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</si>
  <si>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</si>
  <si>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</si>
  <si>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</si>
  <si>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</si>
  <si>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</si>
  <si>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</si>
  <si>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</si>
  <si>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</si>
  <si>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</si>
  <si>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</si>
  <si>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</si>
  <si>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</si>
  <si>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</si>
  <si>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</si>
  <si>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</si>
  <si>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</si>
  <si>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</si>
  <si>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</si>
  <si>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</si>
  <si>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</si>
  <si>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</si>
  <si>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</si>
  <si>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</si>
  <si>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</si>
  <si>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</si>
  <si>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</si>
  <si>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</si>
  <si>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</si>
  <si>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</si>
  <si>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</si>
  <si>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</si>
  <si>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</si>
  <si>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</si>
  <si>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</si>
  <si>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</si>
  <si>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</si>
  <si>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</si>
  <si>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</si>
  <si>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</si>
  <si>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</si>
  <si>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</si>
  <si>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</si>
  <si>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</si>
  <si>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</si>
  <si>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</si>
  <si>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</si>
  <si>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</si>
  <si>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</si>
  <si>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</si>
  <si>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</si>
  <si>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</si>
  <si>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</si>
  <si>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</si>
  <si>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</si>
  <si>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</si>
  <si>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</si>
  <si>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</si>
  <si>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</si>
  <si>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</si>
  <si>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</si>
  <si>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</si>
  <si>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</si>
  <si>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</si>
  <si>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</si>
  <si>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</si>
  <si>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</si>
  <si>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</si>
  <si>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</si>
  <si>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</si>
  <si>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</si>
  <si>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</si>
  <si>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</si>
  <si>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</si>
  <si>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</si>
  <si>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</si>
  <si>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</si>
  <si>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</si>
  <si>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</si>
  <si>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</si>
  <si>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</si>
  <si>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</si>
  <si>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</si>
  <si>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</si>
  <si>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</si>
  <si>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</si>
  <si>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</si>
  <si>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</si>
  <si>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</si>
  <si>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</si>
  <si>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</si>
  <si>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</si>
  <si>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</si>
  <si>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</si>
  <si>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</si>
  <si>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</si>
  <si>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</si>
  <si>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</si>
  <si>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</si>
  <si>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</si>
  <si>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</si>
  <si>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</si>
  <si>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</si>
  <si>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</si>
  <si>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</si>
  <si>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</si>
  <si>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</si>
  <si>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</si>
  <si>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</si>
  <si>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</si>
  <si>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</si>
  <si>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</si>
  <si>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</si>
  <si>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</si>
  <si>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</si>
  <si>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</si>
  <si>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</si>
  <si>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</si>
  <si>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</si>
  <si>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</si>
  <si>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</si>
  <si>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</si>
  <si>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</si>
  <si>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</si>
  <si>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</si>
  <si>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</si>
  <si>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</si>
  <si>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</si>
  <si>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</si>
  <si>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</si>
  <si>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</si>
  <si>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</si>
  <si>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</si>
  <si>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</si>
  <si>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</si>
  <si>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</si>
  <si>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</si>
  <si>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</si>
  <si>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</si>
  <si>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</si>
  <si>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</si>
  <si>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</si>
  <si>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</si>
  <si>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</si>
  <si>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</si>
  <si>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</si>
  <si>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</si>
  <si>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</si>
  <si>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</si>
  <si>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</si>
  <si>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</si>
  <si>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</si>
  <si>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</si>
  <si>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</si>
  <si>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</si>
  <si>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</si>
  <si>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</si>
  <si>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</si>
  <si>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</si>
  <si>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</si>
  <si>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</si>
  <si>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</si>
  <si>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</si>
  <si>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</si>
  <si>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</si>
  <si>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</si>
  <si>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</si>
  <si>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</si>
  <si>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</si>
  <si>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</si>
  <si>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</si>
  <si>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</si>
  <si>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</si>
  <si>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</si>
  <si>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</si>
  <si>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</si>
  <si>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</si>
  <si>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</si>
  <si>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</si>
  <si>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</si>
  <si>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</si>
  <si>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</si>
  <si>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</si>
  <si>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</si>
  <si>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</si>
  <si>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</si>
  <si>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</si>
  <si>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</si>
  <si>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</si>
  <si>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</si>
  <si>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</si>
  <si>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</si>
  <si>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</si>
  <si>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</si>
  <si>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</si>
  <si>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</si>
  <si>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</si>
  <si>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</si>
  <si>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</si>
  <si>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</si>
  <si>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</si>
  <si>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</si>
  <si>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</si>
  <si>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</si>
  <si>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</si>
  <si>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</si>
  <si>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</si>
  <si>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</si>
  <si>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</si>
  <si>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</si>
  <si>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</si>
  <si>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</si>
  <si>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</si>
  <si>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</si>
  <si>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</si>
  <si>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</si>
  <si>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</si>
  <si>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</si>
  <si>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</si>
  <si>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</si>
  <si>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</si>
  <si>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</si>
  <si>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</si>
  <si>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</si>
  <si>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</si>
  <si>
    <t>Percentage of Success</t>
  </si>
  <si>
    <t>Months</t>
  </si>
  <si>
    <t>Goal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</si>
</sst>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10" fontId="1" fillId="3" borderId="0" xfId="0" applyNumberFormat="1" applyFont="1" applyFill="1"/>
    <xf numFmtId="0" fontId="1" fillId="3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Percentage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'Theater Outcome by Launch Date'!$F$35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Date'!$F$36:$F$48</c15:sqref>
                  </c15:fullRef>
                </c:ext>
              </c:extLst>
              <c:f>'Theater Outcome by Launch Date'!$F$36:$F$47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7-4AC3-8F6A-29ADF9CD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49232"/>
        <c:axId val="561350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197-4AC3-8F6A-29ADF9CD613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97-4AC3-8F6A-29ADF9CD613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97-4AC3-8F6A-29ADF9CD613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Date'!$E$35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Date'!$E$36:$E$48</c15:sqref>
                        </c15:fullRef>
                        <c15:formulaRef>
                          <c15:sqref>'Theater Outcome by Launch Date'!$E$36:$E$47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</c:v>
                      </c:pt>
                      <c:pt idx="1">
                        <c:v>113</c:v>
                      </c:pt>
                      <c:pt idx="2">
                        <c:v>92</c:v>
                      </c:pt>
                      <c:pt idx="3">
                        <c:v>113</c:v>
                      </c:pt>
                      <c:pt idx="4">
                        <c:v>166</c:v>
                      </c:pt>
                      <c:pt idx="5">
                        <c:v>153</c:v>
                      </c:pt>
                      <c:pt idx="6">
                        <c:v>138</c:v>
                      </c:pt>
                      <c:pt idx="7">
                        <c:v>123</c:v>
                      </c:pt>
                      <c:pt idx="8">
                        <c:v>97</c:v>
                      </c:pt>
                      <c:pt idx="9">
                        <c:v>115</c:v>
                      </c:pt>
                      <c:pt idx="10">
                        <c:v>88</c:v>
                      </c:pt>
                      <c:pt idx="11">
                        <c:v>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97-4AC3-8F6A-29ADF9CD6133}"/>
                  </c:ext>
                </c:extLst>
              </c15:ser>
            </c15:filteredBarSeries>
          </c:ext>
        </c:extLst>
      </c:barChart>
      <c:catAx>
        <c:axId val="5613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0480"/>
        <c:crosses val="autoZero"/>
        <c:auto val="1"/>
        <c:lblAlgn val="ctr"/>
        <c:lblOffset val="100"/>
        <c:noMultiLvlLbl val="0"/>
      </c:catAx>
      <c:valAx>
        <c:axId val="561350480"/>
        <c:scaling>
          <c:orientation val="minMax"/>
          <c:min val="0.49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Grand Total of Threater</a:t>
            </a:r>
            <a:r>
              <a:rPr lang="en-US" baseline="0"/>
              <a:t> Launched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'Theater Outcome by Launch Date'!$E$35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Date'!$E$36:$E$48</c15:sqref>
                  </c15:fullRef>
                </c:ext>
              </c:extLst>
              <c:f>'Theater Outcome by Launch Date'!$E$36:$E$47</c:f>
              <c:numCache>
                <c:formatCode>General</c:formatCode>
                <c:ptCount val="12"/>
                <c:pt idx="0">
                  <c:v>96</c:v>
                </c:pt>
                <c:pt idx="1">
                  <c:v>113</c:v>
                </c:pt>
                <c:pt idx="2">
                  <c:v>92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DC-45D0-B28B-1B25CF20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4208"/>
        <c:axId val="793545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DC-45D0-B28B-1B25CF2094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DC-45D0-B28B-1B25CF2094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DC-45D0-B28B-1B25CF20944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Date'!$F$35</c15:sqref>
                        </c15:formulaRef>
                      </c:ext>
                    </c:extLst>
                    <c:strCache>
                      <c:ptCount val="1"/>
                      <c:pt idx="0">
                        <c:v>Percentage of Success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Date'!$F$36:$F$48</c15:sqref>
                        </c15:fullRef>
                        <c15:formulaRef>
                          <c15:sqref>'Theater Outcome by Launch Date'!$F$36:$F$47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0.58333333333333337</c:v>
                      </c:pt>
                      <c:pt idx="1">
                        <c:v>0.62831858407079644</c:v>
                      </c:pt>
                      <c:pt idx="2">
                        <c:v>0.60869565217391308</c:v>
                      </c:pt>
                      <c:pt idx="3">
                        <c:v>0.62831858407079644</c:v>
                      </c:pt>
                      <c:pt idx="4">
                        <c:v>0.66867469879518071</c:v>
                      </c:pt>
                      <c:pt idx="5">
                        <c:v>0.65359477124183007</c:v>
                      </c:pt>
                      <c:pt idx="6">
                        <c:v>0.63043478260869568</c:v>
                      </c:pt>
                      <c:pt idx="7">
                        <c:v>0.58536585365853655</c:v>
                      </c:pt>
                      <c:pt idx="8">
                        <c:v>0.60824742268041232</c:v>
                      </c:pt>
                      <c:pt idx="9">
                        <c:v>0.56521739130434778</c:v>
                      </c:pt>
                      <c:pt idx="10">
                        <c:v>0.61363636363636365</c:v>
                      </c:pt>
                      <c:pt idx="11">
                        <c:v>0.49333333333333335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DC-45D0-B28B-1B25CF209448}"/>
                  </c:ext>
                </c:extLst>
              </c15:ser>
            </c15:filteredLineSeries>
          </c:ext>
        </c:extLst>
      </c:lineChart>
      <c:catAx>
        <c:axId val="7935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040"/>
        <c:crosses val="autoZero"/>
        <c:auto val="1"/>
        <c:lblAlgn val="ctr"/>
        <c:lblOffset val="100"/>
        <c:noMultiLvlLbl val="0"/>
      </c:catAx>
      <c:valAx>
        <c:axId val="79354504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 for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Goals for All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Goals'!$O$1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Goals'!$O$2:$O$13</c:f>
              <c:numCache>
                <c:formatCode>0.00%</c:formatCode>
                <c:ptCount val="12"/>
                <c:pt idx="0">
                  <c:v>0.74022988505747123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0.53846153846153844</c:v>
                </c:pt>
                <c:pt idx="4">
                  <c:v>0.51086956521739135</c:v>
                </c:pt>
                <c:pt idx="5">
                  <c:v>0.46268656716417911</c:v>
                </c:pt>
                <c:pt idx="6">
                  <c:v>0.45614035087719296</c:v>
                </c:pt>
                <c:pt idx="7">
                  <c:v>0.46376811594202899</c:v>
                </c:pt>
                <c:pt idx="8">
                  <c:v>0.54166666666666663</c:v>
                </c:pt>
                <c:pt idx="9">
                  <c:v>0.56756756756756754</c:v>
                </c:pt>
                <c:pt idx="10">
                  <c:v>0.35294117647058826</c:v>
                </c:pt>
                <c:pt idx="11">
                  <c:v>0.21739130434782608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2D-496D-A50F-4FBAD0F45CA5}"/>
            </c:ext>
          </c:extLst>
        </c:ser>
        <c:ser>
          <c:idx val="5"/>
          <c:order val="5"/>
          <c:tx>
            <c:strRef>
              <c:f>'Outcomes Based on Goals'!$P$1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Goals'!$P$2:$P$13</c:f>
              <c:numCache>
                <c:formatCode>0.00%</c:formatCode>
                <c:ptCount val="12"/>
                <c:pt idx="0">
                  <c:v>0.25977011494252872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0.46153846153846156</c:v>
                </c:pt>
                <c:pt idx="4">
                  <c:v>0.4891304347826087</c:v>
                </c:pt>
                <c:pt idx="5">
                  <c:v>0.53731343283582089</c:v>
                </c:pt>
                <c:pt idx="6">
                  <c:v>0.54385964912280704</c:v>
                </c:pt>
                <c:pt idx="7">
                  <c:v>0.53623188405797106</c:v>
                </c:pt>
                <c:pt idx="8">
                  <c:v>0.45833333333333331</c:v>
                </c:pt>
                <c:pt idx="9">
                  <c:v>0.43243243243243246</c:v>
                </c:pt>
                <c:pt idx="10">
                  <c:v>0.6470588235294118</c:v>
                </c:pt>
                <c:pt idx="11">
                  <c:v>0.78260869565217395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2D-496D-A50F-4FBAD0F4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617503"/>
        <c:axId val="6856183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Goals'!$K$1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Goals'!$K$2:$K$13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26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12D-496D-A50F-4FBAD0F45CA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Goals'!$L$1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Goals'!$L$2:$L$13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31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12D-496D-A50F-4FBAD0F45CA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Goals'!$M$1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Goals'!$M$2:$M$13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12D-496D-A50F-4FBAD0F45CA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Goals'!$N$1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Goals'!$N$2:$N$13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435</c:v>
                      </c:pt>
                      <c:pt idx="1">
                        <c:v>1352</c:v>
                      </c:pt>
                      <c:pt idx="2">
                        <c:v>664</c:v>
                      </c:pt>
                      <c:pt idx="3">
                        <c:v>312</c:v>
                      </c:pt>
                      <c:pt idx="4">
                        <c:v>184</c:v>
                      </c:pt>
                      <c:pt idx="5">
                        <c:v>134</c:v>
                      </c:pt>
                      <c:pt idx="6">
                        <c:v>57</c:v>
                      </c:pt>
                      <c:pt idx="7">
                        <c:v>69</c:v>
                      </c:pt>
                      <c:pt idx="8">
                        <c:v>48</c:v>
                      </c:pt>
                      <c:pt idx="9">
                        <c:v>37</c:v>
                      </c:pt>
                      <c:pt idx="10">
                        <c:v>17</c:v>
                      </c:pt>
                      <c:pt idx="11">
                        <c:v>253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2D-496D-A50F-4FBAD0F45CA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Goals'!$Q$1</c15:sqref>
                        </c15:formulaRef>
                      </c:ext>
                    </c:extLst>
                    <c:strCache>
                      <c:ptCount val="1"/>
                      <c:pt idx="0">
                        <c:v>Percentage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Goals'!$Q$2:$Q$13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12D-496D-A50F-4FBAD0F45CA5}"/>
                  </c:ext>
                </c:extLst>
              </c15:ser>
            </c15:filteredLineSeries>
          </c:ext>
        </c:extLst>
      </c:lineChart>
      <c:catAx>
        <c:axId val="6856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8335"/>
        <c:crosses val="autoZero"/>
        <c:auto val="1"/>
        <c:lblAlgn val="ctr"/>
        <c:lblOffset val="100"/>
        <c:noMultiLvlLbl val="0"/>
      </c:catAx>
      <c:valAx>
        <c:axId val="6856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Goals Based on Outcome for Theater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Goals'!$F$41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Goals'!$F$42:$F$53</c:f>
              <c:numCache>
                <c:formatCode>0.00%</c:formatCode>
                <c:ptCount val="12"/>
                <c:pt idx="0">
                  <c:v>0.75</c:v>
                </c:pt>
                <c:pt idx="1">
                  <c:v>0.71704180064308687</c:v>
                </c:pt>
                <c:pt idx="2">
                  <c:v>0.56074766355140182</c:v>
                </c:pt>
                <c:pt idx="3">
                  <c:v>0.4854368932038835</c:v>
                </c:pt>
                <c:pt idx="4">
                  <c:v>0.48571428571428571</c:v>
                </c:pt>
                <c:pt idx="5">
                  <c:v>0.39393939393939392</c:v>
                </c:pt>
                <c:pt idx="6">
                  <c:v>0.27272727272727271</c:v>
                </c:pt>
                <c:pt idx="7">
                  <c:v>0.30769230769230771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0.13043478260869565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2D-44D6-B6D3-5DDB31462FC9}"/>
            </c:ext>
          </c:extLst>
        </c:ser>
        <c:ser>
          <c:idx val="5"/>
          <c:order val="5"/>
          <c:tx>
            <c:strRef>
              <c:f>'Outcomes Based on Goals'!$G$41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Goals'!$G$42:$G$53</c:f>
              <c:numCache>
                <c:formatCode>0.00%</c:formatCode>
                <c:ptCount val="12"/>
                <c:pt idx="0">
                  <c:v>0.25</c:v>
                </c:pt>
                <c:pt idx="1">
                  <c:v>0.28295819935691319</c:v>
                </c:pt>
                <c:pt idx="2">
                  <c:v>0.43925233644859812</c:v>
                </c:pt>
                <c:pt idx="3">
                  <c:v>0.5145631067961165</c:v>
                </c:pt>
                <c:pt idx="4">
                  <c:v>0.51428571428571423</c:v>
                </c:pt>
                <c:pt idx="5">
                  <c:v>0.60606060606060608</c:v>
                </c:pt>
                <c:pt idx="6">
                  <c:v>0.72727272727272729</c:v>
                </c:pt>
                <c:pt idx="7">
                  <c:v>0.69230769230769229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0.86956521739130432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2D-44D6-B6D3-5DDB3146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5327"/>
        <c:axId val="3973047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Goals'!$B$41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Goals'!$B$42:$B$53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159</c:v>
                      </c:pt>
                      <c:pt idx="1">
                        <c:v>446</c:v>
                      </c:pt>
                      <c:pt idx="2">
                        <c:v>120</c:v>
                      </c:pt>
                      <c:pt idx="3">
                        <c:v>50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2D-44D6-B6D3-5DDB31462FC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Goals'!$C$41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Goals'!$C$42:$C$53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</c:v>
                      </c:pt>
                      <c:pt idx="1">
                        <c:v>176</c:v>
                      </c:pt>
                      <c:pt idx="2">
                        <c:v>94</c:v>
                      </c:pt>
                      <c:pt idx="3">
                        <c:v>53</c:v>
                      </c:pt>
                      <c:pt idx="4">
                        <c:v>18</c:v>
                      </c:pt>
                      <c:pt idx="5">
                        <c:v>20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40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12D-44D6-B6D3-5DDB31462FC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Goals'!$D$41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Goals'!$D$42:$D$53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12D-44D6-B6D3-5DDB31462FC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Goals'!$E$41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Goals'!$E$42:$E$53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212</c:v>
                      </c:pt>
                      <c:pt idx="1">
                        <c:v>622</c:v>
                      </c:pt>
                      <c:pt idx="2">
                        <c:v>214</c:v>
                      </c:pt>
                      <c:pt idx="3">
                        <c:v>103</c:v>
                      </c:pt>
                      <c:pt idx="4">
                        <c:v>35</c:v>
                      </c:pt>
                      <c:pt idx="5">
                        <c:v>33</c:v>
                      </c:pt>
                      <c:pt idx="6">
                        <c:v>11</c:v>
                      </c:pt>
                      <c:pt idx="7">
                        <c:v>13</c:v>
                      </c:pt>
                      <c:pt idx="8">
                        <c:v>8</c:v>
                      </c:pt>
                      <c:pt idx="9">
                        <c:v>6</c:v>
                      </c:pt>
                      <c:pt idx="10">
                        <c:v>3</c:v>
                      </c:pt>
                      <c:pt idx="11">
                        <c:v>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12D-44D6-B6D3-5DDB31462FC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Goals'!$H$41</c15:sqref>
                        </c15:formulaRef>
                      </c:ext>
                    </c:extLst>
                    <c:strCache>
                      <c:ptCount val="1"/>
                      <c:pt idx="0">
                        <c:v>Percentage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Goals'!$H$42:$H$53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12D-44D6-B6D3-5DDB31462FC9}"/>
                  </c:ext>
                </c:extLst>
              </c15:ser>
            </c15:filteredLineSeries>
          </c:ext>
        </c:extLst>
      </c:lineChart>
      <c:catAx>
        <c:axId val="21393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04767"/>
        <c:crosses val="autoZero"/>
        <c:auto val="1"/>
        <c:lblAlgn val="ctr"/>
        <c:lblOffset val="100"/>
        <c:noMultiLvlLbl val="0"/>
      </c:catAx>
      <c:valAx>
        <c:axId val="3973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73F528-302B-4406-B00B-AB3AE3FAFC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9525</xdr:rowOff>
    </xdr:from>
    <xdr:to>
      <xdr:col>17</xdr:col>
      <xdr:colOff>142874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428623</xdr:colOff>
      <xdr:row>30</xdr:row>
      <xdr:rowOff>52385</xdr:rowOff>
    </xdr:from>
    <xdr:to>
      <xdr:col>17</xdr:col>
      <xdr:colOff>133350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7273-1F3A-45EE-AC41-FE05D8F0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314325</xdr:colOff>
      <xdr:row>29</xdr:row>
      <xdr:rowOff>142874</xdr:rowOff>
    </xdr:from>
    <xdr:to>
      <xdr:col>30</xdr:col>
      <xdr:colOff>323850</xdr:colOff>
      <xdr:row>49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E8B2C-C868-42AA-9B39-A2FC15F9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176211</xdr:rowOff>
    </xdr:from>
    <xdr:to>
      <xdr:col>7</xdr:col>
      <xdr:colOff>209550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9853</xdr:colOff>
      <xdr:row>14</xdr:row>
      <xdr:rowOff>57149</xdr:rowOff>
    </xdr:from>
    <xdr:to>
      <xdr:col>16</xdr:col>
      <xdr:colOff>663465</xdr:colOff>
      <xdr:row>36</xdr:row>
      <xdr:rowOff>157655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80C3D3-7BE5-446F-A3EF-B95C461EF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9852</xdr:colOff>
      <xdr:row>38</xdr:row>
      <xdr:rowOff>168821</xdr:rowOff>
    </xdr:from>
    <xdr:to>
      <xdr:col>16</xdr:col>
      <xdr:colOff>538655</xdr:colOff>
      <xdr:row>60</xdr:row>
      <xdr:rowOff>118240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DFE193-66BC-4EF3-9426-35839F4FE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1">
  <autoFilter ref="A1:C18" xr:uid="{A649780F-6B0A-4C76-9698-8E16608F405B}"/>
  <tableColumns count="3">
    <tableColumn id="1" xr3:uid="{DF7E89E5-7A48-491B-99B4-5F7FDB67BDA7}" name="Statistics" dataDxfId="10"/>
    <tableColumn id="2" xr3:uid="{E1E669C2-EA55-4F25-BA86-FA19808C34ED}" name="Succesful" dataDxfId="9"/>
    <tableColumn id="3" xr3:uid="{7BBF4CFD-060F-4954-9682-311C0C060CBD}" name="Fail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F48"/>
  <sheetViews>
    <sheetView workbookViewId="0">
      <selection activeCell="AI25" sqref="AI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7109375" bestFit="1" customWidth="1"/>
    <col min="7" max="7" width="18" bestFit="1" customWidth="1"/>
    <col min="8" max="8" width="25.85546875" bestFit="1" customWidth="1"/>
    <col min="9" max="9" width="23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  <row r="35" spans="1:6" x14ac:dyDescent="0.25">
      <c r="A35" s="32" t="s">
        <v>8422</v>
      </c>
      <c r="B35" s="32" t="s">
        <v>8218</v>
      </c>
      <c r="C35" s="32" t="s">
        <v>8220</v>
      </c>
      <c r="D35" s="32" t="s">
        <v>8219</v>
      </c>
      <c r="E35" s="32" t="s">
        <v>8362</v>
      </c>
      <c r="F35" s="34" t="s">
        <v>8421</v>
      </c>
    </row>
    <row r="36" spans="1:6" x14ac:dyDescent="0.25">
      <c r="A36" s="30" t="s">
        <v>8374</v>
      </c>
      <c r="B36" s="9">
        <f>B6</f>
        <v>56</v>
      </c>
      <c r="C36" s="9">
        <f t="shared" ref="C36:E36" si="0">C6</f>
        <v>33</v>
      </c>
      <c r="D36" s="9">
        <f t="shared" si="0"/>
        <v>7</v>
      </c>
      <c r="E36" s="9">
        <f t="shared" si="0"/>
        <v>96</v>
      </c>
      <c r="F36" s="31">
        <f>B36/E36</f>
        <v>0.58333333333333337</v>
      </c>
    </row>
    <row r="37" spans="1:6" x14ac:dyDescent="0.25">
      <c r="A37" s="30" t="s">
        <v>8375</v>
      </c>
      <c r="B37" s="9">
        <f t="shared" ref="B37:E48" si="1">B7</f>
        <v>71</v>
      </c>
      <c r="C37" s="9">
        <f t="shared" si="1"/>
        <v>39</v>
      </c>
      <c r="D37" s="9">
        <f t="shared" si="1"/>
        <v>3</v>
      </c>
      <c r="E37" s="9">
        <f t="shared" si="1"/>
        <v>113</v>
      </c>
      <c r="F37" s="31">
        <f t="shared" ref="F37:F47" si="2">B37/E37</f>
        <v>0.62831858407079644</v>
      </c>
    </row>
    <row r="38" spans="1:6" x14ac:dyDescent="0.25">
      <c r="A38" s="30" t="s">
        <v>8376</v>
      </c>
      <c r="B38" s="9">
        <f t="shared" si="1"/>
        <v>56</v>
      </c>
      <c r="C38" s="9">
        <f t="shared" si="1"/>
        <v>33</v>
      </c>
      <c r="D38" s="9">
        <f t="shared" si="1"/>
        <v>3</v>
      </c>
      <c r="E38" s="9">
        <f t="shared" si="1"/>
        <v>92</v>
      </c>
      <c r="F38" s="31">
        <f t="shared" si="2"/>
        <v>0.60869565217391308</v>
      </c>
    </row>
    <row r="39" spans="1:6" x14ac:dyDescent="0.25">
      <c r="A39" s="30" t="s">
        <v>8377</v>
      </c>
      <c r="B39" s="9">
        <f t="shared" si="1"/>
        <v>71</v>
      </c>
      <c r="C39" s="9">
        <f t="shared" si="1"/>
        <v>40</v>
      </c>
      <c r="D39" s="9">
        <f t="shared" si="1"/>
        <v>2</v>
      </c>
      <c r="E39" s="9">
        <f t="shared" si="1"/>
        <v>113</v>
      </c>
      <c r="F39" s="31">
        <f t="shared" si="2"/>
        <v>0.62831858407079644</v>
      </c>
    </row>
    <row r="40" spans="1:6" x14ac:dyDescent="0.25">
      <c r="A40" s="30" t="s">
        <v>8368</v>
      </c>
      <c r="B40" s="9">
        <f t="shared" si="1"/>
        <v>111</v>
      </c>
      <c r="C40" s="9">
        <f t="shared" si="1"/>
        <v>52</v>
      </c>
      <c r="D40" s="9">
        <f t="shared" si="1"/>
        <v>3</v>
      </c>
      <c r="E40" s="9">
        <f t="shared" si="1"/>
        <v>166</v>
      </c>
      <c r="F40" s="31">
        <f t="shared" si="2"/>
        <v>0.66867469879518071</v>
      </c>
    </row>
    <row r="41" spans="1:6" x14ac:dyDescent="0.25">
      <c r="A41" s="30" t="s">
        <v>8378</v>
      </c>
      <c r="B41" s="9">
        <f t="shared" si="1"/>
        <v>100</v>
      </c>
      <c r="C41" s="9">
        <f t="shared" si="1"/>
        <v>49</v>
      </c>
      <c r="D41" s="9">
        <f t="shared" si="1"/>
        <v>4</v>
      </c>
      <c r="E41" s="9">
        <f t="shared" si="1"/>
        <v>153</v>
      </c>
      <c r="F41" s="31">
        <f t="shared" si="2"/>
        <v>0.65359477124183007</v>
      </c>
    </row>
    <row r="42" spans="1:6" x14ac:dyDescent="0.25">
      <c r="A42" s="30" t="s">
        <v>8369</v>
      </c>
      <c r="B42" s="9">
        <f t="shared" si="1"/>
        <v>87</v>
      </c>
      <c r="C42" s="9">
        <f t="shared" si="1"/>
        <v>50</v>
      </c>
      <c r="D42" s="9">
        <f t="shared" si="1"/>
        <v>1</v>
      </c>
      <c r="E42" s="9">
        <f t="shared" si="1"/>
        <v>138</v>
      </c>
      <c r="F42" s="31">
        <f t="shared" si="2"/>
        <v>0.63043478260869568</v>
      </c>
    </row>
    <row r="43" spans="1:6" x14ac:dyDescent="0.25">
      <c r="A43" s="30" t="s">
        <v>8370</v>
      </c>
      <c r="B43" s="9">
        <f t="shared" si="1"/>
        <v>72</v>
      </c>
      <c r="C43" s="9">
        <f t="shared" si="1"/>
        <v>47</v>
      </c>
      <c r="D43" s="9">
        <f t="shared" si="1"/>
        <v>4</v>
      </c>
      <c r="E43" s="9">
        <f t="shared" si="1"/>
        <v>123</v>
      </c>
      <c r="F43" s="31">
        <f t="shared" si="2"/>
        <v>0.58536585365853655</v>
      </c>
    </row>
    <row r="44" spans="1:6" x14ac:dyDescent="0.25">
      <c r="A44" s="30" t="s">
        <v>8371</v>
      </c>
      <c r="B44" s="9">
        <f t="shared" si="1"/>
        <v>59</v>
      </c>
      <c r="C44" s="9">
        <f t="shared" si="1"/>
        <v>34</v>
      </c>
      <c r="D44" s="9">
        <f t="shared" si="1"/>
        <v>4</v>
      </c>
      <c r="E44" s="9">
        <f t="shared" si="1"/>
        <v>97</v>
      </c>
      <c r="F44" s="31">
        <f t="shared" si="2"/>
        <v>0.60824742268041232</v>
      </c>
    </row>
    <row r="45" spans="1:6" x14ac:dyDescent="0.25">
      <c r="A45" s="30" t="s">
        <v>8372</v>
      </c>
      <c r="B45" s="9">
        <f t="shared" si="1"/>
        <v>65</v>
      </c>
      <c r="C45" s="9">
        <f t="shared" si="1"/>
        <v>50</v>
      </c>
      <c r="D45" s="9">
        <f t="shared" si="1"/>
        <v>0</v>
      </c>
      <c r="E45" s="9">
        <f t="shared" si="1"/>
        <v>115</v>
      </c>
      <c r="F45" s="31">
        <f t="shared" si="2"/>
        <v>0.56521739130434778</v>
      </c>
    </row>
    <row r="46" spans="1:6" x14ac:dyDescent="0.25">
      <c r="A46" s="30" t="s">
        <v>8373</v>
      </c>
      <c r="B46" s="9">
        <f t="shared" si="1"/>
        <v>54</v>
      </c>
      <c r="C46" s="9">
        <f t="shared" si="1"/>
        <v>31</v>
      </c>
      <c r="D46" s="9">
        <f t="shared" si="1"/>
        <v>3</v>
      </c>
      <c r="E46" s="9">
        <f t="shared" si="1"/>
        <v>88</v>
      </c>
      <c r="F46" s="31">
        <f t="shared" si="2"/>
        <v>0.61363636363636365</v>
      </c>
    </row>
    <row r="47" spans="1:6" x14ac:dyDescent="0.25">
      <c r="A47" s="30" t="s">
        <v>8379</v>
      </c>
      <c r="B47" s="9">
        <f t="shared" si="1"/>
        <v>37</v>
      </c>
      <c r="C47" s="9">
        <f t="shared" si="1"/>
        <v>35</v>
      </c>
      <c r="D47" s="9">
        <f t="shared" si="1"/>
        <v>3</v>
      </c>
      <c r="E47" s="9">
        <f t="shared" si="1"/>
        <v>75</v>
      </c>
      <c r="F47" s="31">
        <f t="shared" si="2"/>
        <v>0.49333333333333335</v>
      </c>
    </row>
    <row r="48" spans="1:6" x14ac:dyDescent="0.25">
      <c r="A48" s="33" t="s">
        <v>8362</v>
      </c>
      <c r="B48" s="36">
        <f t="shared" si="1"/>
        <v>839</v>
      </c>
      <c r="C48" s="36">
        <f t="shared" si="1"/>
        <v>493</v>
      </c>
      <c r="D48" s="36">
        <f t="shared" si="1"/>
        <v>37</v>
      </c>
      <c r="E48" s="36">
        <f t="shared" si="1"/>
        <v>1369</v>
      </c>
      <c r="F48" s="35">
        <f>B48/E48</f>
        <v>0.61285609934258578</v>
      </c>
    </row>
  </sheetData>
  <sortState xmlns:xlrd2="http://schemas.microsoft.com/office/spreadsheetml/2017/richdata2" columnSort="1" ref="A4:I19">
    <sortCondition ref="C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R53"/>
  <sheetViews>
    <sheetView tabSelected="1" zoomScale="145" zoomScaleNormal="145" workbookViewId="0">
      <selection activeCell="R18" sqref="R18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  <col min="10" max="10" width="18.5703125" bestFit="1" customWidth="1"/>
    <col min="11" max="11" width="18.140625" bestFit="1" customWidth="1"/>
    <col min="12" max="12" width="14.28515625" bestFit="1" customWidth="1"/>
    <col min="13" max="13" width="17.7109375" bestFit="1" customWidth="1"/>
    <col min="14" max="14" width="13.140625" bestFit="1" customWidth="1"/>
    <col min="15" max="15" width="20.85546875" bestFit="1" customWidth="1"/>
    <col min="16" max="16" width="17" bestFit="1" customWidth="1"/>
    <col min="17" max="17" width="20.42578125" bestFit="1" customWidth="1"/>
  </cols>
  <sheetData>
    <row r="1" spans="1:17" x14ac:dyDescent="0.25">
      <c r="A1" s="5" t="s">
        <v>8423</v>
      </c>
      <c r="B1" s="5" t="s">
        <v>8402</v>
      </c>
      <c r="C1" s="5" t="s">
        <v>8403</v>
      </c>
      <c r="D1" s="5" t="s">
        <v>8404</v>
      </c>
      <c r="E1" s="5" t="s">
        <v>8405</v>
      </c>
      <c r="F1" s="5" t="s">
        <v>8406</v>
      </c>
      <c r="G1" s="5" t="s">
        <v>8407</v>
      </c>
      <c r="H1" s="5" t="s">
        <v>8408</v>
      </c>
      <c r="J1" s="5" t="s">
        <v>8423</v>
      </c>
      <c r="K1" s="5" t="s">
        <v>8402</v>
      </c>
      <c r="L1" s="5" t="s">
        <v>8403</v>
      </c>
      <c r="M1" s="5" t="s">
        <v>8404</v>
      </c>
      <c r="N1" s="5" t="s">
        <v>8405</v>
      </c>
      <c r="O1" s="5" t="s">
        <v>8406</v>
      </c>
      <c r="P1" s="5" t="s">
        <v>8407</v>
      </c>
      <c r="Q1" s="5" t="s">
        <v>8408</v>
      </c>
    </row>
    <row r="2" spans="1:17" x14ac:dyDescent="0.25">
      <c r="A2" s="5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  <c r="J2" s="5" t="s">
        <v>8409</v>
      </c>
      <c r="K2">
        <f>COUNTIFS(Kickstarter!$D:$D,"&lt;1000",Kickstarter!$F:$F,"successful" )</f>
        <v>322</v>
      </c>
      <c r="L2">
        <f>COUNTIFS(Kickstarter!$D:$D,"&lt;1000",Kickstarter!$F:$F,"failed" )</f>
        <v>113</v>
      </c>
      <c r="M2">
        <f>COUNTIFS(Kickstarter!$D:$D,"&lt;1000",Kickstarter!$F:$F,"cancelled" )</f>
        <v>0</v>
      </c>
      <c r="N2">
        <f>SUM(K2,L2,M2)</f>
        <v>435</v>
      </c>
      <c r="O2" s="31">
        <f>K2/N2</f>
        <v>0.74022988505747123</v>
      </c>
      <c r="P2" s="31">
        <f>L2/N2</f>
        <v>0.25977011494252872</v>
      </c>
      <c r="Q2" s="31">
        <f>M2/N2</f>
        <v>0</v>
      </c>
    </row>
    <row r="3" spans="1:17" x14ac:dyDescent="0.25">
      <c r="A3" s="5" t="s">
        <v>8410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  <c r="J3" s="5" t="s">
        <v>8410</v>
      </c>
      <c r="K3">
        <f>COUNTIFS(Kickstarter!$D:$D,"&gt;=1000", Kickstarter!$D:$D,"&lt;5000",Kickstarter!$F:$F,"successful" )</f>
        <v>932</v>
      </c>
      <c r="L3">
        <f>COUNTIFS(Kickstarter!$D:$D,"&gt;=1000", Kickstarter!$D:$D,"&lt;5000",Kickstarter!$F:$F,"failed" )</f>
        <v>420</v>
      </c>
      <c r="M3">
        <f>COUNTIFS(Kickstarter!$D:$D,"&gt;=1000", Kickstarter!$D:$D,"&lt;5000",Kickstarter!$F:$F,"cancelled" )</f>
        <v>0</v>
      </c>
      <c r="N3">
        <f t="shared" ref="N3:N13" si="3">SUM(K3,L3,M3)</f>
        <v>1352</v>
      </c>
      <c r="O3" s="31">
        <f t="shared" ref="O3:O13" si="4">K3/N3</f>
        <v>0.68934911242603547</v>
      </c>
      <c r="P3" s="31">
        <f t="shared" ref="P3:P13" si="5">L3/N3</f>
        <v>0.31065088757396447</v>
      </c>
      <c r="Q3" s="31">
        <f t="shared" ref="Q3:Q13" si="6">M3/N3</f>
        <v>0</v>
      </c>
    </row>
    <row r="4" spans="1:17" x14ac:dyDescent="0.25">
      <c r="A4" s="5" t="s">
        <v>8411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7">C4/$E$4</f>
        <v>0.44970414201183434</v>
      </c>
      <c r="H4" s="31">
        <f t="shared" si="7"/>
        <v>0</v>
      </c>
      <c r="J4" s="5" t="s">
        <v>8411</v>
      </c>
      <c r="K4">
        <f>COUNTIFS(Kickstarter!$D:$D,"&gt;=5000", Kickstarter!$D:$D,"&lt;10000",Kickstarter!$F:$F,"successful" )</f>
        <v>381</v>
      </c>
      <c r="L4">
        <f>COUNTIFS(Kickstarter!$D:$D,"&gt;=5000", Kickstarter!$D:$D,"&lt;10000",Kickstarter!$F:$F,"failed" )</f>
        <v>283</v>
      </c>
      <c r="M4">
        <f>COUNTIFS(Kickstarter!$D:$D,"&gt;=5000", Kickstarter!$D:$D,"&lt;10000",Kickstarter!$F:$F,"cancelled" )</f>
        <v>0</v>
      </c>
      <c r="N4">
        <f t="shared" si="3"/>
        <v>664</v>
      </c>
      <c r="O4" s="31">
        <f t="shared" si="4"/>
        <v>0.5737951807228916</v>
      </c>
      <c r="P4" s="31">
        <f t="shared" si="5"/>
        <v>0.42620481927710846</v>
      </c>
      <c r="Q4" s="31">
        <f t="shared" si="6"/>
        <v>0</v>
      </c>
    </row>
    <row r="5" spans="1:17" x14ac:dyDescent="0.25">
      <c r="A5" s="5" t="s">
        <v>8412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8">C5/$E$5</f>
        <v>0.45833333333333331</v>
      </c>
      <c r="H5" s="31">
        <f t="shared" si="8"/>
        <v>0</v>
      </c>
      <c r="J5" s="5" t="s">
        <v>8412</v>
      </c>
      <c r="K5">
        <f>COUNTIFS(Kickstarter!$D:$D,"&gt;=10000", Kickstarter!$D:$D,"&lt;15000",Kickstarter!$F:$F,"successful" )</f>
        <v>168</v>
      </c>
      <c r="L5">
        <f>COUNTIFS(Kickstarter!$D:$D,"&gt;=10000", Kickstarter!$D:$D,"&lt;15000",Kickstarter!$F:$F,"failed" )</f>
        <v>144</v>
      </c>
      <c r="M5">
        <f>COUNTIFS(Kickstarter!$D:$D,"&gt;=10000", Kickstarter!$D:$D,"&lt;15000",Kickstarter!$F:$F,"cancelled" )</f>
        <v>0</v>
      </c>
      <c r="N5">
        <f t="shared" si="3"/>
        <v>312</v>
      </c>
      <c r="O5" s="31">
        <f t="shared" si="4"/>
        <v>0.53846153846153844</v>
      </c>
      <c r="P5" s="31">
        <f t="shared" si="5"/>
        <v>0.46153846153846156</v>
      </c>
      <c r="Q5" s="31">
        <f t="shared" si="6"/>
        <v>0</v>
      </c>
    </row>
    <row r="6" spans="1:17" x14ac:dyDescent="0.25">
      <c r="A6" s="5" t="s">
        <v>8413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9">C6/$E$6</f>
        <v>0.5</v>
      </c>
      <c r="H6" s="31">
        <f t="shared" si="9"/>
        <v>0</v>
      </c>
      <c r="J6" s="5" t="s">
        <v>8413</v>
      </c>
      <c r="K6">
        <f>COUNTIFS(Kickstarter!$D:$D,"&gt;=15000", Kickstarter!$D:$D,"&lt;20000",Kickstarter!$F:$F,"successful" )</f>
        <v>94</v>
      </c>
      <c r="L6">
        <f>COUNTIFS(Kickstarter!$D:$D,"&gt;=15000", Kickstarter!$D:$D,"&lt;20000",Kickstarter!$F:$F,"failed" )</f>
        <v>90</v>
      </c>
      <c r="M6">
        <f>COUNTIFS(Kickstarter!$D:$D,"&gt;=15000", Kickstarter!$D:$D,"&lt;20000",Kickstarter!$F:$F,"cancelled" )</f>
        <v>0</v>
      </c>
      <c r="N6">
        <f t="shared" si="3"/>
        <v>184</v>
      </c>
      <c r="O6" s="31">
        <f t="shared" si="4"/>
        <v>0.51086956521739135</v>
      </c>
      <c r="P6" s="31">
        <f t="shared" si="5"/>
        <v>0.4891304347826087</v>
      </c>
      <c r="Q6" s="31">
        <f t="shared" si="6"/>
        <v>0</v>
      </c>
    </row>
    <row r="7" spans="1:17" x14ac:dyDescent="0.25">
      <c r="A7" s="5" t="s">
        <v>8414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10">C7/$E$7</f>
        <v>0.55000000000000004</v>
      </c>
      <c r="H7" s="31">
        <f t="shared" si="10"/>
        <v>0</v>
      </c>
      <c r="J7" s="5" t="s">
        <v>8414</v>
      </c>
      <c r="K7">
        <f>COUNTIFS(Kickstarter!$D:$D,"&gt;=20000", Kickstarter!$D:$D,"&lt;25000",Kickstarter!$F:$F,"successful" )</f>
        <v>62</v>
      </c>
      <c r="L7">
        <f>COUNTIFS(Kickstarter!$D:$D,"&gt;=20000", Kickstarter!$D:$D,"&lt;25000",Kickstarter!$F:$F,"failed" )</f>
        <v>72</v>
      </c>
      <c r="M7">
        <f>COUNTIFS(Kickstarter!$D:$D,"&gt;=20000", Kickstarter!$D:$D,"&lt;25000",Kickstarter!$F:$F,"cancelled" )</f>
        <v>0</v>
      </c>
      <c r="N7">
        <f t="shared" si="3"/>
        <v>134</v>
      </c>
      <c r="O7" s="31">
        <f t="shared" si="4"/>
        <v>0.46268656716417911</v>
      </c>
      <c r="P7" s="31">
        <f t="shared" si="5"/>
        <v>0.53731343283582089</v>
      </c>
      <c r="Q7" s="31">
        <f t="shared" si="6"/>
        <v>0</v>
      </c>
    </row>
    <row r="8" spans="1:17" x14ac:dyDescent="0.25">
      <c r="A8" s="5" t="s">
        <v>8415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11">C8/$E$8</f>
        <v>0.77777777777777779</v>
      </c>
      <c r="H8" s="31">
        <f t="shared" si="11"/>
        <v>0</v>
      </c>
      <c r="J8" s="5" t="s">
        <v>8415</v>
      </c>
      <c r="K8">
        <f>COUNTIFS(Kickstarter!$D:$D,"&gt;=25000", Kickstarter!$D:$D,"30000",Kickstarter!$F:$F,"successful" )</f>
        <v>26</v>
      </c>
      <c r="L8">
        <f>COUNTIFS(Kickstarter!$D:$D,"&gt;=25000", Kickstarter!$D:$D,"30000",Kickstarter!$F:$F,"failed" )</f>
        <v>31</v>
      </c>
      <c r="M8">
        <f>COUNTIFS(Kickstarter!$D:$D,"&gt;=25000", Kickstarter!$D:$D,"30000",Kickstarter!$F:$F,"cancelled" )</f>
        <v>0</v>
      </c>
      <c r="N8">
        <f t="shared" si="3"/>
        <v>57</v>
      </c>
      <c r="O8" s="31">
        <f t="shared" si="4"/>
        <v>0.45614035087719296</v>
      </c>
      <c r="P8" s="31">
        <f t="shared" si="5"/>
        <v>0.54385964912280704</v>
      </c>
      <c r="Q8" s="31">
        <f t="shared" si="6"/>
        <v>0</v>
      </c>
    </row>
    <row r="9" spans="1:17" x14ac:dyDescent="0.25">
      <c r="A9" s="5" t="s">
        <v>8416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12">C9/$E$9</f>
        <v>0.72727272727272729</v>
      </c>
      <c r="H9" s="31">
        <f t="shared" si="12"/>
        <v>0</v>
      </c>
      <c r="J9" s="5" t="s">
        <v>8416</v>
      </c>
      <c r="K9">
        <f>COUNTIFS(Kickstarter!$D:$D,"&gt;=30000", Kickstarter!$D:$D,"&lt;35000",Kickstarter!$F:$F,"successful")</f>
        <v>32</v>
      </c>
      <c r="L9">
        <f>COUNTIFS(Kickstarter!$D:$D,"&gt;=30000", Kickstarter!$D:$D,"&lt;35000",Kickstarter!$F:$F,"failed" )</f>
        <v>37</v>
      </c>
      <c r="M9">
        <f>COUNTIFS(Kickstarter!$D:$D,"&gt;=30000", Kickstarter!$D:$D,"&lt;35000",Kickstarter!$F:$F,"cancelled" )</f>
        <v>0</v>
      </c>
      <c r="N9">
        <f t="shared" si="3"/>
        <v>69</v>
      </c>
      <c r="O9" s="31">
        <f t="shared" si="4"/>
        <v>0.46376811594202899</v>
      </c>
      <c r="P9" s="31">
        <f t="shared" si="5"/>
        <v>0.53623188405797106</v>
      </c>
      <c r="Q9" s="31">
        <f t="shared" si="6"/>
        <v>0</v>
      </c>
    </row>
    <row r="10" spans="1:17" x14ac:dyDescent="0.25">
      <c r="A10" s="5" t="s">
        <v>8417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13">C10/$E$10</f>
        <v>0.33333333333333331</v>
      </c>
      <c r="H10" s="31">
        <f t="shared" si="13"/>
        <v>0</v>
      </c>
      <c r="J10" s="5" t="s">
        <v>8417</v>
      </c>
      <c r="K10">
        <f>COUNTIFS(Kickstarter!$D:$D,"&gt;=35000", Kickstarter!$D:$D,"&lt;40000",Kickstarter!$F:$F,"successful")</f>
        <v>26</v>
      </c>
      <c r="L10">
        <f>COUNTIFS(Kickstarter!$D:$D,"&gt;=35000", Kickstarter!$D:$D,"&lt;40000",Kickstarter!$F:$F,"failed")</f>
        <v>22</v>
      </c>
      <c r="M10">
        <f>COUNTIFS(Kickstarter!$D:$D,"&gt;=35000", Kickstarter!$D:$D,"&lt;40000",Kickstarter!$F:$F,"cancelled" )</f>
        <v>0</v>
      </c>
      <c r="N10">
        <f t="shared" si="3"/>
        <v>48</v>
      </c>
      <c r="O10" s="31">
        <f t="shared" si="4"/>
        <v>0.54166666666666663</v>
      </c>
      <c r="P10" s="31">
        <f t="shared" si="5"/>
        <v>0.45833333333333331</v>
      </c>
      <c r="Q10" s="31">
        <f t="shared" si="6"/>
        <v>0</v>
      </c>
    </row>
    <row r="11" spans="1:17" x14ac:dyDescent="0.25">
      <c r="A11" s="5" t="s">
        <v>8418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4">C11/$E$11</f>
        <v>0.33333333333333331</v>
      </c>
      <c r="H11" s="31">
        <f t="shared" si="14"/>
        <v>0</v>
      </c>
      <c r="J11" s="5" t="s">
        <v>8418</v>
      </c>
      <c r="K11">
        <f>COUNTIFS(Kickstarter!$D:$D,"&gt;=40000", Kickstarter!$D:$D,"&lt;45000",Kickstarter!$F:$F,"successful")</f>
        <v>21</v>
      </c>
      <c r="L11">
        <f>COUNTIFS(Kickstarter!$D:$D,"&gt;=40000", Kickstarter!$D:$D,"&lt;45000",Kickstarter!$F:$F,"failed")</f>
        <v>16</v>
      </c>
      <c r="M11">
        <f>COUNTIFS(Kickstarter!$D:$D,"&gt;=40000", Kickstarter!$D:$D,"&lt;45000",Kickstarter!$F:$F,"cancelled" )</f>
        <v>0</v>
      </c>
      <c r="N11">
        <f t="shared" si="3"/>
        <v>37</v>
      </c>
      <c r="O11" s="31">
        <f t="shared" si="4"/>
        <v>0.56756756756756754</v>
      </c>
      <c r="P11" s="31">
        <f t="shared" si="5"/>
        <v>0.43243243243243246</v>
      </c>
      <c r="Q11" s="31">
        <f t="shared" si="6"/>
        <v>0</v>
      </c>
    </row>
    <row r="12" spans="1:17" x14ac:dyDescent="0.25">
      <c r="A12" s="5" t="s">
        <v>8419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5">C12/$E$12</f>
        <v>1</v>
      </c>
      <c r="H12" s="31">
        <f t="shared" si="15"/>
        <v>0</v>
      </c>
      <c r="J12" s="5" t="s">
        <v>8419</v>
      </c>
      <c r="K12">
        <f>COUNTIFS(Kickstarter!$D:$D,"&gt;=45000", Kickstarter!$D:$D,"&lt;50000",Kickstarter!$F:$F,"successful" )</f>
        <v>6</v>
      </c>
      <c r="L12">
        <f>COUNTIFS(Kickstarter!$D:$D,"&gt;=45000", Kickstarter!$D:$D,"&lt;50000",Kickstarter!$F:$F,"failed" )</f>
        <v>11</v>
      </c>
      <c r="M12">
        <f>COUNTIFS(Kickstarter!$D:$D,"&gt;=45000", Kickstarter!$D:$D,"&lt;50000",Kickstarter!$F:$F,"cancelled" )</f>
        <v>0</v>
      </c>
      <c r="N12">
        <f t="shared" si="3"/>
        <v>17</v>
      </c>
      <c r="O12" s="31">
        <f t="shared" si="4"/>
        <v>0.35294117647058826</v>
      </c>
      <c r="P12" s="31">
        <f t="shared" si="5"/>
        <v>0.6470588235294118</v>
      </c>
      <c r="Q12" s="31">
        <f t="shared" si="6"/>
        <v>0</v>
      </c>
    </row>
    <row r="13" spans="1:17" x14ac:dyDescent="0.25">
      <c r="A13" s="5" t="s">
        <v>8420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6">C13/$E$13</f>
        <v>0.83333333333333337</v>
      </c>
      <c r="H13" s="31">
        <f t="shared" si="16"/>
        <v>0</v>
      </c>
      <c r="J13" s="5" t="s">
        <v>8420</v>
      </c>
      <c r="K13">
        <f>COUNTIFS(Kickstarter!$D:$D,"&gt;50000",Kickstarter!$F:$F,"successful" )</f>
        <v>55</v>
      </c>
      <c r="L13">
        <f>COUNTIFS(Kickstarter!$D:$D,"&gt;50000",Kickstarter!$F:$F,"failed" )</f>
        <v>198</v>
      </c>
      <c r="M13">
        <f>COUNTIFS(Kickstarter!$D:$D,"&gt;50000",Kickstarter!$F:$F,"cancelled" )</f>
        <v>0</v>
      </c>
      <c r="N13">
        <f t="shared" si="3"/>
        <v>253</v>
      </c>
      <c r="O13" s="31">
        <f t="shared" si="4"/>
        <v>0.21739130434782608</v>
      </c>
      <c r="P13" s="31">
        <f t="shared" si="5"/>
        <v>0.78260869565217395</v>
      </c>
      <c r="Q13" s="31">
        <f t="shared" si="6"/>
        <v>0</v>
      </c>
    </row>
    <row r="17" spans="18:18" x14ac:dyDescent="0.25">
      <c r="R17" s="31">
        <f>AVERAGE(O4:O11)</f>
        <v>0.51436944407743201</v>
      </c>
    </row>
    <row r="41" spans="1:8" x14ac:dyDescent="0.25">
      <c r="A41" s="5" t="s">
        <v>8423</v>
      </c>
      <c r="B41" s="5" t="s">
        <v>8402</v>
      </c>
      <c r="C41" s="5" t="s">
        <v>8403</v>
      </c>
      <c r="D41" s="5" t="s">
        <v>8404</v>
      </c>
      <c r="E41" s="5" t="s">
        <v>8405</v>
      </c>
      <c r="F41" s="5" t="s">
        <v>8406</v>
      </c>
      <c r="G41" s="5" t="s">
        <v>8407</v>
      </c>
      <c r="H41" s="5" t="s">
        <v>8408</v>
      </c>
    </row>
    <row r="42" spans="1:8" x14ac:dyDescent="0.25">
      <c r="A42" s="5" t="s">
        <v>8409</v>
      </c>
      <c r="B42">
        <f>COUNTIFS(Kickstarter!$D:$D,"&lt;1000",Kickstarter!$F:$F,"successful",Kickstarter!$Q:$Q,"theater")</f>
        <v>159</v>
      </c>
      <c r="C42">
        <f>COUNTIFS(Kickstarter!$D:$D,"&lt;1000",Kickstarter!$F:$F,"failed",Kickstarter!$Q:$Q,"theater")</f>
        <v>53</v>
      </c>
      <c r="D42">
        <f>COUNTIFS(Kickstarter!$D:$D,"&lt;1000",Kickstarter!$F:$F,"cancelled",Kickstarter!$Q:$Q,"theater")</f>
        <v>0</v>
      </c>
      <c r="E42">
        <f>SUM(B42,C42,D42)</f>
        <v>212</v>
      </c>
      <c r="F42" s="31">
        <f>B42/E42</f>
        <v>0.75</v>
      </c>
      <c r="G42" s="31">
        <f>C42/E42</f>
        <v>0.25</v>
      </c>
      <c r="H42" s="31">
        <f>D42/E42</f>
        <v>0</v>
      </c>
    </row>
    <row r="43" spans="1:8" x14ac:dyDescent="0.25">
      <c r="A43" s="5" t="s">
        <v>8410</v>
      </c>
      <c r="B43">
        <f>COUNTIFS(Kickstarter!$D:$D,"&gt;=1000", Kickstarter!$D:$D,"&lt;5000",Kickstarter!$F:$F,"successful",Kickstarter!$Q:$Q,"theater")</f>
        <v>446</v>
      </c>
      <c r="C43">
        <f>COUNTIFS(Kickstarter!$D:$D,"&gt;=1000", Kickstarter!$D:$D,"&lt;5000",Kickstarter!$F:$F,"failed",Kickstarter!$Q:$Q,"theater")</f>
        <v>176</v>
      </c>
      <c r="D43">
        <f>COUNTIFS(Kickstarter!$D:$D,"&gt;=1000", Kickstarter!$D:$D,"&lt;5000",Kickstarter!$F:$F,"cancelled",Kickstarter!$Q:$Q,"theater")</f>
        <v>0</v>
      </c>
      <c r="E43">
        <f t="shared" ref="E43:E53" si="17">SUM(B43,C43,D43)</f>
        <v>622</v>
      </c>
      <c r="F43" s="31">
        <f t="shared" ref="F43:F53" si="18">B43/E43</f>
        <v>0.71704180064308687</v>
      </c>
      <c r="G43" s="31">
        <f t="shared" ref="G43:G53" si="19">C43/E43</f>
        <v>0.28295819935691319</v>
      </c>
      <c r="H43" s="31">
        <f t="shared" ref="H43:H53" si="20">D43/E43</f>
        <v>0</v>
      </c>
    </row>
    <row r="44" spans="1:8" x14ac:dyDescent="0.25">
      <c r="A44" s="5" t="s">
        <v>8411</v>
      </c>
      <c r="B44">
        <f>COUNTIFS(Kickstarter!$D:$D,"&gt;=5000", Kickstarter!$D:$D,"&lt;10000",Kickstarter!$F:$F,"successful",Kickstarter!$Q:$Q,"theater")</f>
        <v>120</v>
      </c>
      <c r="C44">
        <f>COUNTIFS(Kickstarter!$D:$D,"&gt;=5000", Kickstarter!$D:$D,"&lt;10000",Kickstarter!$F:$F,"failed",Kickstarter!$Q:$Q,"theater")</f>
        <v>94</v>
      </c>
      <c r="D44">
        <f>COUNTIFS(Kickstarter!$D:$D,"&gt;=5000", Kickstarter!$D:$D,"&lt;10000",Kickstarter!$F:$F,"cancelled",Kickstarter!$Q:$Q,"theater")</f>
        <v>0</v>
      </c>
      <c r="E44">
        <f t="shared" si="17"/>
        <v>214</v>
      </c>
      <c r="F44" s="31">
        <f t="shared" si="18"/>
        <v>0.56074766355140182</v>
      </c>
      <c r="G44" s="31">
        <f t="shared" si="19"/>
        <v>0.43925233644859812</v>
      </c>
      <c r="H44" s="31">
        <f t="shared" si="20"/>
        <v>0</v>
      </c>
    </row>
    <row r="45" spans="1:8" x14ac:dyDescent="0.25">
      <c r="A45" s="5" t="s">
        <v>8412</v>
      </c>
      <c r="B45">
        <f>COUNTIFS(Kickstarter!$D:$D,"&gt;=10000", Kickstarter!$D:$D,"&lt;15000",Kickstarter!$F:$F,"successful",Kickstarter!$Q:$Q,"theater")</f>
        <v>50</v>
      </c>
      <c r="C45">
        <f>COUNTIFS(Kickstarter!$D:$D,"&gt;=10000", Kickstarter!$D:$D,"&lt;15000",Kickstarter!$F:$F,"failed",Kickstarter!$Q:$Q,"theater")</f>
        <v>53</v>
      </c>
      <c r="D45">
        <f>COUNTIFS(Kickstarter!$D:$D,"&gt;=10000", Kickstarter!$D:$D,"&lt;15000",Kickstarter!$F:$F,"cancelled",Kickstarter!$Q:$Q,"theater")</f>
        <v>0</v>
      </c>
      <c r="E45">
        <f t="shared" si="17"/>
        <v>103</v>
      </c>
      <c r="F45" s="31">
        <f t="shared" si="18"/>
        <v>0.4854368932038835</v>
      </c>
      <c r="G45" s="31">
        <f t="shared" si="19"/>
        <v>0.5145631067961165</v>
      </c>
      <c r="H45" s="31">
        <f t="shared" si="20"/>
        <v>0</v>
      </c>
    </row>
    <row r="46" spans="1:8" x14ac:dyDescent="0.25">
      <c r="A46" s="5" t="s">
        <v>8413</v>
      </c>
      <c r="B46">
        <f>COUNTIFS(Kickstarter!$D:$D,"&gt;=15000", Kickstarter!$D:$D,"&lt;20000",Kickstarter!$F:$F,"successful",Kickstarter!$Q:$Q,"theater")</f>
        <v>17</v>
      </c>
      <c r="C46">
        <f>COUNTIFS(Kickstarter!$D:$D,"&gt;=15000", Kickstarter!$D:$D,"&lt;20000",Kickstarter!$F:$F,"failed",Kickstarter!$Q:$Q,"theater")</f>
        <v>18</v>
      </c>
      <c r="D46">
        <f>COUNTIFS(Kickstarter!$D:$D,"&gt;=15000", Kickstarter!$D:$D,"&lt;20000",Kickstarter!$F:$F,"cancelled",Kickstarter!$Q:$Q,"theater")</f>
        <v>0</v>
      </c>
      <c r="E46">
        <f t="shared" si="17"/>
        <v>35</v>
      </c>
      <c r="F46" s="31">
        <f t="shared" si="18"/>
        <v>0.48571428571428571</v>
      </c>
      <c r="G46" s="31">
        <f t="shared" si="19"/>
        <v>0.51428571428571423</v>
      </c>
      <c r="H46" s="31">
        <f t="shared" si="20"/>
        <v>0</v>
      </c>
    </row>
    <row r="47" spans="1:8" x14ac:dyDescent="0.25">
      <c r="A47" s="5" t="s">
        <v>8414</v>
      </c>
      <c r="B47">
        <f>COUNTIFS(Kickstarter!$D:$D,"&gt;=20000", Kickstarter!$D:$D,"&lt;25000",Kickstarter!$F:$F,"successful",Kickstarter!$Q:$Q,"theater")</f>
        <v>13</v>
      </c>
      <c r="C47">
        <f>COUNTIFS(Kickstarter!$D:$D,"&gt;=20000", Kickstarter!$D:$D,"&lt;25000",Kickstarter!$F:$F,"failed",Kickstarter!$Q:$Q,"theater")</f>
        <v>20</v>
      </c>
      <c r="D47">
        <f>COUNTIFS(Kickstarter!$D:$D,"&gt;=20000", Kickstarter!$D:$D,"&lt;25000",Kickstarter!$F:$F,"cancelled",Kickstarter!$Q:$Q,"theater")</f>
        <v>0</v>
      </c>
      <c r="E47">
        <f t="shared" si="17"/>
        <v>33</v>
      </c>
      <c r="F47" s="31">
        <f t="shared" si="18"/>
        <v>0.39393939393939392</v>
      </c>
      <c r="G47" s="31">
        <f t="shared" si="19"/>
        <v>0.60606060606060608</v>
      </c>
      <c r="H47" s="31">
        <f t="shared" si="20"/>
        <v>0</v>
      </c>
    </row>
    <row r="48" spans="1:8" x14ac:dyDescent="0.25">
      <c r="A48" s="5" t="s">
        <v>8415</v>
      </c>
      <c r="B48">
        <f>COUNTIFS(Kickstarter!$D:$D,"&gt;=25000", Kickstarter!$D:$D,"30000",Kickstarter!$F:$F,"successful",Kickstarter!$Q:$Q,"theater")</f>
        <v>3</v>
      </c>
      <c r="C48">
        <f>COUNTIFS(Kickstarter!$D:$D,"&gt;=25000", Kickstarter!$D:$D,"30000",Kickstarter!$F:$F,"failed",Kickstarter!$Q:$Q,"theater")</f>
        <v>8</v>
      </c>
      <c r="D48">
        <f>COUNTIFS(Kickstarter!$D:$D,"&gt;=25000", Kickstarter!$D:$D,"30000",Kickstarter!$F:$F,"cancelled",Kickstarter!$Q:$Q,"theater")</f>
        <v>0</v>
      </c>
      <c r="E48">
        <f t="shared" si="17"/>
        <v>11</v>
      </c>
      <c r="F48" s="31">
        <f t="shared" si="18"/>
        <v>0.27272727272727271</v>
      </c>
      <c r="G48" s="31">
        <f t="shared" si="19"/>
        <v>0.72727272727272729</v>
      </c>
      <c r="H48" s="31">
        <f t="shared" si="20"/>
        <v>0</v>
      </c>
    </row>
    <row r="49" spans="1:8" x14ac:dyDescent="0.25">
      <c r="A49" s="5" t="s">
        <v>8416</v>
      </c>
      <c r="B49">
        <f>COUNTIFS(Kickstarter!$D:$D,"&gt;=30000", Kickstarter!$D:$D,"&lt;35000",Kickstarter!$F:$F,"successful",Kickstarter!$Q:$Q,"theater")</f>
        <v>4</v>
      </c>
      <c r="C49">
        <f>COUNTIFS(Kickstarter!$D:$D,"&gt;=30000", Kickstarter!$D:$D,"&lt;35000",Kickstarter!$F:$F,"failed",Kickstarter!$Q:$Q,"theater")</f>
        <v>9</v>
      </c>
      <c r="D49">
        <f>COUNTIFS(Kickstarter!$D:$D,"&gt;=30000", Kickstarter!$D:$D,"&lt;35000",Kickstarter!$F:$F,"cancelled",Kickstarter!$Q:$Q,"theater")</f>
        <v>0</v>
      </c>
      <c r="E49">
        <f t="shared" si="17"/>
        <v>13</v>
      </c>
      <c r="F49" s="31">
        <f t="shared" si="18"/>
        <v>0.30769230769230771</v>
      </c>
      <c r="G49" s="31">
        <f t="shared" si="19"/>
        <v>0.69230769230769229</v>
      </c>
      <c r="H49" s="31">
        <f t="shared" si="20"/>
        <v>0</v>
      </c>
    </row>
    <row r="50" spans="1:8" x14ac:dyDescent="0.25">
      <c r="A50" s="5" t="s">
        <v>8417</v>
      </c>
      <c r="B50">
        <f>COUNTIFS(Kickstarter!$D:$D,"&gt;=35000", Kickstarter!$D:$D,"&lt;40000",Kickstarter!$F:$F,"successful",Kickstarter!$Q:$Q,"theater")</f>
        <v>6</v>
      </c>
      <c r="C50">
        <f>COUNTIFS(Kickstarter!$D:$D,"&gt;=35000", Kickstarter!$D:$D,"&lt;40000",Kickstarter!$F:$F,"failed",Kickstarter!$Q:$Q,"theater")</f>
        <v>2</v>
      </c>
      <c r="D50">
        <f>COUNTIFS(Kickstarter!$D:$D,"&gt;=35000", Kickstarter!$D:$D,"&lt;40000",Kickstarter!$F:$F,"cancelled",Kickstarter!$Q:$Q,"theater")</f>
        <v>0</v>
      </c>
      <c r="E50">
        <f t="shared" si="17"/>
        <v>8</v>
      </c>
      <c r="F50" s="31">
        <f t="shared" si="18"/>
        <v>0.75</v>
      </c>
      <c r="G50" s="31">
        <f t="shared" si="19"/>
        <v>0.25</v>
      </c>
      <c r="H50" s="31">
        <f t="shared" si="20"/>
        <v>0</v>
      </c>
    </row>
    <row r="51" spans="1:8" x14ac:dyDescent="0.25">
      <c r="A51" s="5" t="s">
        <v>8418</v>
      </c>
      <c r="B51">
        <f>COUNTIFS(Kickstarter!$D:$D,"&gt;=40000", Kickstarter!$D:$D,"&lt;45000",Kickstarter!$F:$F,"successful",Kickstarter!$Q:$Q,"theater")</f>
        <v>4</v>
      </c>
      <c r="C51">
        <f>COUNTIFS(Kickstarter!$D:$D,"&gt;=40000", Kickstarter!$D:$D,"&lt;45000",Kickstarter!$F:$F,"failed",Kickstarter!$Q:$Q,"theater")</f>
        <v>2</v>
      </c>
      <c r="D51">
        <f>COUNTIFS(Kickstarter!$D:$D,"&gt;=40000", Kickstarter!$D:$D,"&lt;45000",Kickstarter!$F:$F,"cancelled",Kickstarter!$Q:$Q,"theater")</f>
        <v>0</v>
      </c>
      <c r="E51">
        <f t="shared" si="17"/>
        <v>6</v>
      </c>
      <c r="F51" s="31">
        <f t="shared" si="18"/>
        <v>0.66666666666666663</v>
      </c>
      <c r="G51" s="31">
        <f t="shared" si="19"/>
        <v>0.33333333333333331</v>
      </c>
      <c r="H51" s="31">
        <f t="shared" si="20"/>
        <v>0</v>
      </c>
    </row>
    <row r="52" spans="1:8" x14ac:dyDescent="0.25">
      <c r="A52" s="5" t="s">
        <v>8419</v>
      </c>
      <c r="B52">
        <f>COUNTIFS(Kickstarter!$D:$D,"&gt;=45000", Kickstarter!$D:$D,"&lt;50000",Kickstarter!$F:$F,"successful",Kickstarter!$Q:$Q,"theater")</f>
        <v>1</v>
      </c>
      <c r="C52">
        <f>COUNTIFS(Kickstarter!$D:$D,"&gt;=45000", Kickstarter!$D:$D,"&lt;50000",Kickstarter!$F:$F,"failed",Kickstarter!$Q:$Q,"theater")</f>
        <v>2</v>
      </c>
      <c r="D52">
        <f>COUNTIFS(Kickstarter!$D:$D,"&gt;=45000", Kickstarter!$D:$D,"&lt;50000",Kickstarter!$F:$F,"cancelled",Kickstarter!$Q:$Q,"theater")</f>
        <v>0</v>
      </c>
      <c r="E52">
        <f t="shared" si="17"/>
        <v>3</v>
      </c>
      <c r="F52" s="31">
        <f t="shared" si="18"/>
        <v>0.33333333333333331</v>
      </c>
      <c r="G52" s="31">
        <f t="shared" si="19"/>
        <v>0.66666666666666663</v>
      </c>
      <c r="H52" s="31">
        <f t="shared" si="20"/>
        <v>0</v>
      </c>
    </row>
    <row r="53" spans="1:8" x14ac:dyDescent="0.25">
      <c r="A53" s="5" t="s">
        <v>8420</v>
      </c>
      <c r="B53">
        <f>COUNTIFS(Kickstarter!$D:$D,"&gt;50000",Kickstarter!$F:$F,"successful",Kickstarter!$Q:$Q,"theater")</f>
        <v>6</v>
      </c>
      <c r="C53">
        <f>COUNTIFS(Kickstarter!$D:$D,"&gt;50000",Kickstarter!$F:$F,"failed",Kickstarter!$Q:$Q,"theater")</f>
        <v>40</v>
      </c>
      <c r="D53">
        <f>COUNTIFS(Kickstarter!$D:$D,"&gt;50000",Kickstarter!$F:$F,"cancelled",Kickstarter!$Q:$Q,"theater")</f>
        <v>0</v>
      </c>
      <c r="E53">
        <f t="shared" si="17"/>
        <v>46</v>
      </c>
      <c r="F53" s="31">
        <f t="shared" si="18"/>
        <v>0.13043478260869565</v>
      </c>
      <c r="G53" s="31">
        <f t="shared" si="19"/>
        <v>0.86956521739130432</v>
      </c>
      <c r="H53" s="31">
        <f t="shared" si="2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414" activePane="bottomLeft" state="frozen"/>
      <selection pane="bottomLeft" activeCell="N522" sqref="N522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hidden="1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hidden="1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hidden="1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hidden="1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hidden="1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hidden="1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hidden="1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hidden="1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hidden="1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hidden="1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hidden="1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hidden="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hidden="1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hidden="1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hidden="1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hidden="1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hidden="1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hidden="1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hidden="1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hidden="1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hidden="1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hidden="1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hidden="1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hidden="1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hidden="1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hidden="1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hidden="1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hidden="1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hidden="1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hidden="1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hidden="1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hidden="1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hidden="1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hidden="1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hidden="1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hidden="1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hidden="1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hidden="1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hidden="1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hidden="1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hidden="1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hidden="1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hidden="1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hidden="1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hidden="1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hidden="1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hidden="1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hidden="1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hidden="1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hidden="1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hidden="1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hidden="1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hidden="1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hidden="1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hidden="1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hidden="1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hidden="1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hidden="1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hidden="1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hidden="1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hidden="1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hidden="1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hidden="1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hidden="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hidden="1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hidden="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hidden="1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hidden="1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hidden="1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hidden="1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hidden="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hidden="1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hidden="1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hidden="1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hidden="1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hidden="1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hidden="1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hidden="1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hidden="1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hidden="1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hidden="1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hidden="1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hidden="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hidden="1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hidden="1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hidden="1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hidden="1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hidden="1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hidden="1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hidden="1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hidden="1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hidden="1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hidden="1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hidden="1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hidden="1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hidden="1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hidden="1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hidden="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hidden="1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hidden="1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hidden="1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hidden="1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hidden="1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hidden="1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hidden="1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hidden="1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hidden="1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hidden="1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hidden="1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hidden="1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hidden="1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hidden="1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hidden="1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hidden="1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hidden="1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hidden="1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hidden="1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hidden="1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hidden="1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hidden="1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hidden="1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hidden="1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hidden="1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hidden="1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hidden="1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hidden="1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hidden="1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hidden="1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hidden="1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hidden="1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hidden="1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hidden="1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hidden="1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hidden="1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hidden="1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hidden="1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hidden="1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hidden="1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hidden="1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hidden="1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hidden="1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hidden="1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hidden="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hidden="1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hidden="1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hidden="1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hidden="1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hidden="1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hidden="1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hidden="1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hidden="1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hidden="1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hidden="1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hidden="1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hidden="1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hidden="1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hidden="1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hidden="1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hidden="1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hidden="1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hidden="1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hidden="1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hidden="1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hidden="1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hidden="1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hidden="1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hidden="1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hidden="1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hidden="1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hidden="1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hidden="1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hidden="1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hidden="1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hidden="1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hidden="1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hidden="1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hidden="1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hidden="1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hidden="1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hidden="1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hidden="1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hidden="1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hidden="1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hidden="1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hidden="1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hidden="1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hidden="1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hidden="1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hidden="1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hidden="1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hidden="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hidden="1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hidden="1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hidden="1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hidden="1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hidden="1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hidden="1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hidden="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hidden="1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hidden="1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hidden="1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hidden="1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hidden="1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hidden="1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hidden="1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hidden="1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hidden="1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hidden="1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hidden="1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hidden="1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hidden="1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hidden="1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hidden="1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hidden="1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hidden="1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hidden="1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hidden="1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hidden="1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hidden="1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hidden="1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hidden="1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hidden="1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hidden="1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hidden="1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hidden="1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hidden="1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hidden="1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hidden="1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hidden="1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hidden="1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hidden="1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hidden="1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hidden="1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hidden="1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hidden="1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hidden="1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hidden="1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hidden="1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hidden="1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hidden="1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hidden="1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hidden="1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hidden="1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hidden="1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hidden="1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hidden="1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hidden="1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hidden="1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hidden="1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hidden="1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hidden="1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hidden="1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hidden="1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hidden="1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hidden="1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hidden="1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hidden="1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hidden="1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hidden="1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hidden="1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hidden="1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hidden="1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hidden="1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hidden="1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hidden="1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hidden="1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hidden="1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hidden="1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hidden="1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hidden="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hidden="1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hidden="1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hidden="1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hidden="1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hidden="1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hidden="1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hidden="1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hidden="1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hidden="1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hidden="1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hidden="1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hidden="1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hidden="1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hidden="1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hidden="1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hidden="1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hidden="1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hidden="1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hidden="1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hidden="1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hidden="1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hidden="1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hidden="1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hidden="1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hidden="1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hidden="1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hidden="1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hidden="1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hidden="1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hidden="1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hidden="1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hidden="1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hidden="1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hidden="1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hidden="1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hidden="1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hidden="1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hidden="1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hidden="1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hidden="1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hidden="1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hidden="1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hidden="1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hidden="1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hidden="1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hidden="1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hidden="1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hidden="1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hidden="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hidden="1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hidden="1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hidden="1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hidden="1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hidden="1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hidden="1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hidden="1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hidden="1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hidden="1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hidden="1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hidden="1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hidden="1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hidden="1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hidden="1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hidden="1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hidden="1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hidden="1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hidden="1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hidden="1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hidden="1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hidden="1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hidden="1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hidden="1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hidden="1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hidden="1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hidden="1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hidden="1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hidden="1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hidden="1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hidden="1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hidden="1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hidden="1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hidden="1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hidden="1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hidden="1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hidden="1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hidden="1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hidden="1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hidden="1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hidden="1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hidden="1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hidden="1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hidden="1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hidden="1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hidden="1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hidden="1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hidden="1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hidden="1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hidden="1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hidden="1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hidden="1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hidden="1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hidden="1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hidden="1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hidden="1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hidden="1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hidden="1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hidden="1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hidden="1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hidden="1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hidden="1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hidden="1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hidden="1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hidden="1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hidden="1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hidden="1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hidden="1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hidden="1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hidden="1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hidden="1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hidden="1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hidden="1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hidden="1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hidden="1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hidden="1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hidden="1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hidden="1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hidden="1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hidden="1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hidden="1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hidden="1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hidden="1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hidden="1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hidden="1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hidden="1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hidden="1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hidden="1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hidden="1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hidden="1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hidden="1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hidden="1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hidden="1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hidden="1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hidden="1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hidden="1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hidden="1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hidden="1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hidden="1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hidden="1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hidden="1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hidden="1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hidden="1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hidden="1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hidden="1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hidden="1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hidden="1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hidden="1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hidden="1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hidden="1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hidden="1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hidden="1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hidden="1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hidden="1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hidden="1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hidden="1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hidden="1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hidden="1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hidden="1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hidden="1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hidden="1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hidden="1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hidden="1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hidden="1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hidden="1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hidden="1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hidden="1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hidden="1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hidden="1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hidden="1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hidden="1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hidden="1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hidden="1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hidden="1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hidden="1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hidden="1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hidden="1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hidden="1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hidden="1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hidden="1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hidden="1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hidden="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hidden="1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hidden="1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hidden="1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hidden="1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hidden="1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hidden="1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hidden="1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hidden="1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hidden="1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hidden="1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hidden="1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hidden="1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hidden="1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hidden="1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hidden="1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hidden="1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hidden="1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hidden="1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hidden="1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hidden="1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hidden="1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hidden="1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hidden="1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hidden="1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hidden="1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hidden="1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hidden="1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hidden="1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hidden="1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hidden="1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hidden="1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hidden="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hidden="1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hidden="1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hidden="1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hidden="1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hidden="1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hidden="1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hidden="1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hidden="1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hidden="1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hidden="1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hidden="1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hidden="1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hidden="1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hidden="1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hidden="1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hidden="1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hidden="1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hidden="1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hidden="1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hidden="1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hidden="1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hidden="1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hidden="1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hidden="1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hidden="1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hidden="1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hidden="1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hidden="1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hidden="1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hidden="1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hidden="1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hidden="1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hidden="1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hidden="1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hidden="1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hidden="1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hidden="1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hidden="1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hidden="1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hidden="1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hidden="1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hidden="1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hidden="1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hidden="1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hidden="1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hidden="1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hidden="1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hidden="1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hidden="1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hidden="1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hidden="1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hidden="1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hidden="1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hidden="1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hidden="1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hidden="1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hidden="1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hidden="1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hidden="1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hidden="1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hidden="1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hidden="1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hidden="1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hidden="1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hidden="1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hidden="1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hidden="1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hidden="1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hidden="1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hidden="1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hidden="1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hidden="1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hidden="1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hidden="1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hidden="1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hidden="1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hidden="1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hidden="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hidden="1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hidden="1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hidden="1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hidden="1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hidden="1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hidden="1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hidden="1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hidden="1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hidden="1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hidden="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hidden="1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hidden="1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hidden="1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hidden="1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hidden="1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hidden="1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hidden="1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hidden="1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hidden="1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hidden="1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hidden="1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hidden="1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hidden="1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hidden="1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hidden="1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hidden="1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hidden="1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hidden="1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hidden="1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hidden="1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hidden="1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hidden="1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hidden="1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hidden="1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hidden="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hidden="1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hidden="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hidden="1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hidden="1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hidden="1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hidden="1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hidden="1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hidden="1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hidden="1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hidden="1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hidden="1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hidden="1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hidden="1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hidden="1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hidden="1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hidden="1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hidden="1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hidden="1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hidden="1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hidden="1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hidden="1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hidden="1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hidden="1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hidden="1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hidden="1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hidden="1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hidden="1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hidden="1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hidden="1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hidden="1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hidden="1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hidden="1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hidden="1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hidden="1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hidden="1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hidden="1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hidden="1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hidden="1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hidden="1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hidden="1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hidden="1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hidden="1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hidden="1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hidden="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hidden="1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hidden="1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hidden="1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hidden="1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hidden="1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hidden="1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hidden="1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hidden="1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hidden="1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hidden="1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hidden="1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hidden="1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hidden="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hidden="1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hidden="1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hidden="1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hidden="1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hidden="1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hidden="1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hidden="1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hidden="1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hidden="1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hidden="1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hidden="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hidden="1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hidden="1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hidden="1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hidden="1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hidden="1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hidden="1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hidden="1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hidden="1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hidden="1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hidden="1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hidden="1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hidden="1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hidden="1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hidden="1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hidden="1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hidden="1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hidden="1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hidden="1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hidden="1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hidden="1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hidden="1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hidden="1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hidden="1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hidden="1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hidden="1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hidden="1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hidden="1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hidden="1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hidden="1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hidden="1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hidden="1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hidden="1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hidden="1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hidden="1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hidden="1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hidden="1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hidden="1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hidden="1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hidden="1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hidden="1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hidden="1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hidden="1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hidden="1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hidden="1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hidden="1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hidden="1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hidden="1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hidden="1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hidden="1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hidden="1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hidden="1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hidden="1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hidden="1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hidden="1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hidden="1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hidden="1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hidden="1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hidden="1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hidden="1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hidden="1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hidden="1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hidden="1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hidden="1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hidden="1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hidden="1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hidden="1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hidden="1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hidden="1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hidden="1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hidden="1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hidden="1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hidden="1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hidden="1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hidden="1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hidden="1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hidden="1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hidden="1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hidden="1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hidden="1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hidden="1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hidden="1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hidden="1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hidden="1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hidden="1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hidden="1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hidden="1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hidden="1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hidden="1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hidden="1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hidden="1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hidden="1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hidden="1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hidden="1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hidden="1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hidden="1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hidden="1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hidden="1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hidden="1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hidden="1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hidden="1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hidden="1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hidden="1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hidden="1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hidden="1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hidden="1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hidden="1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hidden="1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hidden="1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hidden="1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hidden="1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hidden="1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hidden="1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hidden="1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hidden="1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hidden="1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hidden="1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hidden="1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hidden="1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hidden="1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hidden="1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hidden="1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hidden="1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hidden="1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hidden="1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hidden="1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hidden="1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hidden="1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hidden="1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hidden="1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hidden="1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hidden="1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hidden="1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hidden="1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hidden="1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hidden="1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hidden="1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hidden="1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hidden="1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hidden="1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hidden="1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hidden="1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hidden="1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hidden="1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hidden="1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hidden="1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hidden="1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hidden="1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hidden="1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hidden="1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hidden="1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hidden="1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hidden="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hidden="1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hidden="1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hidden="1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hidden="1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hidden="1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hidden="1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hidden="1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hidden="1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hidden="1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hidden="1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hidden="1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hidden="1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hidden="1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hidden="1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hidden="1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hidden="1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hidden="1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hidden="1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hidden="1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hidden="1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hidden="1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hidden="1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hidden="1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hidden="1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hidden="1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hidden="1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hidden="1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hidden="1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hidden="1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hidden="1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hidden="1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hidden="1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hidden="1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hidden="1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hidden="1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hidden="1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hidden="1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hidden="1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hidden="1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hidden="1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hidden="1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hidden="1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hidden="1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hidden="1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hidden="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hidden="1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hidden="1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hidden="1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hidden="1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hidden="1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hidden="1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hidden="1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hidden="1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hidden="1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hidden="1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hidden="1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hidden="1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hidden="1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hidden="1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hidden="1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hidden="1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hidden="1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hidden="1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hidden="1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hidden="1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hidden="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hidden="1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hidden="1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hidden="1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hidden="1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hidden="1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hidden="1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hidden="1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hidden="1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hidden="1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hidden="1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hidden="1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hidden="1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hidden="1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hidden="1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hidden="1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hidden="1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hidden="1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hidden="1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hidden="1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hidden="1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hidden="1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hidden="1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hidden="1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hidden="1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hidden="1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hidden="1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hidden="1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hidden="1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hidden="1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hidden="1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hidden="1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hidden="1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hidden="1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hidden="1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hidden="1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hidden="1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hidden="1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hidden="1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hidden="1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hidden="1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hidden="1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hidden="1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hidden="1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hidden="1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hidden="1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hidden="1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hidden="1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hidden="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hidden="1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hidden="1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hidden="1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hidden="1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hidden="1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hidden="1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hidden="1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hidden="1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hidden="1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hidden="1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hidden="1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hidden="1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hidden="1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hidden="1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hidden="1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hidden="1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hidden="1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hidden="1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hidden="1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hidden="1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hidden="1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hidden="1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hidden="1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hidden="1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hidden="1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hidden="1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hidden="1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hidden="1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hidden="1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hidden="1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hidden="1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hidden="1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hidden="1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hidden="1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hidden="1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hidden="1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hidden="1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hidden="1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hidden="1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hidden="1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hidden="1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hidden="1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hidden="1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hidden="1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hidden="1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hidden="1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hidden="1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hidden="1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hidden="1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hidden="1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hidden="1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hidden="1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hidden="1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hidden="1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hidden="1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hidden="1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hidden="1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hidden="1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hidden="1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hidden="1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hidden="1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hidden="1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hidden="1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hidden="1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hidden="1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hidden="1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hidden="1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hidden="1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hidden="1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hidden="1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hidden="1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hidden="1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hidden="1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hidden="1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hidden="1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hidden="1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hidden="1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hidden="1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hidden="1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hidden="1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hidden="1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hidden="1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hidden="1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hidden="1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hidden="1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hidden="1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hidden="1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hidden="1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hidden="1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hidden="1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hidden="1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hidden="1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hidden="1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hidden="1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hidden="1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hidden="1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hidden="1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hidden="1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hidden="1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hidden="1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hidden="1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hidden="1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hidden="1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hidden="1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hidden="1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hidden="1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hidden="1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hidden="1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hidden="1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hidden="1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hidden="1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hidden="1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hidden="1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hidden="1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hidden="1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hidden="1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hidden="1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hidden="1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hidden="1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hidden="1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hidden="1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hidden="1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hidden="1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hidden="1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hidden="1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hidden="1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hidden="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hidden="1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hidden="1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hidden="1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hidden="1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hidden="1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hidden="1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hidden="1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hidden="1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hidden="1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hidden="1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hidden="1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hidden="1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hidden="1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hidden="1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hidden="1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hidden="1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hidden="1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hidden="1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hidden="1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hidden="1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hidden="1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hidden="1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hidden="1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hidden="1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hidden="1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hidden="1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hidden="1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hidden="1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hidden="1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hidden="1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hidden="1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hidden="1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hidden="1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hidden="1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hidden="1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hidden="1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hidden="1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hidden="1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hidden="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hidden="1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hidden="1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hidden="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hidden="1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hidden="1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hidden="1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hidden="1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hidden="1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hidden="1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hidden="1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hidden="1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hidden="1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hidden="1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hidden="1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hidden="1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hidden="1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hidden="1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hidden="1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hidden="1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hidden="1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hidden="1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hidden="1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hidden="1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hidden="1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hidden="1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hidden="1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hidden="1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hidden="1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hidden="1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hidden="1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hidden="1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hidden="1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hidden="1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hidden="1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hidden="1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hidden="1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hidden="1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hidden="1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hidden="1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hidden="1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hidden="1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hidden="1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hidden="1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hidden="1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hidden="1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hidden="1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hidden="1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hidden="1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hidden="1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hidden="1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hidden="1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hidden="1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hidden="1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hidden="1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hidden="1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hidden="1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hidden="1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hidden="1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hidden="1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hidden="1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hidden="1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hidden="1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hidden="1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hidden="1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hidden="1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hidden="1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hidden="1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hidden="1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hidden="1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hidden="1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hidden="1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hidden="1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hidden="1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hidden="1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hidden="1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hidden="1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hidden="1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hidden="1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hidden="1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hidden="1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hidden="1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hidden="1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hidden="1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hidden="1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hidden="1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hidden="1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hidden="1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hidden="1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hidden="1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hidden="1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hidden="1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hidden="1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hidden="1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hidden="1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hidden="1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hidden="1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hidden="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hidden="1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hidden="1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hidden="1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hidden="1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hidden="1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hidden="1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hidden="1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hidden="1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hidden="1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hidden="1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hidden="1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hidden="1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hidden="1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hidden="1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hidden="1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hidden="1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hidden="1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hidden="1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hidden="1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hidden="1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hidden="1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hidden="1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hidden="1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hidden="1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hidden="1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hidden="1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hidden="1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hidden="1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hidden="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hidden="1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hidden="1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hidden="1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hidden="1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hidden="1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hidden="1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hidden="1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hidden="1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hidden="1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hidden="1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hidden="1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hidden="1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hidden="1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hidden="1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hidden="1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hidden="1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hidden="1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hidden="1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hidden="1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hidden="1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hidden="1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hidden="1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hidden="1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hidden="1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hidden="1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hidden="1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hidden="1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hidden="1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hidden="1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hidden="1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hidden="1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hidden="1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hidden="1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hidden="1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hidden="1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hidden="1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hidden="1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hidden="1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hidden="1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hidden="1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hidden="1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hidden="1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hidden="1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hidden="1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hidden="1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hidden="1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hidden="1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hidden="1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hidden="1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hidden="1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hidden="1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hidden="1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hidden="1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hidden="1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hidden="1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hidden="1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hidden="1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hidden="1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hidden="1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hidden="1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hidden="1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hidden="1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hidden="1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hidden="1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hidden="1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hidden="1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hidden="1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hidden="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hidden="1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hidden="1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hidden="1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hidden="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hidden="1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hidden="1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hidden="1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hidden="1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hidden="1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hidden="1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hidden="1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hidden="1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hidden="1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hidden="1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hidden="1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hidden="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hidden="1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hidden="1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hidden="1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hidden="1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hidden="1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hidden="1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hidden="1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hidden="1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hidden="1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hidden="1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hidden="1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hidden="1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hidden="1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hidden="1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hidden="1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hidden="1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hidden="1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hidden="1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hidden="1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hidden="1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hidden="1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hidden="1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hidden="1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hidden="1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hidden="1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hidden="1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hidden="1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hidden="1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hidden="1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hidden="1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hidden="1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hidden="1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hidden="1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hidden="1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hidden="1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hidden="1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hidden="1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hidden="1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hidden="1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hidden="1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hidden="1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hidden="1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hidden="1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hidden="1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hidden="1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hidden="1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hidden="1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hidden="1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hidden="1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hidden="1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hidden="1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hidden="1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hidden="1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hidden="1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hidden="1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hidden="1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hidden="1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hidden="1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hidden="1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hidden="1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hidden="1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hidden="1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hidden="1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hidden="1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hidden="1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hidden="1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hidden="1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hidden="1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hidden="1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hidden="1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hidden="1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hidden="1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hidden="1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hidden="1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hidden="1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hidden="1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hidden="1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hidden="1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hidden="1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hidden="1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hidden="1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hidden="1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hidden="1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hidden="1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hidden="1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hidden="1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hidden="1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hidden="1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hidden="1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hidden="1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hidden="1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hidden="1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hidden="1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hidden="1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hidden="1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hidden="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hidden="1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hidden="1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hidden="1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hidden="1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hidden="1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hidden="1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hidden="1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hidden="1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hidden="1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hidden="1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hidden="1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hidden="1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hidden="1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hidden="1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hidden="1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hidden="1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hidden="1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hidden="1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hidden="1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hidden="1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hidden="1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hidden="1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hidden="1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hidden="1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hidden="1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hidden="1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hidden="1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hidden="1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hidden="1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hidden="1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hidden="1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hidden="1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hidden="1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hidden="1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hidden="1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hidden="1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hidden="1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hidden="1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hidden="1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hidden="1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hidden="1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hidden="1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hidden="1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hidden="1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hidden="1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hidden="1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hidden="1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hidden="1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hidden="1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hidden="1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hidden="1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hidden="1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hidden="1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hidden="1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hidden="1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hidden="1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hidden="1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hidden="1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hidden="1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hidden="1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hidden="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hidden="1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hidden="1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hidden="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hidden="1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hidden="1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hidden="1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hidden="1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hidden="1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hidden="1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hidden="1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hidden="1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hidden="1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hidden="1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hidden="1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hidden="1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hidden="1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hidden="1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hidden="1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hidden="1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hidden="1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hidden="1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hidden="1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hidden="1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hidden="1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hidden="1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hidden="1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hidden="1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hidden="1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hidden="1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hidden="1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hidden="1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hidden="1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hidden="1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hidden="1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hidden="1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hidden="1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hidden="1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hidden="1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hidden="1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hidden="1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hidden="1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hidden="1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hidden="1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hidden="1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hidden="1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hidden="1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hidden="1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hidden="1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hidden="1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hidden="1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hidden="1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hidden="1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hidden="1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hidden="1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hidden="1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hidden="1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hidden="1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hidden="1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hidden="1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hidden="1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hidden="1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hidden="1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hidden="1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hidden="1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hidden="1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hidden="1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hidden="1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hidden="1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hidden="1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hidden="1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hidden="1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hidden="1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hidden="1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hidden="1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hidden="1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hidden="1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hidden="1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hidden="1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hidden="1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hidden="1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hidden="1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hidden="1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hidden="1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hidden="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hidden="1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>
    <filterColumn colId="12">
      <filters>
        <filter val="TRUE"/>
      </filters>
    </filterColumn>
  </autoFilter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2021-06-27T04:17:05Z</dcterms:modified>
</cp:coreProperties>
</file>