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cwestaway/Documents/UCF/Spring 2020 Semester/Advanced Topics/GM vs Tesla Part 2 Analysis/"/>
    </mc:Choice>
  </mc:AlternateContent>
  <xr:revisionPtr revIDLastSave="0" documentId="13_ncr:1_{EA2784F2-A0C8-5140-85BE-964729B136E7}" xr6:coauthVersionLast="45" xr6:coauthVersionMax="45" xr10:uidLastSave="{00000000-0000-0000-0000-000000000000}"/>
  <bookViews>
    <workbookView xWindow="3820" yWindow="460" windowWidth="34400" windowHeight="21140" tabRatio="751" activeTab="3" xr2:uid="{00000000-000D-0000-FFFF-FFFF00000000}"/>
  </bookViews>
  <sheets>
    <sheet name="Income Statement Page" sheetId="58" r:id="rId1"/>
    <sheet name="Balance Sheet Page" sheetId="57" r:id="rId2"/>
    <sheet name="Cash Flow Page" sheetId="56" r:id="rId3"/>
    <sheet name="Valuations" sheetId="64" r:id="rId4"/>
    <sheet name="Beta Calcuations" sheetId="62" r:id="rId5"/>
    <sheet name="Ratio Analysis" sheetId="5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3" i="64" l="1"/>
  <c r="B54" i="64" s="1"/>
  <c r="B52" i="64"/>
  <c r="C1" i="62"/>
  <c r="B39" i="64"/>
  <c r="C45" i="64" s="1"/>
  <c r="C39" i="64"/>
  <c r="B18" i="57" a="1"/>
  <c r="B18" i="57" s="1"/>
  <c r="B15" i="57" a="1"/>
  <c r="B15" i="57" s="1"/>
  <c r="B12" i="57"/>
  <c r="C35" i="64"/>
  <c r="C36" i="64" s="1"/>
  <c r="C37" i="64"/>
  <c r="B37" i="64"/>
  <c r="B14" i="64"/>
  <c r="B23" i="64"/>
  <c r="J23" i="64"/>
  <c r="H25" i="64"/>
  <c r="H17" i="64"/>
  <c r="B17" i="64"/>
  <c r="F34" i="59" l="1"/>
  <c r="E34" i="59"/>
  <c r="C34" i="59" a="1"/>
  <c r="C34" i="59" s="1"/>
  <c r="B34" i="59" a="1"/>
  <c r="B34" i="59" s="1"/>
  <c r="C30" i="59" l="1"/>
  <c r="C35" i="59" s="1"/>
  <c r="B30" i="59"/>
  <c r="B31" i="59"/>
  <c r="B36" i="59" s="1"/>
  <c r="F31" i="59"/>
  <c r="F36" i="59" s="1"/>
  <c r="E31" i="59"/>
  <c r="E36" i="59" s="1"/>
  <c r="F30" i="59"/>
  <c r="F35" i="59" s="1"/>
  <c r="E30" i="59"/>
  <c r="C31" i="59"/>
  <c r="I21" i="59"/>
  <c r="H21" i="59"/>
  <c r="B9" i="59"/>
  <c r="B6" i="59"/>
  <c r="H44" i="64"/>
  <c r="I39" i="64"/>
  <c r="H41" i="64" s="1"/>
  <c r="H47" i="64"/>
  <c r="H45" i="64"/>
  <c r="B57" i="64"/>
  <c r="B55" i="64"/>
  <c r="H35" i="64"/>
  <c r="B41" i="64"/>
  <c r="H83" i="57"/>
  <c r="H79" i="57"/>
  <c r="H78" i="57"/>
  <c r="I83" i="57"/>
  <c r="H26" i="56"/>
  <c r="J74" i="57"/>
  <c r="I75" i="57"/>
  <c r="H12" i="57"/>
  <c r="J37" i="64"/>
  <c r="I37" i="64"/>
  <c r="H37" i="64"/>
  <c r="K35" i="64"/>
  <c r="J35" i="64"/>
  <c r="J36" i="64" s="1"/>
  <c r="J39" i="64" s="1"/>
  <c r="J40" i="64" s="1"/>
  <c r="I35" i="64"/>
  <c r="D36" i="64"/>
  <c r="E35" i="64"/>
  <c r="D35" i="64"/>
  <c r="H23" i="64"/>
  <c r="H22" i="64"/>
  <c r="H16" i="64"/>
  <c r="H12" i="64"/>
  <c r="H13" i="64"/>
  <c r="D37" i="64"/>
  <c r="D23" i="64"/>
  <c r="B12" i="64"/>
  <c r="D22" i="64" s="1"/>
  <c r="C2" i="62"/>
  <c r="K7" i="62"/>
  <c r="K8" i="62"/>
  <c r="K9" i="62"/>
  <c r="K10" i="62"/>
  <c r="K11" i="62"/>
  <c r="K12" i="62"/>
  <c r="K13" i="62"/>
  <c r="K14" i="62"/>
  <c r="K15" i="62"/>
  <c r="K16" i="62"/>
  <c r="K17" i="62"/>
  <c r="K18" i="62"/>
  <c r="K19" i="62"/>
  <c r="K20" i="62"/>
  <c r="K21" i="62"/>
  <c r="K22" i="62"/>
  <c r="K23" i="62"/>
  <c r="K24" i="62"/>
  <c r="K25" i="62"/>
  <c r="K26" i="62"/>
  <c r="K27" i="62"/>
  <c r="K28" i="62"/>
  <c r="K29" i="62"/>
  <c r="K30" i="62"/>
  <c r="K31" i="62"/>
  <c r="K32" i="62"/>
  <c r="K33" i="62"/>
  <c r="K34" i="62"/>
  <c r="K35" i="62"/>
  <c r="K36" i="62"/>
  <c r="K37" i="62"/>
  <c r="K38" i="62"/>
  <c r="K39" i="62"/>
  <c r="K40" i="62"/>
  <c r="K41" i="62"/>
  <c r="K42" i="62"/>
  <c r="K43" i="62"/>
  <c r="K44" i="62"/>
  <c r="K45" i="62"/>
  <c r="K46" i="62"/>
  <c r="K47" i="62"/>
  <c r="K48" i="62"/>
  <c r="K49" i="62"/>
  <c r="K50" i="62"/>
  <c r="K51" i="62"/>
  <c r="K52" i="62"/>
  <c r="K53" i="62"/>
  <c r="K54" i="62"/>
  <c r="K55" i="62"/>
  <c r="K56" i="62"/>
  <c r="K57" i="62"/>
  <c r="K58" i="62"/>
  <c r="K59" i="62"/>
  <c r="K60" i="62"/>
  <c r="K61" i="62"/>
  <c r="K62" i="62"/>
  <c r="J7" i="62"/>
  <c r="J8" i="62"/>
  <c r="J9" i="62"/>
  <c r="J10" i="62"/>
  <c r="J11" i="62"/>
  <c r="J12" i="62"/>
  <c r="J13" i="62"/>
  <c r="J14" i="62"/>
  <c r="J15" i="62"/>
  <c r="J16" i="62"/>
  <c r="J17" i="62"/>
  <c r="J18" i="62"/>
  <c r="J19" i="62"/>
  <c r="J20" i="62"/>
  <c r="J21" i="62"/>
  <c r="J22" i="62"/>
  <c r="J23" i="62"/>
  <c r="J24" i="62"/>
  <c r="J25" i="62"/>
  <c r="J26" i="62"/>
  <c r="J27" i="62"/>
  <c r="J28" i="62"/>
  <c r="J29" i="62"/>
  <c r="J30" i="62"/>
  <c r="J31" i="62"/>
  <c r="J32" i="62"/>
  <c r="J33" i="62"/>
  <c r="J34" i="62"/>
  <c r="J35" i="62"/>
  <c r="J36" i="62"/>
  <c r="J37" i="62"/>
  <c r="J38" i="62"/>
  <c r="J39" i="62"/>
  <c r="J40" i="62"/>
  <c r="J41" i="62"/>
  <c r="J42" i="62"/>
  <c r="J43" i="62"/>
  <c r="J44" i="62"/>
  <c r="J45" i="62"/>
  <c r="J46" i="62"/>
  <c r="J47" i="62"/>
  <c r="J48" i="62"/>
  <c r="J49" i="62"/>
  <c r="J50" i="62"/>
  <c r="J51" i="62"/>
  <c r="J52" i="62"/>
  <c r="J53" i="62"/>
  <c r="J54" i="62"/>
  <c r="J55" i="62"/>
  <c r="J56" i="62"/>
  <c r="J57" i="62"/>
  <c r="J58" i="62"/>
  <c r="J59" i="62"/>
  <c r="J60" i="62"/>
  <c r="J61" i="62"/>
  <c r="J62" i="62"/>
  <c r="I7" i="62"/>
  <c r="I8" i="62"/>
  <c r="I9" i="62"/>
  <c r="I10" i="62"/>
  <c r="I11" i="62"/>
  <c r="I12" i="62"/>
  <c r="I13" i="62"/>
  <c r="I14" i="62"/>
  <c r="I15" i="62"/>
  <c r="I16" i="62"/>
  <c r="I17" i="62"/>
  <c r="I18" i="62"/>
  <c r="I19" i="62"/>
  <c r="I20" i="62"/>
  <c r="I21" i="62"/>
  <c r="I22" i="62"/>
  <c r="I23" i="62"/>
  <c r="I24" i="62"/>
  <c r="I25" i="62"/>
  <c r="I26" i="62"/>
  <c r="I27" i="62"/>
  <c r="I28" i="62"/>
  <c r="I29" i="62"/>
  <c r="I30" i="62"/>
  <c r="I31" i="62"/>
  <c r="I32" i="62"/>
  <c r="I33" i="62"/>
  <c r="I34" i="62"/>
  <c r="I35" i="62"/>
  <c r="I36" i="62"/>
  <c r="I37" i="62"/>
  <c r="I38" i="62"/>
  <c r="I39" i="62"/>
  <c r="I40" i="62"/>
  <c r="I41" i="62"/>
  <c r="I42" i="62"/>
  <c r="I43" i="62"/>
  <c r="I44" i="62"/>
  <c r="I45" i="62"/>
  <c r="I46" i="62"/>
  <c r="I47" i="62"/>
  <c r="I48" i="62"/>
  <c r="I49" i="62"/>
  <c r="I50" i="62"/>
  <c r="I51" i="62"/>
  <c r="I52" i="62"/>
  <c r="I53" i="62"/>
  <c r="I54" i="62"/>
  <c r="I55" i="62"/>
  <c r="I56" i="62"/>
  <c r="I57" i="62"/>
  <c r="I58" i="62"/>
  <c r="I59" i="62"/>
  <c r="I60" i="62"/>
  <c r="I61" i="62"/>
  <c r="I62" i="62"/>
  <c r="K6" i="62"/>
  <c r="J6" i="62"/>
  <c r="I6" i="62"/>
  <c r="B46" i="62"/>
  <c r="B45" i="62"/>
  <c r="B44" i="62"/>
  <c r="B43" i="62"/>
  <c r="B42" i="62"/>
  <c r="B41" i="62"/>
  <c r="B37" i="62"/>
  <c r="B28" i="62"/>
  <c r="B27" i="62"/>
  <c r="C32" i="59" l="1"/>
  <c r="E32" i="59"/>
  <c r="F37" i="59"/>
  <c r="F32" i="59"/>
  <c r="B32" i="59"/>
  <c r="C36" i="59"/>
  <c r="C37" i="59" s="1"/>
  <c r="B35" i="59"/>
  <c r="B37" i="59" s="1"/>
  <c r="E35" i="59"/>
  <c r="E37" i="59" s="1"/>
  <c r="H14" i="64"/>
  <c r="J22" i="64" s="1"/>
  <c r="I36" i="64"/>
  <c r="B24" i="64"/>
  <c r="C22" i="64" s="1"/>
  <c r="C40" i="64"/>
  <c r="H24" i="64"/>
  <c r="I23" i="64" s="1"/>
  <c r="D39" i="64"/>
  <c r="D40" i="64" s="1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H16" i="62"/>
  <c r="H15" i="62"/>
  <c r="H14" i="62"/>
  <c r="H13" i="62"/>
  <c r="H12" i="62"/>
  <c r="H11" i="62"/>
  <c r="H10" i="62"/>
  <c r="H9" i="62"/>
  <c r="H8" i="62"/>
  <c r="H7" i="62"/>
  <c r="H6" i="62"/>
  <c r="F62" i="62"/>
  <c r="F61" i="62"/>
  <c r="F60" i="62"/>
  <c r="F59" i="62"/>
  <c r="F58" i="62"/>
  <c r="F57" i="62"/>
  <c r="F56" i="62"/>
  <c r="F55" i="62"/>
  <c r="F54" i="62"/>
  <c r="F53" i="62"/>
  <c r="F52" i="62"/>
  <c r="F51" i="62"/>
  <c r="F50" i="62"/>
  <c r="F49" i="62"/>
  <c r="F48" i="62"/>
  <c r="F47" i="62"/>
  <c r="F46" i="62"/>
  <c r="F45" i="62"/>
  <c r="F44" i="62"/>
  <c r="F43" i="62"/>
  <c r="F42" i="62"/>
  <c r="F41" i="62"/>
  <c r="F40" i="62"/>
  <c r="F39" i="62"/>
  <c r="F38" i="62"/>
  <c r="F37" i="62"/>
  <c r="F36" i="62"/>
  <c r="F35" i="62"/>
  <c r="F34" i="62"/>
  <c r="F33" i="62"/>
  <c r="F32" i="62"/>
  <c r="F31" i="62"/>
  <c r="F30" i="62"/>
  <c r="F29" i="62"/>
  <c r="F28" i="62"/>
  <c r="F27" i="62"/>
  <c r="F26" i="62"/>
  <c r="F25" i="62"/>
  <c r="F24" i="62"/>
  <c r="F23" i="62"/>
  <c r="F22" i="62"/>
  <c r="F21" i="62"/>
  <c r="F20" i="62"/>
  <c r="F19" i="62"/>
  <c r="F18" i="62"/>
  <c r="F17" i="62"/>
  <c r="F16" i="62"/>
  <c r="F15" i="62"/>
  <c r="F14" i="62"/>
  <c r="F13" i="62"/>
  <c r="F12" i="62"/>
  <c r="F11" i="62"/>
  <c r="F10" i="62"/>
  <c r="F9" i="62"/>
  <c r="F8" i="62"/>
  <c r="F7" i="62"/>
  <c r="F6" i="62"/>
  <c r="D62" i="62"/>
  <c r="D61" i="62"/>
  <c r="D60" i="62"/>
  <c r="D59" i="62"/>
  <c r="D58" i="62"/>
  <c r="D57" i="62"/>
  <c r="D56" i="62"/>
  <c r="D55" i="62"/>
  <c r="D54" i="62"/>
  <c r="D53" i="62"/>
  <c r="D52" i="62"/>
  <c r="D51" i="62"/>
  <c r="D50" i="62"/>
  <c r="D49" i="62"/>
  <c r="D48" i="62"/>
  <c r="D47" i="62"/>
  <c r="D46" i="62"/>
  <c r="D45" i="62"/>
  <c r="D44" i="62"/>
  <c r="D43" i="62"/>
  <c r="D42" i="62"/>
  <c r="D41" i="62"/>
  <c r="D40" i="62"/>
  <c r="D39" i="62"/>
  <c r="D38" i="62"/>
  <c r="D37" i="62"/>
  <c r="D36" i="62"/>
  <c r="D35" i="62"/>
  <c r="D34" i="62"/>
  <c r="D33" i="62"/>
  <c r="D32" i="62"/>
  <c r="D31" i="62"/>
  <c r="D30" i="62"/>
  <c r="D29" i="62"/>
  <c r="D28" i="62"/>
  <c r="D27" i="62"/>
  <c r="D26" i="62"/>
  <c r="D25" i="62"/>
  <c r="D24" i="62"/>
  <c r="D23" i="62"/>
  <c r="D22" i="62"/>
  <c r="D21" i="62"/>
  <c r="D20" i="62"/>
  <c r="D19" i="62"/>
  <c r="D18" i="62"/>
  <c r="D17" i="62"/>
  <c r="D16" i="62"/>
  <c r="D15" i="62"/>
  <c r="D14" i="62"/>
  <c r="D13" i="62"/>
  <c r="D12" i="62"/>
  <c r="D11" i="62"/>
  <c r="D10" i="62"/>
  <c r="D9" i="62"/>
  <c r="D8" i="62"/>
  <c r="D7" i="62"/>
  <c r="D6" i="62"/>
  <c r="H11" i="56"/>
  <c r="G11" i="56"/>
  <c r="G9" i="56"/>
  <c r="G12" i="56"/>
  <c r="G13" i="56"/>
  <c r="G14" i="56"/>
  <c r="G16" i="56" s="1"/>
  <c r="G15" i="56"/>
  <c r="G18" i="56"/>
  <c r="G21" i="56" s="1"/>
  <c r="G19" i="56"/>
  <c r="G20" i="56"/>
  <c r="G23" i="56"/>
  <c r="G24" i="56"/>
  <c r="G25" i="56"/>
  <c r="G28" i="56"/>
  <c r="G29" i="56"/>
  <c r="G30" i="56"/>
  <c r="G34" i="56"/>
  <c r="C35" i="56"/>
  <c r="B34" i="56"/>
  <c r="C34" i="56"/>
  <c r="C33" i="56"/>
  <c r="B31" i="56"/>
  <c r="C30" i="56"/>
  <c r="B30" i="56"/>
  <c r="C29" i="56"/>
  <c r="B29" i="56"/>
  <c r="B28" i="56"/>
  <c r="B27" i="56"/>
  <c r="B26" i="56"/>
  <c r="B25" i="56"/>
  <c r="B24" i="56"/>
  <c r="B23" i="56"/>
  <c r="B21" i="56"/>
  <c r="B20" i="56"/>
  <c r="B19" i="56"/>
  <c r="B18" i="56"/>
  <c r="C18" i="56"/>
  <c r="C16" i="56"/>
  <c r="B15" i="56"/>
  <c r="C14" i="56"/>
  <c r="B14" i="56"/>
  <c r="B13" i="56"/>
  <c r="C12" i="56"/>
  <c r="B12" i="56"/>
  <c r="C11" i="56"/>
  <c r="B11" i="56"/>
  <c r="B16" i="56" s="1"/>
  <c r="B33" i="56" s="1"/>
  <c r="B9" i="56"/>
  <c r="I85" i="57"/>
  <c r="H84" i="57"/>
  <c r="H85" i="57"/>
  <c r="H86" i="57" s="1"/>
  <c r="H81" i="57"/>
  <c r="H58" i="58"/>
  <c r="H57" i="58"/>
  <c r="H56" i="58"/>
  <c r="H82" i="57"/>
  <c r="H80" i="57"/>
  <c r="H77" i="57"/>
  <c r="H75" i="57"/>
  <c r="H74" i="57"/>
  <c r="H67" i="57"/>
  <c r="H62" i="57"/>
  <c r="H61" i="57"/>
  <c r="H56" i="57"/>
  <c r="H50" i="57"/>
  <c r="H45" i="57" a="1"/>
  <c r="H45" i="57" s="1"/>
  <c r="H41" i="57"/>
  <c r="H32" i="57"/>
  <c r="H30" i="57"/>
  <c r="H27" i="57"/>
  <c r="H26" i="57"/>
  <c r="H21" i="57"/>
  <c r="H16" i="57" a="1"/>
  <c r="H16" i="57" s="1"/>
  <c r="H15" i="57" a="1"/>
  <c r="H15" i="57" s="1"/>
  <c r="B84" i="57"/>
  <c r="C84" i="57"/>
  <c r="B81" i="57"/>
  <c r="C83" i="57"/>
  <c r="B83" i="57"/>
  <c r="B79" i="57"/>
  <c r="C81" i="57"/>
  <c r="B82" i="57"/>
  <c r="B80" i="57"/>
  <c r="B78" i="57"/>
  <c r="B75" i="57"/>
  <c r="B74" i="57"/>
  <c r="B73" i="57"/>
  <c r="B72" i="57"/>
  <c r="B64" i="57"/>
  <c r="B59" i="57"/>
  <c r="B58" i="57"/>
  <c r="B54" i="57"/>
  <c r="B48" i="57"/>
  <c r="B43" i="57" a="1"/>
  <c r="B43" i="57" s="1"/>
  <c r="B39" i="57"/>
  <c r="B33" i="57"/>
  <c r="B31" i="57"/>
  <c r="B28" i="57"/>
  <c r="B23" i="57"/>
  <c r="H45" i="58"/>
  <c r="H54" i="58"/>
  <c r="B45" i="58"/>
  <c r="H50" i="58"/>
  <c r="H31" i="58"/>
  <c r="B29" i="58"/>
  <c r="H23" i="58"/>
  <c r="H21" i="58"/>
  <c r="H20" i="58"/>
  <c r="H17" i="58"/>
  <c r="H9" i="58" a="1"/>
  <c r="H9" i="58" s="1"/>
  <c r="H19" i="58" s="1" a="1"/>
  <c r="H19" i="58" s="1"/>
  <c r="H18" i="58" s="1"/>
  <c r="B47" i="58"/>
  <c r="B48" i="58"/>
  <c r="B41" i="58"/>
  <c r="B21" i="58"/>
  <c r="B19" i="58"/>
  <c r="B18" i="58"/>
  <c r="B15" i="58"/>
  <c r="B9" i="58" a="1"/>
  <c r="B9" i="58" s="1"/>
  <c r="B12" i="58" s="1" a="1"/>
  <c r="B12" i="58" s="1"/>
  <c r="B35" i="56" l="1"/>
  <c r="C23" i="64"/>
  <c r="B25" i="64" s="1"/>
  <c r="I40" i="64"/>
  <c r="H42" i="57"/>
  <c r="H36" i="64"/>
  <c r="H39" i="64" s="1"/>
  <c r="I22" i="64"/>
  <c r="G31" i="56"/>
  <c r="G33" i="56" s="1"/>
  <c r="G35" i="56" s="1"/>
  <c r="H13" i="58" a="1"/>
  <c r="H13" i="58" s="1"/>
  <c r="H16" i="58" s="1"/>
  <c r="H22" i="58" s="1"/>
  <c r="H30" i="58" s="1"/>
  <c r="H44" i="58" s="1"/>
  <c r="B14" i="58"/>
  <c r="B17" i="58" a="1"/>
  <c r="B17" i="58" s="1"/>
  <c r="B16" i="58" s="1"/>
  <c r="C9" i="56"/>
  <c r="H46" i="64" l="1"/>
  <c r="H48" i="64" s="1"/>
  <c r="H40" i="64"/>
  <c r="H49" i="58"/>
  <c r="H53" i="58" s="1"/>
  <c r="H55" i="58" s="1"/>
  <c r="B20" i="58"/>
  <c r="B28" i="58" s="1"/>
  <c r="B35" i="58" s="1"/>
  <c r="F9" i="59"/>
  <c r="E9" i="59"/>
  <c r="H9" i="59" s="1"/>
  <c r="C9" i="59"/>
  <c r="F11" i="59"/>
  <c r="F12" i="59"/>
  <c r="F13" i="59"/>
  <c r="F14" i="59"/>
  <c r="F23" i="59"/>
  <c r="F24" i="59"/>
  <c r="F25" i="59"/>
  <c r="C11" i="59"/>
  <c r="C12" i="59"/>
  <c r="I12" i="59" s="1"/>
  <c r="C13" i="59"/>
  <c r="C14" i="59"/>
  <c r="C23" i="59"/>
  <c r="C24" i="59"/>
  <c r="C25" i="59"/>
  <c r="E25" i="59"/>
  <c r="E24" i="59"/>
  <c r="E23" i="59"/>
  <c r="E14" i="59"/>
  <c r="B14" i="59"/>
  <c r="B13" i="59"/>
  <c r="E13" i="59"/>
  <c r="B12" i="59"/>
  <c r="E12" i="59"/>
  <c r="E11" i="59"/>
  <c r="B11" i="59"/>
  <c r="H11" i="59" s="1"/>
  <c r="B25" i="59"/>
  <c r="B24" i="59"/>
  <c r="B23" i="59"/>
  <c r="E39" i="57"/>
  <c r="D39" i="57"/>
  <c r="C39" i="57"/>
  <c r="I13" i="59" l="1"/>
  <c r="H25" i="59"/>
  <c r="I25" i="59"/>
  <c r="I23" i="59"/>
  <c r="I24" i="59"/>
  <c r="I11" i="59"/>
  <c r="H12" i="59"/>
  <c r="H23" i="59"/>
  <c r="H13" i="59"/>
  <c r="H24" i="59"/>
  <c r="H14" i="59"/>
  <c r="I14" i="59"/>
  <c r="I9" i="59"/>
  <c r="B36" i="58"/>
  <c r="B40" i="58"/>
  <c r="B44" i="58" s="1"/>
  <c r="I9" i="56"/>
  <c r="I11" i="56"/>
  <c r="I12" i="56"/>
  <c r="I13" i="56"/>
  <c r="I14" i="56"/>
  <c r="I15" i="56"/>
  <c r="I18" i="56"/>
  <c r="I19" i="56"/>
  <c r="I20" i="56"/>
  <c r="I23" i="56"/>
  <c r="I24" i="56"/>
  <c r="I25" i="56"/>
  <c r="I26" i="56"/>
  <c r="I27" i="56"/>
  <c r="I28" i="56"/>
  <c r="I29" i="56"/>
  <c r="I30" i="56"/>
  <c r="I34" i="56"/>
  <c r="H34" i="56"/>
  <c r="H30" i="56"/>
  <c r="H29" i="56"/>
  <c r="H28" i="56"/>
  <c r="H27" i="56"/>
  <c r="H25" i="56"/>
  <c r="H24" i="56"/>
  <c r="H23" i="56"/>
  <c r="H20" i="56"/>
  <c r="H19" i="56"/>
  <c r="H18" i="56"/>
  <c r="H15" i="56"/>
  <c r="H14" i="56"/>
  <c r="H13" i="56"/>
  <c r="H12" i="56"/>
  <c r="H9" i="56"/>
  <c r="D9" i="56"/>
  <c r="D11" i="56"/>
  <c r="D12" i="56"/>
  <c r="D13" i="56"/>
  <c r="D14" i="56"/>
  <c r="D15" i="56"/>
  <c r="D18" i="56"/>
  <c r="D19" i="56"/>
  <c r="D20" i="56"/>
  <c r="D23" i="56"/>
  <c r="D24" i="56"/>
  <c r="D25" i="56"/>
  <c r="D26" i="56"/>
  <c r="D27" i="56"/>
  <c r="D28" i="56"/>
  <c r="D29" i="56"/>
  <c r="D30" i="56"/>
  <c r="D34" i="56"/>
  <c r="C28" i="56"/>
  <c r="C27" i="56"/>
  <c r="C26" i="56"/>
  <c r="C25" i="56"/>
  <c r="C24" i="56"/>
  <c r="C23" i="56"/>
  <c r="C20" i="56"/>
  <c r="C19" i="56"/>
  <c r="C15" i="56"/>
  <c r="C13" i="56"/>
  <c r="J26" i="57"/>
  <c r="I26" i="57"/>
  <c r="K83" i="57"/>
  <c r="K85" i="57" s="1"/>
  <c r="J83" i="57"/>
  <c r="J85" i="57" s="1"/>
  <c r="K74" i="57"/>
  <c r="I74" i="57"/>
  <c r="K61" i="57"/>
  <c r="J61" i="57"/>
  <c r="I61" i="57"/>
  <c r="E8" i="59" s="1"/>
  <c r="K41" i="57"/>
  <c r="J41" i="57"/>
  <c r="I41" i="57"/>
  <c r="K26" i="57"/>
  <c r="E81" i="57"/>
  <c r="E83" i="57" s="1"/>
  <c r="D81" i="57"/>
  <c r="D83" i="57" s="1"/>
  <c r="E72" i="57"/>
  <c r="D72" i="57"/>
  <c r="C72" i="57"/>
  <c r="E58" i="57"/>
  <c r="D58" i="57"/>
  <c r="C8" i="59" s="1"/>
  <c r="C58" i="57"/>
  <c r="E27" i="57"/>
  <c r="E40" i="57" s="1"/>
  <c r="D27" i="57"/>
  <c r="C27" i="57"/>
  <c r="B46" i="58" l="1"/>
  <c r="B49" i="58" s="1"/>
  <c r="H21" i="56"/>
  <c r="J42" i="57"/>
  <c r="F18" i="59" s="1"/>
  <c r="D31" i="56"/>
  <c r="C31" i="56"/>
  <c r="B19" i="59"/>
  <c r="H19" i="59" s="1"/>
  <c r="B27" i="59"/>
  <c r="E27" i="59"/>
  <c r="E19" i="59"/>
  <c r="F27" i="59"/>
  <c r="F19" i="59"/>
  <c r="C73" i="57"/>
  <c r="B8" i="59"/>
  <c r="H8" i="59" s="1"/>
  <c r="J75" i="57"/>
  <c r="J86" i="57" s="1"/>
  <c r="F8" i="59"/>
  <c r="I8" i="59" s="1"/>
  <c r="D21" i="56"/>
  <c r="I16" i="56"/>
  <c r="C40" i="57"/>
  <c r="B7" i="59"/>
  <c r="C27" i="59"/>
  <c r="I27" i="59" s="1"/>
  <c r="C19" i="59"/>
  <c r="I19" i="59" s="1"/>
  <c r="E6" i="59"/>
  <c r="H6" i="59" s="1"/>
  <c r="E7" i="59"/>
  <c r="H16" i="56"/>
  <c r="H31" i="56"/>
  <c r="I31" i="56"/>
  <c r="C7" i="59"/>
  <c r="C6" i="59"/>
  <c r="D40" i="57"/>
  <c r="F6" i="59"/>
  <c r="F7" i="59"/>
  <c r="I86" i="57"/>
  <c r="E20" i="59"/>
  <c r="C21" i="56"/>
  <c r="K42" i="57"/>
  <c r="I21" i="56"/>
  <c r="D16" i="56"/>
  <c r="D73" i="57"/>
  <c r="D84" i="57" s="1"/>
  <c r="K75" i="57"/>
  <c r="K86" i="57" s="1"/>
  <c r="I42" i="57"/>
  <c r="E17" i="59" s="1"/>
  <c r="E73" i="57"/>
  <c r="E84" i="57" s="1"/>
  <c r="H27" i="59" l="1"/>
  <c r="I6" i="59"/>
  <c r="I7" i="59"/>
  <c r="H7" i="59"/>
  <c r="F15" i="59"/>
  <c r="D33" i="56"/>
  <c r="D35" i="56" s="1"/>
  <c r="I33" i="56"/>
  <c r="I35" i="56" s="1"/>
  <c r="H33" i="56"/>
  <c r="H35" i="56" s="1"/>
  <c r="F17" i="59"/>
  <c r="F20" i="59"/>
  <c r="C15" i="59"/>
  <c r="C18" i="59"/>
  <c r="I18" i="59" s="1"/>
  <c r="C26" i="59"/>
  <c r="E26" i="59"/>
  <c r="E18" i="59"/>
  <c r="E15" i="59"/>
  <c r="F26" i="59"/>
  <c r="B17" i="59"/>
  <c r="H17" i="59" s="1"/>
  <c r="B20" i="59"/>
  <c r="H20" i="59" s="1"/>
  <c r="C20" i="59"/>
  <c r="I20" i="59" s="1"/>
  <c r="C17" i="59"/>
  <c r="B26" i="59"/>
  <c r="H26" i="59" s="1"/>
  <c r="B18" i="59"/>
  <c r="H18" i="59" s="1"/>
  <c r="B15" i="59"/>
  <c r="H15" i="59" s="1"/>
  <c r="I15" i="59" l="1"/>
  <c r="I17" i="59"/>
  <c r="I26" i="59"/>
  <c r="B27" i="57" l="1"/>
  <c r="B40" i="57" l="1"/>
  <c r="B35" i="64"/>
  <c r="B36" i="64" s="1"/>
  <c r="C46" i="64" l="1"/>
  <c r="C47" i="64" s="1"/>
  <c r="C48" i="64" s="1"/>
  <c r="C49" i="64" s="1"/>
  <c r="B40" i="64"/>
  <c r="B56" i="64" l="1"/>
  <c r="B58" i="6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<sst xmlns="http://schemas.openxmlformats.org/spreadsheetml/2006/main" count="571" uniqueCount="262">
  <si>
    <t>Revenue</t>
  </si>
  <si>
    <t>Gross Profit</t>
  </si>
  <si>
    <t>In Millions of USD except Per Share</t>
  </si>
  <si>
    <t>FY 2017</t>
  </si>
  <si>
    <t>FY 2018</t>
  </si>
  <si>
    <t>FY 2019</t>
  </si>
  <si>
    <t>12 Months Ending</t>
  </si>
  <si>
    <t>12/31/2017</t>
  </si>
  <si>
    <t>12/31/2018</t>
  </si>
  <si>
    <t>12/31/2019</t>
  </si>
  <si>
    <t xml:space="preserve">    + Sales &amp; Services Revenue</t>
  </si>
  <si>
    <t xml:space="preserve">    + Other Revenue</t>
  </si>
  <si>
    <t>—</t>
  </si>
  <si>
    <t xml:space="preserve">  - Cost of Revenue</t>
  </si>
  <si>
    <t xml:space="preserve">    + Cost of Goods &amp; Services</t>
  </si>
  <si>
    <t xml:space="preserve">  + Other Operating Income</t>
  </si>
  <si>
    <t xml:space="preserve">  - Operating Expenses</t>
  </si>
  <si>
    <t xml:space="preserve">    + Selling, General &amp; Admin</t>
  </si>
  <si>
    <t xml:space="preserve">    + Research &amp; Development</t>
  </si>
  <si>
    <t xml:space="preserve">    + Other Operating Expense</t>
  </si>
  <si>
    <t>Operating Income (Loss)</t>
  </si>
  <si>
    <t xml:space="preserve">  - Non-Operating (Income) Loss</t>
  </si>
  <si>
    <t xml:space="preserve">    + Interest Expense, Net</t>
  </si>
  <si>
    <t xml:space="preserve">    + Interest Expense</t>
  </si>
  <si>
    <t xml:space="preserve">    - Interest Income</t>
  </si>
  <si>
    <t xml:space="preserve">    + Foreign Exch (Gain) Loss</t>
  </si>
  <si>
    <t xml:space="preserve">    + (Income) Loss from Affiliates</t>
  </si>
  <si>
    <t xml:space="preserve">    + Other Non-Op (Income) Loss</t>
  </si>
  <si>
    <t>Pretax Income (Loss), Adjusted</t>
  </si>
  <si>
    <t xml:space="preserve">  - Abnormal Losses (Gains)</t>
  </si>
  <si>
    <t xml:space="preserve">    + Merger/Acquisition Expense</t>
  </si>
  <si>
    <t xml:space="preserve">    + Disposal of Assets</t>
  </si>
  <si>
    <t xml:space="preserve">    + Early Extinguishment of Debt</t>
  </si>
  <si>
    <t xml:space="preserve">    + Gain/Loss on Sale/Acquisition of Business</t>
  </si>
  <si>
    <t xml:space="preserve">    + Other Abnormal Items</t>
  </si>
  <si>
    <t>Pretax Income (Loss), GAAP</t>
  </si>
  <si>
    <t xml:space="preserve">  - Income Tax Expense (Benefit)</t>
  </si>
  <si>
    <t xml:space="preserve">    + Current Income Tax</t>
  </si>
  <si>
    <t xml:space="preserve">    + Deferred Income Tax</t>
  </si>
  <si>
    <t xml:space="preserve">    + Tax Allowance/Credit</t>
  </si>
  <si>
    <t>Income (Loss) from Cont Ops</t>
  </si>
  <si>
    <t xml:space="preserve">  - Net Extraordinary Losses (Gains)</t>
  </si>
  <si>
    <t xml:space="preserve">    + Discontinued Operations</t>
  </si>
  <si>
    <t xml:space="preserve">    + XO &amp; Accounting Changes</t>
  </si>
  <si>
    <t>Income (Loss) Incl. MI</t>
  </si>
  <si>
    <t xml:space="preserve">  - Minority Interest</t>
  </si>
  <si>
    <t>Net Income, GAAP</t>
  </si>
  <si>
    <t xml:space="preserve">  - Preferred Dividends</t>
  </si>
  <si>
    <t xml:space="preserve">  - Other Adjustments</t>
  </si>
  <si>
    <t>Net Income Avail to Common, GAAP</t>
  </si>
  <si>
    <t>Source: Bloomberg</t>
  </si>
  <si>
    <t>Total Assets</t>
  </si>
  <si>
    <t xml:space="preserve">  + Cash, Cash Equivalents &amp; STI</t>
  </si>
  <si>
    <t xml:space="preserve">    + Cash &amp; Cash Equivalents</t>
  </si>
  <si>
    <t xml:space="preserve">    + ST Investments</t>
  </si>
  <si>
    <t xml:space="preserve">  + Accounts &amp; Notes Receiv</t>
  </si>
  <si>
    <t xml:space="preserve">    + Accounts Receivable, Net</t>
  </si>
  <si>
    <t xml:space="preserve">    + Notes Receivable, Net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</si>
  <si>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</si>
  <si>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</si>
  <si>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</si>
  <si>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</si>
  <si>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</si>
  <si>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</si>
  <si>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 xml:space="preserve">    + Prepaid Expenses</t>
  </si>
  <si>
    <t xml:space="preserve">    + Derivative &amp; Hedging Assets</t>
  </si>
  <si>
    <t xml:space="preserve">    + Misc ST Assets</t>
  </si>
  <si>
    <t>Total Current Assets</t>
  </si>
  <si>
    <t xml:space="preserve">  + Property, Plant &amp; Equip, Net</t>
  </si>
  <si>
    <t xml:space="preserve">    + Property, Plant &amp; Equip</t>
  </si>
  <si>
    <t xml:space="preserve">    - Accumulated Depreciation</t>
  </si>
  <si>
    <t xml:space="preserve">  + LT Investments &amp; Receivables</t>
  </si>
  <si>
    <t xml:space="preserve">    + LT Receivables</t>
  </si>
  <si>
    <t xml:space="preserve">  + Other LT Assets</t>
  </si>
  <si>
    <t xml:space="preserve">    + Total Intangible Assets</t>
  </si>
  <si>
    <t xml:space="preserve">    + Goodwill</t>
  </si>
  <si>
    <t xml:space="preserve">    + Other Intangible Assets</t>
  </si>
  <si>
    <t xml:space="preserve">    + Misc LT Assets</t>
  </si>
  <si>
    <t>Total Noncurrent Assets</t>
  </si>
  <si>
    <t>Liabilities &amp; Shareholders' Equity</t>
  </si>
  <si>
    <t xml:space="preserve">  + Payables &amp; Accruals</t>
  </si>
  <si>
    <t xml:space="preserve">    + Accounts Payable</t>
  </si>
  <si>
    <t xml:space="preserve">    + Accrued Taxes</t>
  </si>
  <si>
    <t xml:space="preserve">    + Interest &amp; Dividends Payable</t>
  </si>
  <si>
    <t xml:space="preserve">    + Other Payables &amp; Accruals</t>
  </si>
  <si>
    <t xml:space="preserve">  + ST Debt</t>
  </si>
  <si>
    <t xml:space="preserve">    + ST Borrowings</t>
  </si>
  <si>
    <t xml:space="preserve">    + ST Lease Liabilities</t>
  </si>
  <si>
    <t xml:space="preserve">    + ST Finance Leases</t>
  </si>
  <si>
    <t xml:space="preserve">    + ST Operating Leases</t>
  </si>
  <si>
    <t xml:space="preserve">    + Current Portion of LT Debt</t>
  </si>
  <si>
    <t xml:space="preserve">  + Other ST Liabilities</t>
  </si>
  <si>
    <t xml:space="preserve">    + Deferred Revenue</t>
  </si>
  <si>
    <t xml:space="preserve">    + Derivatives &amp; Hedging</t>
  </si>
  <si>
    <t xml:space="preserve">    + Misc ST Liabilities</t>
  </si>
  <si>
    <t>Total Current Liabilities</t>
  </si>
  <si>
    <t xml:space="preserve">  + LT Debt</t>
  </si>
  <si>
    <t xml:space="preserve">    + LT Borrowings</t>
  </si>
  <si>
    <t xml:space="preserve">    + LT Lease Liabilities</t>
  </si>
  <si>
    <t xml:space="preserve">    + LT Finance Leases</t>
  </si>
  <si>
    <t xml:space="preserve">    + LT Operating Leases</t>
  </si>
  <si>
    <t xml:space="preserve">  + Other LT Liabilities</t>
  </si>
  <si>
    <t xml:space="preserve">    + Accrued Liabilities</t>
  </si>
  <si>
    <t xml:space="preserve">    + Pension Liabilities</t>
  </si>
  <si>
    <t xml:space="preserve">    + Pensions</t>
  </si>
  <si>
    <t xml:space="preserve">    + Other Post-Ret Benefits</t>
  </si>
  <si>
    <t xml:space="preserve">    + Misc LT Liabilities</t>
  </si>
  <si>
    <t>Total Noncurrent Liabilities</t>
  </si>
  <si>
    <t>Total Liabilities</t>
  </si>
  <si>
    <t xml:space="preserve">  + Preferred Equity and Hybrid Capital</t>
  </si>
  <si>
    <t xml:space="preserve">  + Share Capital &amp; APIC</t>
  </si>
  <si>
    <t xml:space="preserve">    + Common Stock</t>
  </si>
  <si>
    <t xml:space="preserve">    + Additional Paid in Capital</t>
  </si>
  <si>
    <t xml:space="preserve">  - Treasury Stock</t>
  </si>
  <si>
    <t xml:space="preserve">  + Retained Earnings</t>
  </si>
  <si>
    <t xml:space="preserve">  + Other Equity</t>
  </si>
  <si>
    <t>Equity Before Minority Interest</t>
  </si>
  <si>
    <t xml:space="preserve">  + Minority/Non Controlling Interest</t>
  </si>
  <si>
    <t>Total Equity</t>
  </si>
  <si>
    <t>Total Liabilities &amp; Equity</t>
  </si>
  <si>
    <t>Net Income</t>
  </si>
  <si>
    <t>Cash from Operating Activities</t>
  </si>
  <si>
    <t>Cash from Investing Activities</t>
  </si>
  <si>
    <t>Cash from Financing Activities</t>
  </si>
  <si>
    <t>Depreciation</t>
  </si>
  <si>
    <t>Change in Accounts Payable</t>
  </si>
  <si>
    <t>Statement of Cash Flows</t>
  </si>
  <si>
    <t>In Millions of US Dollars</t>
  </si>
  <si>
    <t>Operating Cash Flows</t>
  </si>
  <si>
    <t>Change in A/R</t>
  </si>
  <si>
    <t>Change in Inventory</t>
  </si>
  <si>
    <t>Change in Other Short Tem Assets</t>
  </si>
  <si>
    <t>Change in Other Short Term Liabilities</t>
  </si>
  <si>
    <t>Investing Cash Flows</t>
  </si>
  <si>
    <t>Change in Short Term Debt</t>
  </si>
  <si>
    <t>Financing Cash Flows</t>
  </si>
  <si>
    <t>Change in Long Term Debt</t>
  </si>
  <si>
    <t>Change in Other Long Term liabilities</t>
  </si>
  <si>
    <t>Change in Common Stock</t>
  </si>
  <si>
    <t>Change in APIC</t>
  </si>
  <si>
    <t>Change in Other Equity</t>
  </si>
  <si>
    <t>Cash Dividends</t>
  </si>
  <si>
    <t>Change in Other Long Term Assets</t>
  </si>
  <si>
    <t>Change in Long Term Investments &amp; Recievables</t>
  </si>
  <si>
    <t>Change in PP&amp;E Net</t>
  </si>
  <si>
    <t>Total change in cash position</t>
  </si>
  <si>
    <t>Change in Minority Interest</t>
  </si>
  <si>
    <t xml:space="preserve">    + Financing Revenue</t>
  </si>
  <si>
    <t xml:space="preserve">    + Asset Write-Down</t>
  </si>
  <si>
    <t xml:space="preserve">    + Impairment of Goodwill</t>
  </si>
  <si>
    <t xml:space="preserve">    + Impairment of Intangibles</t>
  </si>
  <si>
    <t xml:space="preserve">    + Legal Settlement</t>
  </si>
  <si>
    <t xml:space="preserve">    + Restructuring</t>
  </si>
  <si>
    <t xml:space="preserve">    + Sale of Investments</t>
  </si>
  <si>
    <t xml:space="preserve">    + Insurance Settlement</t>
  </si>
  <si>
    <t xml:space="preserve">  - (Income) Loss from Affiliates</t>
  </si>
  <si>
    <t xml:space="preserve">    + Deferred Tax Liabilities</t>
  </si>
  <si>
    <t>Differnece</t>
  </si>
  <si>
    <t>Total Use of Cash</t>
  </si>
  <si>
    <t xml:space="preserve">    + Investments in Affiliates</t>
  </si>
  <si>
    <t xml:space="preserve">    + Prepaid Pension Costs</t>
  </si>
  <si>
    <t xml:space="preserve">    + Deferred Tax Assets</t>
  </si>
  <si>
    <t xml:space="preserve">    + Assets Held-for-Sale</t>
  </si>
  <si>
    <t>Tesla Corp.</t>
  </si>
  <si>
    <t>Balance Sheet</t>
  </si>
  <si>
    <t>General Motors Corp.</t>
  </si>
  <si>
    <t>Income Statement</t>
  </si>
  <si>
    <t>Difference</t>
  </si>
  <si>
    <t>Balance Sheet Cash Check</t>
  </si>
  <si>
    <t>Liquity Ratios</t>
  </si>
  <si>
    <t>Current Ratio</t>
  </si>
  <si>
    <t>Quick Ratio</t>
  </si>
  <si>
    <t>Cash Ratio</t>
  </si>
  <si>
    <t>Interval Ratio</t>
  </si>
  <si>
    <t>Efficientcy Ratios</t>
  </si>
  <si>
    <t>Inventory Turnover Ratio</t>
  </si>
  <si>
    <t>Accounts Receivable Turnover Ratio</t>
  </si>
  <si>
    <t>Average Collection Period</t>
  </si>
  <si>
    <t>Fixed Asset Turnover Ratio</t>
  </si>
  <si>
    <t>Total Asset Turnover Ratio</t>
  </si>
  <si>
    <t>Leverge Ratios</t>
  </si>
  <si>
    <t>Total Debt Ratio</t>
  </si>
  <si>
    <t>Long-term Debt Ratio</t>
  </si>
  <si>
    <t>Long-term Debt to Total Capital Ratio</t>
  </si>
  <si>
    <t>Debt-Equity Ratio</t>
  </si>
  <si>
    <t>Profitability Ratios</t>
  </si>
  <si>
    <t>Gross Profit Margin</t>
  </si>
  <si>
    <t>Operating Profit Margin</t>
  </si>
  <si>
    <t>Net Profit Margin</t>
  </si>
  <si>
    <t>Return on Total Assets (ROA)</t>
  </si>
  <si>
    <t>Return on Equity (ROE)</t>
  </si>
  <si>
    <t>Dupont Analysis</t>
  </si>
  <si>
    <t>ROA</t>
  </si>
  <si>
    <t>Average Debt-Equity Ratio</t>
  </si>
  <si>
    <t>ROE</t>
  </si>
  <si>
    <t>Relative Analysis</t>
  </si>
  <si>
    <t>Tesla</t>
  </si>
  <si>
    <t>General Motors</t>
  </si>
  <si>
    <t>FY 2020*</t>
  </si>
  <si>
    <t>Estimated</t>
  </si>
  <si>
    <t>Tax Rate</t>
  </si>
  <si>
    <t>Dividends 2019</t>
  </si>
  <si>
    <t>FY 2020</t>
  </si>
  <si>
    <t>FY 2020 Estimate</t>
  </si>
  <si>
    <t>Date</t>
  </si>
  <si>
    <t>Return SP500</t>
  </si>
  <si>
    <t>Return Tesla</t>
  </si>
  <si>
    <t>GM</t>
  </si>
  <si>
    <t>Return GM</t>
  </si>
  <si>
    <t>Tesla Adj Close</t>
  </si>
  <si>
    <t>Beta Calculations</t>
  </si>
  <si>
    <t>Excess Return sp500</t>
  </si>
  <si>
    <t>Excess Return GM</t>
  </si>
  <si>
    <t>Excess Return tesla</t>
  </si>
  <si>
    <t>Return 10 Year BOND ETF</t>
  </si>
  <si>
    <t>Adj Close SP500</t>
  </si>
  <si>
    <t>Required Rates of Return</t>
  </si>
  <si>
    <t>Nominal Risk Free Rate</t>
  </si>
  <si>
    <t>Risk Premium for Market</t>
  </si>
  <si>
    <t>Long Term Debt</t>
  </si>
  <si>
    <t>Credit Rating</t>
  </si>
  <si>
    <t>RRR</t>
  </si>
  <si>
    <t>Credit Spread</t>
  </si>
  <si>
    <t>Tax Rates</t>
  </si>
  <si>
    <t>Common Equity</t>
  </si>
  <si>
    <t>Market Beta</t>
  </si>
  <si>
    <t>Required Rate of Return</t>
  </si>
  <si>
    <t>Weighted Average Cost of Capital</t>
  </si>
  <si>
    <t>Funding Sources</t>
  </si>
  <si>
    <t>Long Term Liabilities</t>
  </si>
  <si>
    <t>Total Capital</t>
  </si>
  <si>
    <t>WACC</t>
  </si>
  <si>
    <t>Share Price</t>
  </si>
  <si>
    <t>Shares Outstanding</t>
  </si>
  <si>
    <t>B3</t>
  </si>
  <si>
    <t>Tax Adjusted RRR</t>
  </si>
  <si>
    <t>Value</t>
  </si>
  <si>
    <t>Weight</t>
  </si>
  <si>
    <t>Shares Outstanding (In Millions)</t>
  </si>
  <si>
    <t>Net Working Capital</t>
  </si>
  <si>
    <t>Change in NWC</t>
  </si>
  <si>
    <t>Captial Expenditure</t>
  </si>
  <si>
    <t>Operating Free Cash Flows</t>
  </si>
  <si>
    <t>Free Cash Flow as Percenage of Sales</t>
  </si>
  <si>
    <t>Growth in Free Cash Flows 2019/2018</t>
  </si>
  <si>
    <t>Constant</t>
  </si>
  <si>
    <t>Present Value of Uneven Free Cash Flows</t>
  </si>
  <si>
    <t>Present Value of Constant Growth</t>
  </si>
  <si>
    <t>Baa3</t>
  </si>
  <si>
    <t>Tax Adjuested RRR</t>
  </si>
  <si>
    <t>Growth Rate Assumed</t>
  </si>
  <si>
    <t>OFCF</t>
  </si>
  <si>
    <t>Constant Growht Rate</t>
  </si>
  <si>
    <t>Common Dividends 2019 (Millions)</t>
  </si>
  <si>
    <t>*Estimated Cash Flows off by ammount the balance sheet is unbalanced.</t>
  </si>
  <si>
    <t>Debt</t>
  </si>
  <si>
    <t>Residual Equity</t>
  </si>
  <si>
    <t>Value Per Share</t>
  </si>
  <si>
    <t>Current Market Price</t>
  </si>
  <si>
    <t>Present Value of Firm</t>
  </si>
  <si>
    <t>Operating Free Cash Flows and Valuation</t>
  </si>
  <si>
    <t>Shares Outstanding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</si>
</sst>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#,##0.0"/>
    <numFmt numFmtId="165" formatCode="0.0"/>
    <numFmt numFmtId="166" formatCode="0.00000%"/>
    <numFmt numFmtId="167" formatCode="0.000%"/>
  </numFmts>
  <fonts count="5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16"/>
      <color indexed="9"/>
      <name val="Times New Roman"/>
      <family val="1"/>
    </font>
    <font>
      <b/>
      <sz val="10"/>
      <color indexed="9"/>
      <name val="Times New Roman"/>
      <family val="1"/>
    </font>
    <font>
      <b/>
      <sz val="10"/>
      <color indexed="8"/>
      <name val="Times New Roman"/>
      <family val="1"/>
    </font>
    <font>
      <sz val="10"/>
      <color indexed="63"/>
      <name val="Times New Roman"/>
      <family val="1"/>
    </font>
    <font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i/>
      <sz val="10"/>
      <color indexed="63"/>
      <name val="Times New Roman"/>
      <family val="1"/>
    </font>
    <font>
      <b/>
      <sz val="10"/>
      <color indexed="63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9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0"/>
      <name val="Times New Roman"/>
      <family val="1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  <font>
      <b/>
      <sz val="10"/>
      <color theme="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8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164" fontId="1" fillId="34" borderId="2">
      <alignment horizontal="right"/>
    </xf>
    <xf numFmtId="3" fontId="8" fillId="34" borderId="2">
      <alignment horizontal="right"/>
    </xf>
    <xf numFmtId="164" fontId="8" fillId="34" borderId="2">
      <alignment horizontal="right"/>
    </xf>
    <xf numFmtId="164" fontId="11" fillId="34" borderId="2">
      <alignment horizontal="right"/>
    </xf>
    <xf numFmtId="0" fontId="7" fillId="33" borderId="16">
      <alignment horizontal="left"/>
    </xf>
    <xf numFmtId="0" fontId="7" fillId="33" borderId="16">
      <alignment horizontal="right"/>
    </xf>
    <xf numFmtId="0" fontId="7" fillId="33" borderId="17">
      <alignment horizontal="left"/>
    </xf>
    <xf numFmtId="0" fontId="7" fillId="33" borderId="17">
      <alignment horizontal="right"/>
    </xf>
    <xf numFmtId="0" fontId="8" fillId="34" borderId="18"/>
    <xf numFmtId="0" fontId="3" fillId="34" borderId="18"/>
    <xf numFmtId="0" fontId="4" fillId="34" borderId="18"/>
    <xf numFmtId="9" fontId="12" fillId="0" borderId="0" applyFont="0" applyFill="0" applyBorder="0" applyAlignment="0" applyProtection="0"/>
    <xf numFmtId="0" fontId="29" fillId="0" borderId="0"/>
    <xf numFmtId="0" fontId="31" fillId="0" borderId="0"/>
    <xf numFmtId="43" fontId="12" fillId="0" borderId="0" applyFont="0" applyFill="0" applyBorder="0" applyAlignment="0" applyProtection="0"/>
  </cellStyleXfs>
  <cellXfs count="120">
    <xf numFmtId="0" fontId="0" fillId="0" borderId="0" xfId="0"/>
    <xf numFmtId="0" fontId="30" fillId="0" borderId="0" xfId="65" applyFont="1" applyAlignment="1">
      <alignment horizontal="left" vertical="center"/>
    </xf>
    <xf numFmtId="0" fontId="30" fillId="0" borderId="0" xfId="66" applyFont="1" applyAlignment="1">
      <alignment horizontal="left" vertical="center"/>
    </xf>
    <xf numFmtId="0" fontId="30" fillId="0" borderId="0" xfId="65" applyFont="1" applyBorder="1" applyAlignment="1">
      <alignment horizontal="left" vertical="center"/>
    </xf>
    <xf numFmtId="0" fontId="30" fillId="0" borderId="0" xfId="66" applyFont="1" applyBorder="1" applyAlignment="1">
      <alignment horizontal="left" vertical="center"/>
    </xf>
    <xf numFmtId="0" fontId="32" fillId="0" borderId="0" xfId="66" applyFont="1" applyBorder="1" applyAlignment="1">
      <alignment horizontal="left" vertical="center"/>
    </xf>
    <xf numFmtId="0" fontId="33" fillId="0" borderId="0" xfId="0" applyFont="1"/>
    <xf numFmtId="0" fontId="34" fillId="33" borderId="15" xfId="51" applyFont="1" applyAlignment="1">
      <alignment horizontal="center" vertical="center" readingOrder="1"/>
    </xf>
    <xf numFmtId="0" fontId="35" fillId="33" borderId="3" xfId="33" applyNumberFormat="1" applyFont="1" applyFill="1" applyBorder="1" applyAlignment="1" applyProtection="1">
      <alignment horizontal="left"/>
    </xf>
    <xf numFmtId="0" fontId="35" fillId="33" borderId="3" xfId="32" applyNumberFormat="1" applyFont="1" applyFill="1" applyBorder="1" applyAlignment="1" applyProtection="1">
      <alignment horizontal="right"/>
    </xf>
    <xf numFmtId="0" fontId="35" fillId="33" borderId="16" xfId="57" applyNumberFormat="1" applyFont="1" applyFill="1" applyBorder="1" applyAlignment="1" applyProtection="1">
      <alignment horizontal="left"/>
    </xf>
    <xf numFmtId="0" fontId="35" fillId="33" borderId="16" xfId="58" applyNumberFormat="1" applyFont="1" applyFill="1" applyBorder="1" applyAlignment="1" applyProtection="1">
      <alignment horizontal="right"/>
    </xf>
    <xf numFmtId="0" fontId="35" fillId="33" borderId="1" xfId="52" applyFont="1">
      <alignment horizontal="left"/>
    </xf>
    <xf numFmtId="0" fontId="35" fillId="33" borderId="1" xfId="30" applyNumberFormat="1" applyFont="1" applyFill="1" applyBorder="1" applyAlignment="1" applyProtection="1">
      <alignment horizontal="right"/>
    </xf>
    <xf numFmtId="0" fontId="35" fillId="33" borderId="17" xfId="59" applyFont="1">
      <alignment horizontal="left"/>
    </xf>
    <xf numFmtId="0" fontId="35" fillId="33" borderId="17" xfId="60" applyNumberFormat="1" applyFont="1" applyFill="1" applyBorder="1" applyAlignment="1" applyProtection="1">
      <alignment horizontal="right"/>
    </xf>
    <xf numFmtId="0" fontId="36" fillId="34" borderId="5" xfId="35" applyNumberFormat="1" applyFont="1" applyFill="1" applyBorder="1" applyAlignment="1" applyProtection="1"/>
    <xf numFmtId="3" fontId="36" fillId="34" borderId="2" xfId="54" applyNumberFormat="1" applyFont="1" applyFill="1" applyBorder="1" applyAlignment="1" applyProtection="1">
      <alignment horizontal="right"/>
    </xf>
    <xf numFmtId="0" fontId="36" fillId="34" borderId="18" xfId="61" applyNumberFormat="1" applyFont="1" applyFill="1" applyBorder="1" applyAlignment="1" applyProtection="1"/>
    <xf numFmtId="0" fontId="33" fillId="0" borderId="5" xfId="1" applyNumberFormat="1" applyFont="1" applyFill="1" applyBorder="1" applyAlignment="1" applyProtection="1"/>
    <xf numFmtId="164" fontId="33" fillId="0" borderId="2" xfId="1" applyNumberFormat="1" applyFont="1" applyFill="1" applyBorder="1" applyAlignment="1" applyProtection="1">
      <alignment horizontal="right"/>
    </xf>
    <xf numFmtId="0" fontId="37" fillId="0" borderId="18" xfId="62" applyNumberFormat="1" applyFont="1" applyFill="1" applyBorder="1" applyAlignment="1" applyProtection="1"/>
    <xf numFmtId="164" fontId="38" fillId="34" borderId="2" xfId="53" applyNumberFormat="1" applyFont="1" applyFill="1" applyBorder="1" applyAlignment="1" applyProtection="1">
      <alignment horizontal="right"/>
    </xf>
    <xf numFmtId="0" fontId="37" fillId="34" borderId="5" xfId="37" applyNumberFormat="1" applyFont="1" applyFill="1" applyBorder="1" applyAlignment="1" applyProtection="1"/>
    <xf numFmtId="0" fontId="37" fillId="34" borderId="18" xfId="62" applyNumberFormat="1" applyFont="1" applyFill="1" applyBorder="1" applyAlignment="1" applyProtection="1"/>
    <xf numFmtId="0" fontId="37" fillId="0" borderId="5" xfId="37" applyNumberFormat="1" applyFont="1" applyFill="1" applyBorder="1" applyAlignment="1" applyProtection="1"/>
    <xf numFmtId="164" fontId="36" fillId="34" borderId="2" xfId="55" applyNumberFormat="1" applyFont="1" applyFill="1" applyBorder="1" applyAlignment="1" applyProtection="1">
      <alignment horizontal="right"/>
    </xf>
    <xf numFmtId="164" fontId="39" fillId="34" borderId="2" xfId="56" applyNumberFormat="1" applyFont="1" applyFill="1" applyBorder="1" applyAlignment="1" applyProtection="1">
      <alignment horizontal="right"/>
    </xf>
    <xf numFmtId="0" fontId="40" fillId="34" borderId="5" xfId="36" applyNumberFormat="1" applyFont="1" applyFill="1" applyBorder="1" applyAlignment="1" applyProtection="1"/>
    <xf numFmtId="0" fontId="40" fillId="34" borderId="18" xfId="63" applyNumberFormat="1" applyFont="1" applyFill="1" applyBorder="1" applyAlignment="1" applyProtection="1"/>
    <xf numFmtId="0" fontId="41" fillId="34" borderId="5" xfId="37" applyNumberFormat="1" applyFont="1" applyFill="1" applyBorder="1" applyAlignment="1" applyProtection="1"/>
    <xf numFmtId="164" fontId="36" fillId="34" borderId="2" xfId="53" applyNumberFormat="1" applyFont="1" applyFill="1" applyBorder="1" applyAlignment="1" applyProtection="1">
      <alignment horizontal="right"/>
    </xf>
    <xf numFmtId="0" fontId="41" fillId="34" borderId="18" xfId="62" applyNumberFormat="1" applyFont="1" applyFill="1" applyBorder="1" applyAlignment="1" applyProtection="1"/>
    <xf numFmtId="0" fontId="39" fillId="35" borderId="4" xfId="34" applyFont="1" applyFill="1" applyBorder="1"/>
    <xf numFmtId="0" fontId="30" fillId="34" borderId="0" xfId="31" applyFont="1" applyFill="1" applyAlignment="1">
      <alignment horizontal="center"/>
    </xf>
    <xf numFmtId="0" fontId="42" fillId="0" borderId="0" xfId="0" applyFont="1" applyAlignment="1">
      <alignment horizontal="center"/>
    </xf>
    <xf numFmtId="0" fontId="42" fillId="0" borderId="0" xfId="0" applyFont="1"/>
    <xf numFmtId="0" fontId="43" fillId="33" borderId="0" xfId="26" applyFont="1"/>
    <xf numFmtId="164" fontId="33" fillId="0" borderId="0" xfId="0" applyNumberFormat="1" applyFont="1"/>
    <xf numFmtId="0" fontId="33" fillId="0" borderId="0" xfId="0" applyFont="1" applyBorder="1"/>
    <xf numFmtId="164" fontId="33" fillId="0" borderId="0" xfId="0" applyNumberFormat="1" applyFont="1" applyBorder="1"/>
    <xf numFmtId="0" fontId="33" fillId="0" borderId="19" xfId="0" applyFont="1" applyBorder="1"/>
    <xf numFmtId="164" fontId="33" fillId="0" borderId="19" xfId="0" applyNumberFormat="1" applyFont="1" applyBorder="1"/>
    <xf numFmtId="165" fontId="42" fillId="0" borderId="0" xfId="0" applyNumberFormat="1" applyFont="1"/>
    <xf numFmtId="164" fontId="42" fillId="0" borderId="0" xfId="0" applyNumberFormat="1" applyFont="1"/>
    <xf numFmtId="3" fontId="42" fillId="0" borderId="0" xfId="0" applyNumberFormat="1" applyFont="1"/>
    <xf numFmtId="3" fontId="33" fillId="0" borderId="0" xfId="0" applyNumberFormat="1" applyFont="1"/>
    <xf numFmtId="0" fontId="35" fillId="33" borderId="0" xfId="57" applyFont="1" applyBorder="1">
      <alignment horizontal="left"/>
    </xf>
    <xf numFmtId="10" fontId="33" fillId="0" borderId="0" xfId="64" applyNumberFormat="1" applyFont="1"/>
    <xf numFmtId="0" fontId="39" fillId="35" borderId="0" xfId="34" applyFont="1" applyFill="1" applyBorder="1"/>
    <xf numFmtId="14" fontId="35" fillId="33" borderId="17" xfId="59" applyNumberFormat="1" applyFont="1">
      <alignment horizontal="left"/>
    </xf>
    <xf numFmtId="0" fontId="0" fillId="0" borderId="19" xfId="0" applyBorder="1"/>
    <xf numFmtId="14" fontId="35" fillId="33" borderId="1" xfId="30" applyNumberFormat="1" applyFont="1" applyFill="1" applyBorder="1" applyAlignment="1" applyProtection="1">
      <alignment horizontal="right"/>
    </xf>
    <xf numFmtId="0" fontId="35" fillId="33" borderId="3" xfId="33" applyNumberFormat="1" applyFont="1" applyFill="1" applyBorder="1" applyAlignment="1" applyProtection="1">
      <alignment horizontal="right"/>
    </xf>
    <xf numFmtId="14" fontId="35" fillId="33" borderId="1" xfId="52" applyNumberFormat="1" applyFont="1" applyAlignment="1">
      <alignment horizontal="right"/>
    </xf>
    <xf numFmtId="164" fontId="38" fillId="34" borderId="2" xfId="55" applyNumberFormat="1" applyFont="1" applyFill="1" applyBorder="1" applyAlignment="1" applyProtection="1">
      <alignment horizontal="right"/>
    </xf>
    <xf numFmtId="9" fontId="33" fillId="0" borderId="0" xfId="0" applyNumberFormat="1" applyFont="1"/>
    <xf numFmtId="3" fontId="36" fillId="34" borderId="17" xfId="54" applyNumberFormat="1" applyFont="1" applyFill="1" applyBorder="1" applyAlignment="1" applyProtection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 indent="1"/>
    </xf>
    <xf numFmtId="165" fontId="33" fillId="0" borderId="19" xfId="0" applyNumberFormat="1" applyFont="1" applyBorder="1" applyAlignment="1">
      <alignment horizontal="right" indent="1"/>
    </xf>
    <xf numFmtId="165" fontId="27" fillId="0" borderId="0" xfId="0" applyNumberFormat="1" applyFont="1" applyAlignment="1">
      <alignment horizontal="right" indent="1"/>
    </xf>
    <xf numFmtId="2" fontId="33" fillId="0" borderId="0" xfId="0" applyNumberFormat="1" applyFont="1"/>
    <xf numFmtId="165" fontId="33" fillId="0" borderId="0" xfId="0" applyNumberFormat="1" applyFont="1"/>
    <xf numFmtId="165" fontId="33" fillId="0" borderId="0" xfId="0" applyNumberFormat="1" applyFont="1" applyBorder="1"/>
    <xf numFmtId="165" fontId="33" fillId="0" borderId="19" xfId="0" applyNumberFormat="1" applyFont="1" applyBorder="1"/>
    <xf numFmtId="9" fontId="0" fillId="0" borderId="0" xfId="64" applyFont="1"/>
    <xf numFmtId="10" fontId="0" fillId="0" borderId="0" xfId="64" applyNumberFormat="1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10" fontId="45" fillId="0" borderId="0" xfId="64" applyNumberFormat="1" applyFont="1"/>
    <xf numFmtId="14" fontId="45" fillId="0" borderId="0" xfId="0" applyNumberFormat="1" applyFont="1"/>
    <xf numFmtId="10" fontId="0" fillId="0" borderId="0" xfId="0" applyNumberFormat="1"/>
    <xf numFmtId="0" fontId="47" fillId="0" borderId="0" xfId="0" applyFont="1"/>
    <xf numFmtId="10" fontId="47" fillId="0" borderId="0" xfId="0" applyNumberFormat="1" applyFont="1"/>
    <xf numFmtId="2" fontId="33" fillId="0" borderId="21" xfId="0" applyNumberFormat="1" applyFont="1" applyBorder="1"/>
    <xf numFmtId="0" fontId="42" fillId="0" borderId="21" xfId="0" applyFont="1" applyBorder="1"/>
    <xf numFmtId="10" fontId="12" fillId="0" borderId="0" xfId="64" applyNumberFormat="1" applyFont="1"/>
    <xf numFmtId="0" fontId="44" fillId="0" borderId="0" xfId="0" applyNumberFormat="1" applyFont="1"/>
    <xf numFmtId="0" fontId="44" fillId="0" borderId="0" xfId="0" applyFont="1" applyBorder="1"/>
    <xf numFmtId="0" fontId="44" fillId="0" borderId="21" xfId="0" applyFont="1" applyBorder="1" applyAlignment="1">
      <alignment horizontal="left" indent="1"/>
    </xf>
    <xf numFmtId="9" fontId="44" fillId="0" borderId="21" xfId="0" applyNumberFormat="1" applyFont="1" applyBorder="1"/>
    <xf numFmtId="9" fontId="44" fillId="0" borderId="0" xfId="0" applyNumberFormat="1" applyFont="1"/>
    <xf numFmtId="0" fontId="48" fillId="0" borderId="21" xfId="0" applyFont="1" applyBorder="1"/>
    <xf numFmtId="0" fontId="44" fillId="0" borderId="21" xfId="0" applyFont="1" applyBorder="1"/>
    <xf numFmtId="10" fontId="44" fillId="0" borderId="21" xfId="0" applyNumberFormat="1" applyFont="1" applyBorder="1"/>
    <xf numFmtId="10" fontId="44" fillId="0" borderId="0" xfId="0" applyNumberFormat="1" applyFont="1"/>
    <xf numFmtId="10" fontId="48" fillId="0" borderId="21" xfId="0" applyNumberFormat="1" applyFont="1" applyBorder="1"/>
    <xf numFmtId="166" fontId="44" fillId="0" borderId="21" xfId="0" applyNumberFormat="1" applyFont="1" applyBorder="1"/>
    <xf numFmtId="166" fontId="44" fillId="0" borderId="0" xfId="0" applyNumberFormat="1" applyFont="1"/>
    <xf numFmtId="2" fontId="44" fillId="0" borderId="21" xfId="0" applyNumberFormat="1" applyFont="1" applyBorder="1"/>
    <xf numFmtId="2" fontId="44" fillId="0" borderId="0" xfId="0" applyNumberFormat="1" applyFont="1"/>
    <xf numFmtId="10" fontId="44" fillId="0" borderId="21" xfId="64" applyNumberFormat="1" applyFont="1" applyBorder="1"/>
    <xf numFmtId="9" fontId="44" fillId="0" borderId="21" xfId="64" applyFont="1" applyBorder="1"/>
    <xf numFmtId="6" fontId="44" fillId="0" borderId="21" xfId="0" applyNumberFormat="1" applyFont="1" applyBorder="1"/>
    <xf numFmtId="8" fontId="44" fillId="0" borderId="21" xfId="0" applyNumberFormat="1" applyFont="1" applyBorder="1"/>
    <xf numFmtId="167" fontId="48" fillId="0" borderId="21" xfId="0" applyNumberFormat="1" applyFont="1" applyBorder="1"/>
    <xf numFmtId="6" fontId="44" fillId="0" borderId="0" xfId="0" applyNumberFormat="1" applyFont="1"/>
    <xf numFmtId="10" fontId="44" fillId="0" borderId="21" xfId="0" applyNumberFormat="1" applyFont="1" applyBorder="1" applyAlignment="1">
      <alignment horizontal="right"/>
    </xf>
    <xf numFmtId="2" fontId="48" fillId="0" borderId="21" xfId="0" applyNumberFormat="1" applyFont="1" applyBorder="1"/>
    <xf numFmtId="43" fontId="44" fillId="0" borderId="21" xfId="67" applyFont="1" applyBorder="1"/>
    <xf numFmtId="0" fontId="51" fillId="36" borderId="20" xfId="0" applyFont="1" applyFill="1" applyBorder="1"/>
    <xf numFmtId="0" fontId="52" fillId="36" borderId="20" xfId="0" applyFont="1" applyFill="1" applyBorder="1"/>
    <xf numFmtId="0" fontId="52" fillId="36" borderId="0" xfId="0" applyFont="1" applyFill="1"/>
    <xf numFmtId="0" fontId="51" fillId="36" borderId="20" xfId="0" applyFont="1" applyFill="1" applyBorder="1" applyAlignment="1"/>
    <xf numFmtId="0" fontId="52" fillId="36" borderId="20" xfId="0" applyFont="1" applyFill="1" applyBorder="1" applyAlignment="1"/>
    <xf numFmtId="0" fontId="52" fillId="36" borderId="0" xfId="0" applyFont="1" applyFill="1" applyAlignment="1"/>
    <xf numFmtId="0" fontId="53" fillId="36" borderId="20" xfId="0" applyFont="1" applyFill="1" applyBorder="1" applyAlignment="1">
      <alignment horizontal="center" wrapText="1"/>
    </xf>
    <xf numFmtId="0" fontId="50" fillId="36" borderId="0" xfId="0" applyFont="1" applyFill="1" applyBorder="1" applyAlignment="1">
      <alignment horizontal="left"/>
    </xf>
    <xf numFmtId="43" fontId="44" fillId="0" borderId="21" xfId="0" applyNumberFormat="1" applyFont="1" applyBorder="1"/>
    <xf numFmtId="0" fontId="44" fillId="0" borderId="22" xfId="0" applyFont="1" applyBorder="1"/>
    <xf numFmtId="6" fontId="44" fillId="0" borderId="22" xfId="0" applyNumberFormat="1" applyFont="1" applyBorder="1"/>
    <xf numFmtId="2" fontId="35" fillId="33" borderId="0" xfId="57" applyNumberFormat="1" applyFont="1" applyBorder="1">
      <alignment horizontal="left"/>
    </xf>
    <xf numFmtId="10" fontId="42" fillId="0" borderId="0" xfId="64" applyNumberFormat="1" applyFont="1"/>
    <xf numFmtId="0" fontId="34" fillId="33" borderId="19" xfId="51" applyFont="1" applyFill="1" applyBorder="1" applyAlignment="1">
      <alignment horizontal="center" vertical="center" readingOrder="1"/>
    </xf>
    <xf numFmtId="0" fontId="34" fillId="33" borderId="15" xfId="51" applyFont="1" applyFill="1" applyBorder="1" applyAlignment="1">
      <alignment horizontal="center" vertical="center" readingOrder="1"/>
    </xf>
    <xf numFmtId="0" fontId="34" fillId="33" borderId="15" xfId="51" applyFont="1" applyAlignment="1">
      <alignment horizontal="center" vertical="center" readingOrder="1"/>
    </xf>
    <xf numFmtId="0" fontId="49" fillId="36" borderId="20" xfId="30" applyFont="1" applyFill="1" applyBorder="1" applyAlignment="1">
      <alignment horizontal="left"/>
    </xf>
    <xf numFmtId="0" fontId="42" fillId="0" borderId="20" xfId="0" applyFont="1" applyBorder="1" applyAlignment="1">
      <alignment horizontal="right"/>
    </xf>
  </cellXfs>
  <cellStyles count="6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Comma" xfId="67" builtinId="3"/>
    <cellStyle name="Explanatory Text" xfId="29" builtinId="53" customBuiltin="1"/>
    <cellStyle name="fa_column_header_bottom" xfId="30" xr:uid="{00000000-0005-0000-0000-00001E000000}"/>
    <cellStyle name="fa_column_header_bottom 2" xfId="60" xr:uid="{744584FC-FAAD-C84A-B318-FFB8A8D448E7}"/>
    <cellStyle name="fa_column_header_bottom_left" xfId="52" xr:uid="{00000000-0005-0000-0000-000020000000}"/>
    <cellStyle name="fa_column_header_bottom_left 2" xfId="59" xr:uid="{EB1E7D59-4C79-C04C-B664-DB5BCE3B7EF0}"/>
    <cellStyle name="fa_column_header_empty" xfId="31" xr:uid="{00000000-0005-0000-0000-000021000000}"/>
    <cellStyle name="fa_column_header_top" xfId="32" xr:uid="{00000000-0005-0000-0000-000022000000}"/>
    <cellStyle name="fa_column_header_top 2" xfId="58" xr:uid="{81E76FE7-79A2-CB4B-AF4A-CDF9B564178C}"/>
    <cellStyle name="fa_column_header_top_left" xfId="33" xr:uid="{00000000-0005-0000-0000-000024000000}"/>
    <cellStyle name="fa_column_header_top_left 2" xfId="57" xr:uid="{8F9383D4-A74F-A54D-B432-B7973CA5D30A}"/>
    <cellStyle name="fa_data_bold_0_grouped" xfId="54" xr:uid="{00000000-0005-0000-0000-000025000000}"/>
    <cellStyle name="fa_data_bold_1_grouped" xfId="55" xr:uid="{00000000-0005-0000-0000-000026000000}"/>
    <cellStyle name="fa_data_italic_1_grouped" xfId="56" xr:uid="{00000000-0005-0000-0000-000036000000}"/>
    <cellStyle name="fa_data_standard_1_grouped" xfId="53" xr:uid="{00000000-0005-0000-0000-000039000000}"/>
    <cellStyle name="fa_footer_italic" xfId="34" xr:uid="{00000000-0005-0000-0000-00003F000000}"/>
    <cellStyle name="fa_row_header_bold" xfId="35" xr:uid="{00000000-0005-0000-0000-000040000000}"/>
    <cellStyle name="fa_row_header_bold 2" xfId="61" xr:uid="{FBFCD437-8B37-2D4A-A191-132DB12BF3D5}"/>
    <cellStyle name="fa_row_header_italic" xfId="36" xr:uid="{00000000-0005-0000-0000-000041000000}"/>
    <cellStyle name="fa_row_header_italic 2" xfId="63" xr:uid="{FD230483-9BB9-AF4F-9CC1-D069289CFC49}"/>
    <cellStyle name="fa_row_header_standard" xfId="37" xr:uid="{00000000-0005-0000-0000-000042000000}"/>
    <cellStyle name="fa_row_header_standard 2" xfId="62" xr:uid="{3DFA3B90-99E4-2345-89AF-B4ABAFF1A816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rmal 2" xfId="66" xr:uid="{E58CB73E-B9FD-7B4D-9096-D2A194DC23C3}"/>
    <cellStyle name="Normal_Sheet2" xfId="65" xr:uid="{A4450958-21B4-794E-8D27-1D9CEB467F79}"/>
    <cellStyle name="Note" xfId="46" builtinId="10" customBuiltin="1"/>
    <cellStyle name="Output" xfId="47" builtinId="21" customBuiltin="1"/>
    <cellStyle name="Percent" xfId="64" builtinId="5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1553-1D11-4149-A6E3-E5CB83E3A20A}">
  <dimension ref="A1:K102"/>
  <sheetViews>
    <sheetView topLeftCell="A26" zoomScale="110" zoomScaleNormal="110" workbookViewId="0">
      <selection activeCell="E44" sqref="E44"/>
    </sheetView>
  </sheetViews>
  <sheetFormatPr baseColWidth="10" defaultRowHeight="15"/>
  <cols>
    <col min="1" max="1" width="48" customWidth="1"/>
    <col min="2" max="2" width="10.83203125" customWidth="1"/>
    <col min="7" max="7" width="46.83203125" customWidth="1"/>
  </cols>
  <sheetData>
    <row r="1" spans="1:11">
      <c r="A1" s="6"/>
      <c r="B1" s="6"/>
      <c r="C1" s="6"/>
      <c r="D1" s="6"/>
      <c r="F1" s="6"/>
      <c r="G1" s="6"/>
      <c r="H1" s="6"/>
      <c r="I1" s="6"/>
      <c r="J1" s="6"/>
    </row>
    <row r="2" spans="1:11">
      <c r="A2" s="6"/>
      <c r="B2" s="6"/>
      <c r="C2" s="6"/>
      <c r="D2" s="6"/>
      <c r="F2" s="6"/>
      <c r="G2" s="6"/>
      <c r="H2" s="6"/>
      <c r="I2" s="6"/>
      <c r="J2" s="6"/>
    </row>
    <row r="3" spans="1:11">
      <c r="A3" s="41"/>
      <c r="B3" s="41"/>
      <c r="C3" s="41"/>
      <c r="D3" s="41"/>
      <c r="E3" s="51"/>
      <c r="F3" s="6"/>
      <c r="G3" s="41"/>
      <c r="H3" s="41"/>
      <c r="I3" s="41"/>
      <c r="J3" s="41"/>
      <c r="K3" s="51"/>
    </row>
    <row r="4" spans="1:11" ht="49" customHeight="1">
      <c r="A4" s="115" t="s">
        <v>163</v>
      </c>
      <c r="B4" s="115"/>
      <c r="C4" s="115"/>
      <c r="D4" s="115"/>
      <c r="E4" s="115"/>
      <c r="F4" s="6"/>
      <c r="G4" s="115" t="s">
        <v>165</v>
      </c>
      <c r="H4" s="115"/>
      <c r="I4" s="115"/>
      <c r="J4" s="115"/>
      <c r="K4" s="115"/>
    </row>
    <row r="5" spans="1:11" ht="51" customHeight="1">
      <c r="A5" s="116" t="s">
        <v>166</v>
      </c>
      <c r="B5" s="116"/>
      <c r="C5" s="116"/>
      <c r="D5" s="116"/>
      <c r="E5" s="116"/>
      <c r="F5" s="6"/>
      <c r="G5" s="116" t="s">
        <v>166</v>
      </c>
      <c r="H5" s="116"/>
      <c r="I5" s="116"/>
      <c r="J5" s="116"/>
      <c r="K5" s="116"/>
    </row>
    <row r="6" spans="1:11">
      <c r="A6" s="34"/>
      <c r="B6" s="34"/>
      <c r="C6" s="34"/>
      <c r="D6" s="34"/>
      <c r="F6" s="6"/>
      <c r="G6" s="34"/>
      <c r="H6" s="34"/>
      <c r="I6" s="34"/>
      <c r="J6" s="34"/>
    </row>
    <row r="7" spans="1:11">
      <c r="A7" s="8" t="s">
        <v>2</v>
      </c>
      <c r="B7" s="53">
        <v>2020</v>
      </c>
      <c r="C7" s="9">
        <v>2019</v>
      </c>
      <c r="D7" s="9">
        <v>2018</v>
      </c>
      <c r="E7" s="9">
        <v>2017</v>
      </c>
      <c r="F7" s="6"/>
      <c r="G7" s="10" t="s">
        <v>2</v>
      </c>
      <c r="H7" s="10">
        <v>2020</v>
      </c>
      <c r="I7" s="11">
        <v>2019</v>
      </c>
      <c r="J7" s="11">
        <v>2018</v>
      </c>
      <c r="K7" s="11">
        <v>2017</v>
      </c>
    </row>
    <row r="8" spans="1:11">
      <c r="A8" s="12" t="s">
        <v>6</v>
      </c>
      <c r="B8" s="54" t="s">
        <v>199</v>
      </c>
      <c r="C8" s="13" t="s">
        <v>9</v>
      </c>
      <c r="D8" s="13" t="s">
        <v>8</v>
      </c>
      <c r="E8" s="13" t="s">
        <v>7</v>
      </c>
      <c r="F8" s="6"/>
      <c r="G8" s="14" t="s">
        <v>6</v>
      </c>
      <c r="H8" s="50" t="s">
        <v>199</v>
      </c>
      <c r="I8" s="15" t="s">
        <v>9</v>
      </c>
      <c r="J8" s="15" t="s">
        <v>8</v>
      </c>
      <c r="K8" s="15" t="s">
        <v>7</v>
      </c>
    </row>
    <row r="9" spans="1:11">
      <c r="A9" s="16" t="s">
        <v>0</v>
      </c>
      <c r="B9" s="26" cm="1">
        <f t="array" ref="B9">TREND(C9:E9,C7:E7,B7)</f>
        <v>32085.255333332345</v>
      </c>
      <c r="C9" s="26">
        <v>24578</v>
      </c>
      <c r="D9" s="26">
        <v>21461.268</v>
      </c>
      <c r="E9" s="26">
        <v>11758.751</v>
      </c>
      <c r="F9" s="38"/>
      <c r="G9" s="18" t="s">
        <v>0</v>
      </c>
      <c r="H9" s="26" cm="1">
        <f t="array" ref="H9">TREND(I9:K9,I7:K7,H7)</f>
        <v>134940.33333333395</v>
      </c>
      <c r="I9" s="26">
        <v>137237</v>
      </c>
      <c r="J9" s="26">
        <v>147049</v>
      </c>
      <c r="K9" s="26">
        <v>145588</v>
      </c>
    </row>
    <row r="10" spans="1:11">
      <c r="A10" s="23" t="s">
        <v>10</v>
      </c>
      <c r="B10" s="22"/>
      <c r="C10" s="22">
        <v>23047</v>
      </c>
      <c r="D10" s="22">
        <v>19906.024000000001</v>
      </c>
      <c r="E10" s="22">
        <v>10642.485000000001</v>
      </c>
      <c r="F10" s="6"/>
      <c r="G10" s="24" t="s">
        <v>10</v>
      </c>
      <c r="H10" s="22"/>
      <c r="I10" s="22">
        <v>122697</v>
      </c>
      <c r="J10" s="22">
        <v>133045</v>
      </c>
      <c r="K10" s="22">
        <v>133449</v>
      </c>
    </row>
    <row r="11" spans="1:11">
      <c r="A11" s="23" t="s">
        <v>11</v>
      </c>
      <c r="B11" s="22"/>
      <c r="C11" s="22">
        <v>1531</v>
      </c>
      <c r="D11" s="22">
        <v>1555.2439999999999</v>
      </c>
      <c r="E11" s="22">
        <v>1116.2660000000001</v>
      </c>
      <c r="F11" s="6"/>
      <c r="G11" s="24" t="s">
        <v>147</v>
      </c>
      <c r="H11" s="22"/>
      <c r="I11" s="22">
        <v>14540</v>
      </c>
      <c r="J11" s="22">
        <v>14004</v>
      </c>
      <c r="K11" s="22">
        <v>12139</v>
      </c>
    </row>
    <row r="12" spans="1:11">
      <c r="A12" s="23" t="s">
        <v>13</v>
      </c>
      <c r="B12" s="22" cm="1">
        <f t="array" ref="B12">AVERAGE(C12:E12/C9:E9)*B9</f>
        <v>26278.873366813696</v>
      </c>
      <c r="C12" s="22">
        <v>20509</v>
      </c>
      <c r="D12" s="22">
        <v>17419.246999999999</v>
      </c>
      <c r="E12" s="22">
        <v>9536.2639999999992</v>
      </c>
      <c r="F12" s="6"/>
      <c r="G12" s="24" t="s">
        <v>11</v>
      </c>
      <c r="H12" s="22"/>
      <c r="I12" s="22" t="s">
        <v>12</v>
      </c>
      <c r="J12" s="22" t="s">
        <v>12</v>
      </c>
      <c r="K12" s="22" t="s">
        <v>12</v>
      </c>
    </row>
    <row r="13" spans="1:11">
      <c r="A13" s="23" t="s">
        <v>14</v>
      </c>
      <c r="B13" s="26"/>
      <c r="C13" s="22">
        <v>20509</v>
      </c>
      <c r="D13" s="22">
        <v>17419.246999999999</v>
      </c>
      <c r="E13" s="22">
        <v>9536.2639999999992</v>
      </c>
      <c r="F13" s="6"/>
      <c r="G13" s="24" t="s">
        <v>13</v>
      </c>
      <c r="H13" s="22" cm="1">
        <f t="array" ref="H13">AVERAGE(I13:K13/I9:K9)*H9</f>
        <v>109082.80756124365</v>
      </c>
      <c r="I13" s="22">
        <v>110651</v>
      </c>
      <c r="J13" s="22">
        <v>120656</v>
      </c>
      <c r="K13" s="22">
        <v>116229</v>
      </c>
    </row>
    <row r="14" spans="1:11">
      <c r="A14" s="16" t="s">
        <v>1</v>
      </c>
      <c r="B14" s="31">
        <f>B9-B12</f>
        <v>5806.3819665186493</v>
      </c>
      <c r="C14" s="26">
        <v>4069</v>
      </c>
      <c r="D14" s="26">
        <v>4042.0210000000002</v>
      </c>
      <c r="E14" s="26">
        <v>2222.4870000000001</v>
      </c>
      <c r="F14" s="38"/>
      <c r="G14" s="24" t="s">
        <v>14</v>
      </c>
      <c r="H14" s="22"/>
      <c r="I14" s="22">
        <v>103851</v>
      </c>
      <c r="J14" s="22">
        <v>112856</v>
      </c>
      <c r="K14" s="22">
        <v>108929</v>
      </c>
    </row>
    <row r="15" spans="1:11">
      <c r="A15" s="23" t="s">
        <v>15</v>
      </c>
      <c r="B15" s="22">
        <f>C15</f>
        <v>0</v>
      </c>
      <c r="C15" s="22">
        <v>0</v>
      </c>
      <c r="D15" s="22">
        <v>0</v>
      </c>
      <c r="E15" s="22">
        <v>0</v>
      </c>
      <c r="F15" s="6"/>
      <c r="G15" s="24" t="s">
        <v>18</v>
      </c>
      <c r="H15" s="22"/>
      <c r="I15" s="22">
        <v>6800</v>
      </c>
      <c r="J15" s="22">
        <v>7800</v>
      </c>
      <c r="K15" s="22">
        <v>7300</v>
      </c>
    </row>
    <row r="16" spans="1:11">
      <c r="A16" s="23" t="s">
        <v>16</v>
      </c>
      <c r="B16" s="22">
        <f>SUM(B17:B19)</f>
        <v>6013.4361709130344</v>
      </c>
      <c r="C16" s="22">
        <v>3843</v>
      </c>
      <c r="D16" s="22">
        <v>4133.5</v>
      </c>
      <c r="E16" s="22">
        <v>3691.0569999999998</v>
      </c>
      <c r="F16" s="6"/>
      <c r="G16" s="18" t="s">
        <v>1</v>
      </c>
      <c r="H16" s="26">
        <f>H9-H13</f>
        <v>25857.525772090303</v>
      </c>
      <c r="I16" s="26">
        <v>26586</v>
      </c>
      <c r="J16" s="26">
        <v>26393</v>
      </c>
      <c r="K16" s="26">
        <v>29359</v>
      </c>
    </row>
    <row r="17" spans="1:11">
      <c r="A17" s="23" t="s">
        <v>17</v>
      </c>
      <c r="B17" s="55" cm="1">
        <f t="array" ref="B17">AVERAGE(C17:E17/$C$9:$E$9)*$B$9</f>
        <v>4816.4361709130344</v>
      </c>
      <c r="C17" s="22">
        <v>2646</v>
      </c>
      <c r="D17" s="22">
        <v>2834.491</v>
      </c>
      <c r="E17" s="22">
        <v>2476.5</v>
      </c>
      <c r="F17" s="6"/>
      <c r="G17" s="24" t="s">
        <v>15</v>
      </c>
      <c r="H17" s="22">
        <f>I17</f>
        <v>0</v>
      </c>
      <c r="I17" s="22">
        <v>0</v>
      </c>
      <c r="J17" s="22">
        <v>0</v>
      </c>
      <c r="K17" s="22">
        <v>0</v>
      </c>
    </row>
    <row r="18" spans="1:11">
      <c r="A18" s="23" t="s">
        <v>18</v>
      </c>
      <c r="B18" s="22">
        <f>C18</f>
        <v>1343</v>
      </c>
      <c r="C18" s="22">
        <v>1343</v>
      </c>
      <c r="D18" s="22">
        <v>1460.37</v>
      </c>
      <c r="E18" s="22">
        <v>1378.0730000000001</v>
      </c>
      <c r="F18" s="6"/>
      <c r="G18" s="24" t="s">
        <v>16</v>
      </c>
      <c r="H18" s="55">
        <f>SUM(H19:H21)</f>
        <v>18604.457078513435</v>
      </c>
      <c r="I18" s="22">
        <v>19184</v>
      </c>
      <c r="J18" s="22">
        <v>18516</v>
      </c>
      <c r="K18" s="22">
        <v>19750</v>
      </c>
    </row>
    <row r="19" spans="1:11">
      <c r="A19" s="23" t="s">
        <v>19</v>
      </c>
      <c r="B19" s="22">
        <f>C19</f>
        <v>-146</v>
      </c>
      <c r="C19" s="22">
        <v>-146</v>
      </c>
      <c r="D19" s="22">
        <v>-161.36099999999999</v>
      </c>
      <c r="E19" s="22">
        <v>-163.51599999999999</v>
      </c>
      <c r="F19" s="6"/>
      <c r="G19" s="24" t="s">
        <v>17</v>
      </c>
      <c r="H19" s="22" cm="1">
        <f t="array" ref="H19">AVERAGE(I19:K19/I9:K9)*H9</f>
        <v>8691.4570785134365</v>
      </c>
      <c r="I19" s="22">
        <v>8491</v>
      </c>
      <c r="J19" s="22">
        <v>9650</v>
      </c>
      <c r="K19" s="22">
        <v>9570</v>
      </c>
    </row>
    <row r="20" spans="1:11">
      <c r="A20" s="16" t="s">
        <v>20</v>
      </c>
      <c r="B20" s="22">
        <f>B14-B15-B16</f>
        <v>-207.05420439438512</v>
      </c>
      <c r="C20" s="26">
        <v>226</v>
      </c>
      <c r="D20" s="26">
        <v>-91.478999999999999</v>
      </c>
      <c r="E20" s="26">
        <v>-1468.57</v>
      </c>
      <c r="F20" s="6"/>
      <c r="G20" s="24" t="s">
        <v>18</v>
      </c>
      <c r="H20" s="22">
        <f>I20</f>
        <v>0</v>
      </c>
      <c r="I20" s="22">
        <v>0</v>
      </c>
      <c r="J20" s="22">
        <v>0</v>
      </c>
      <c r="K20" s="22">
        <v>0</v>
      </c>
    </row>
    <row r="21" spans="1:11">
      <c r="A21" s="23" t="s">
        <v>21</v>
      </c>
      <c r="B21" s="55">
        <f>C21</f>
        <v>596</v>
      </c>
      <c r="C21" s="22">
        <v>596</v>
      </c>
      <c r="D21" s="22">
        <v>616.67200000000003</v>
      </c>
      <c r="E21" s="22">
        <v>576.94600000000003</v>
      </c>
      <c r="F21" s="6"/>
      <c r="G21" s="24" t="s">
        <v>19</v>
      </c>
      <c r="H21" s="22">
        <f>AVERAGE(I21:K21)</f>
        <v>9913</v>
      </c>
      <c r="I21" s="22">
        <v>10693</v>
      </c>
      <c r="J21" s="22">
        <v>8866</v>
      </c>
      <c r="K21" s="22">
        <v>10180</v>
      </c>
    </row>
    <row r="22" spans="1:11">
      <c r="A22" s="23" t="s">
        <v>22</v>
      </c>
      <c r="B22" s="22"/>
      <c r="C22" s="22">
        <v>641</v>
      </c>
      <c r="D22" s="22">
        <v>638.53800000000001</v>
      </c>
      <c r="E22" s="22">
        <v>451.57299999999998</v>
      </c>
      <c r="F22" s="6"/>
      <c r="G22" s="18" t="s">
        <v>20</v>
      </c>
      <c r="H22" s="31">
        <f>H16-H17-H18</f>
        <v>7253.0686935768681</v>
      </c>
      <c r="I22" s="26">
        <v>7402</v>
      </c>
      <c r="J22" s="26">
        <v>7877</v>
      </c>
      <c r="K22" s="26">
        <v>9609</v>
      </c>
    </row>
    <row r="23" spans="1:11">
      <c r="A23" s="28" t="s">
        <v>23</v>
      </c>
      <c r="B23" s="26"/>
      <c r="C23" s="27">
        <v>685</v>
      </c>
      <c r="D23" s="27">
        <v>663.07100000000003</v>
      </c>
      <c r="E23" s="27">
        <v>471.25900000000001</v>
      </c>
      <c r="F23" s="6"/>
      <c r="G23" s="24" t="s">
        <v>21</v>
      </c>
      <c r="H23" s="22">
        <f>I23</f>
        <v>-1955</v>
      </c>
      <c r="I23" s="22">
        <v>-1955</v>
      </c>
      <c r="J23" s="22">
        <v>-4104</v>
      </c>
      <c r="K23" s="22">
        <v>-3202</v>
      </c>
    </row>
    <row r="24" spans="1:11">
      <c r="A24" s="28" t="s">
        <v>24</v>
      </c>
      <c r="B24" s="22"/>
      <c r="C24" s="27">
        <v>44</v>
      </c>
      <c r="D24" s="27">
        <v>24.533000000000001</v>
      </c>
      <c r="E24" s="27">
        <v>19.686</v>
      </c>
      <c r="F24" s="6"/>
      <c r="G24" s="24" t="s">
        <v>22</v>
      </c>
      <c r="H24" s="22"/>
      <c r="I24" s="22">
        <v>353</v>
      </c>
      <c r="J24" s="22">
        <v>320</v>
      </c>
      <c r="K24" s="22">
        <v>309</v>
      </c>
    </row>
    <row r="25" spans="1:11">
      <c r="A25" s="23" t="s">
        <v>25</v>
      </c>
      <c r="B25" s="22"/>
      <c r="C25" s="22">
        <v>-48</v>
      </c>
      <c r="D25" s="22">
        <v>1.5</v>
      </c>
      <c r="E25" s="22">
        <v>-52.3</v>
      </c>
      <c r="F25" s="6"/>
      <c r="G25" s="29" t="s">
        <v>23</v>
      </c>
      <c r="H25" s="26"/>
      <c r="I25" s="27">
        <v>782</v>
      </c>
      <c r="J25" s="27">
        <v>655</v>
      </c>
      <c r="K25" s="27">
        <v>575</v>
      </c>
    </row>
    <row r="26" spans="1:11">
      <c r="A26" s="23" t="s">
        <v>26</v>
      </c>
      <c r="B26" s="22"/>
      <c r="C26" s="22" t="s">
        <v>12</v>
      </c>
      <c r="D26" s="22" t="s">
        <v>12</v>
      </c>
      <c r="E26" s="22" t="s">
        <v>12</v>
      </c>
      <c r="F26" s="6"/>
      <c r="G26" s="29" t="s">
        <v>24</v>
      </c>
      <c r="H26" s="22"/>
      <c r="I26" s="27">
        <v>429</v>
      </c>
      <c r="J26" s="27">
        <v>335</v>
      </c>
      <c r="K26" s="27">
        <v>266</v>
      </c>
    </row>
    <row r="27" spans="1:11">
      <c r="A27" s="23" t="s">
        <v>27</v>
      </c>
      <c r="B27" s="22"/>
      <c r="C27" s="22">
        <v>3</v>
      </c>
      <c r="D27" s="22">
        <v>-23.366</v>
      </c>
      <c r="E27" s="22">
        <v>177.673</v>
      </c>
      <c r="F27" s="6"/>
      <c r="G27" s="24" t="s">
        <v>25</v>
      </c>
      <c r="H27" s="26"/>
      <c r="I27" s="22">
        <v>0</v>
      </c>
      <c r="J27" s="22">
        <v>0</v>
      </c>
      <c r="K27" s="22">
        <v>0</v>
      </c>
    </row>
    <row r="28" spans="1:11">
      <c r="A28" s="16" t="s">
        <v>28</v>
      </c>
      <c r="B28" s="31">
        <f>B20-B21</f>
        <v>-803.05420439438512</v>
      </c>
      <c r="C28" s="26">
        <v>-370</v>
      </c>
      <c r="D28" s="26">
        <v>-708.15099999999995</v>
      </c>
      <c r="E28" s="26">
        <v>-2045.5160000000001</v>
      </c>
      <c r="F28" s="6"/>
      <c r="G28" s="24" t="s">
        <v>26</v>
      </c>
      <c r="H28" s="22"/>
      <c r="I28" s="22">
        <v>-1268</v>
      </c>
      <c r="J28" s="22">
        <v>-2163</v>
      </c>
      <c r="K28" s="22">
        <v>-2132</v>
      </c>
    </row>
    <row r="29" spans="1:11">
      <c r="A29" s="23" t="s">
        <v>29</v>
      </c>
      <c r="B29" s="55">
        <f>C29</f>
        <v>295</v>
      </c>
      <c r="C29" s="22">
        <v>295</v>
      </c>
      <c r="D29" s="22">
        <v>296.59399999999999</v>
      </c>
      <c r="E29" s="22">
        <v>163.51599999999999</v>
      </c>
      <c r="F29" s="6"/>
      <c r="G29" s="24" t="s">
        <v>27</v>
      </c>
      <c r="H29" s="22"/>
      <c r="I29" s="22">
        <v>-1040</v>
      </c>
      <c r="J29" s="22">
        <v>-2261</v>
      </c>
      <c r="K29" s="22">
        <v>-1379</v>
      </c>
    </row>
    <row r="30" spans="1:11">
      <c r="A30" s="23" t="s">
        <v>30</v>
      </c>
      <c r="B30" s="22"/>
      <c r="C30" s="22" t="s">
        <v>12</v>
      </c>
      <c r="D30" s="22" t="s">
        <v>12</v>
      </c>
      <c r="E30" s="22" t="s">
        <v>12</v>
      </c>
      <c r="F30" s="6"/>
      <c r="G30" s="18" t="s">
        <v>28</v>
      </c>
      <c r="H30" s="31">
        <f>H22-H23</f>
        <v>9208.0686935768681</v>
      </c>
      <c r="I30" s="26">
        <v>9357</v>
      </c>
      <c r="J30" s="26">
        <v>11981</v>
      </c>
      <c r="K30" s="26">
        <v>12811</v>
      </c>
    </row>
    <row r="31" spans="1:11">
      <c r="A31" s="23" t="s">
        <v>31</v>
      </c>
      <c r="B31" s="22"/>
      <c r="C31" s="22">
        <v>146</v>
      </c>
      <c r="D31" s="22">
        <v>161.36099999999999</v>
      </c>
      <c r="E31" s="22">
        <v>105.77</v>
      </c>
      <c r="F31" s="6"/>
      <c r="G31" s="24" t="s">
        <v>29</v>
      </c>
      <c r="H31" s="22">
        <f>I31</f>
        <v>1921</v>
      </c>
      <c r="I31" s="22">
        <v>1921</v>
      </c>
      <c r="J31" s="22">
        <v>3432</v>
      </c>
      <c r="K31" s="22">
        <v>948</v>
      </c>
    </row>
    <row r="32" spans="1:11">
      <c r="A32" s="23" t="s">
        <v>32</v>
      </c>
      <c r="B32" s="22"/>
      <c r="C32" s="22" t="s">
        <v>12</v>
      </c>
      <c r="D32" s="22" t="s">
        <v>12</v>
      </c>
      <c r="E32" s="22" t="s">
        <v>12</v>
      </c>
      <c r="F32" s="6"/>
      <c r="G32" s="24" t="s">
        <v>30</v>
      </c>
      <c r="H32" s="22"/>
      <c r="I32" s="22" t="s">
        <v>12</v>
      </c>
      <c r="J32" s="22" t="s">
        <v>12</v>
      </c>
      <c r="K32" s="22" t="s">
        <v>12</v>
      </c>
    </row>
    <row r="33" spans="1:11">
      <c r="A33" s="23" t="s">
        <v>33</v>
      </c>
      <c r="B33" s="26"/>
      <c r="C33" s="22" t="s">
        <v>12</v>
      </c>
      <c r="D33" s="22" t="s">
        <v>12</v>
      </c>
      <c r="E33" s="22">
        <v>57.746000000000002</v>
      </c>
      <c r="F33" s="6"/>
      <c r="G33" s="24" t="s">
        <v>31</v>
      </c>
      <c r="H33" s="22"/>
      <c r="I33" s="22" t="s">
        <v>12</v>
      </c>
      <c r="J33" s="22" t="s">
        <v>12</v>
      </c>
      <c r="K33" s="22" t="s">
        <v>12</v>
      </c>
    </row>
    <row r="34" spans="1:11">
      <c r="A34" s="23" t="s">
        <v>34</v>
      </c>
      <c r="B34" s="22"/>
      <c r="C34" s="22">
        <v>149</v>
      </c>
      <c r="D34" s="22">
        <v>135.233</v>
      </c>
      <c r="E34" s="22" t="s">
        <v>12</v>
      </c>
      <c r="F34" s="6"/>
      <c r="G34" s="24" t="s">
        <v>32</v>
      </c>
      <c r="H34" s="26"/>
      <c r="I34" s="22" t="s">
        <v>12</v>
      </c>
      <c r="J34" s="22" t="s">
        <v>12</v>
      </c>
      <c r="K34" s="22" t="s">
        <v>12</v>
      </c>
    </row>
    <row r="35" spans="1:11">
      <c r="A35" s="16" t="s">
        <v>35</v>
      </c>
      <c r="B35" s="31">
        <f>B28-B29</f>
        <v>-1098.0542043943851</v>
      </c>
      <c r="C35" s="26">
        <v>-665</v>
      </c>
      <c r="D35" s="26">
        <v>-1004.745</v>
      </c>
      <c r="E35" s="26">
        <v>-2209.0320000000002</v>
      </c>
      <c r="F35" s="6"/>
      <c r="G35" s="24" t="s">
        <v>148</v>
      </c>
      <c r="H35" s="22"/>
      <c r="I35" s="22">
        <v>22</v>
      </c>
      <c r="J35" s="22">
        <v>527</v>
      </c>
      <c r="K35" s="22">
        <v>294</v>
      </c>
    </row>
    <row r="36" spans="1:11">
      <c r="A36" s="23" t="s">
        <v>36</v>
      </c>
      <c r="B36" s="22">
        <f>B35*B52</f>
        <v>-230.59138292282086</v>
      </c>
      <c r="C36" s="22">
        <v>110</v>
      </c>
      <c r="D36" s="22">
        <v>57.837000000000003</v>
      </c>
      <c r="E36" s="22">
        <v>31.545999999999999</v>
      </c>
      <c r="F36" s="6"/>
      <c r="G36" s="24" t="s">
        <v>149</v>
      </c>
      <c r="H36" s="26"/>
      <c r="I36" s="22" t="s">
        <v>12</v>
      </c>
      <c r="J36" s="22" t="s">
        <v>12</v>
      </c>
      <c r="K36" s="22" t="s">
        <v>12</v>
      </c>
    </row>
    <row r="37" spans="1:11">
      <c r="A37" s="23" t="s">
        <v>37</v>
      </c>
      <c r="B37" s="26"/>
      <c r="C37" s="22">
        <v>91</v>
      </c>
      <c r="D37" s="22">
        <v>25.513000000000002</v>
      </c>
      <c r="E37" s="22">
        <v>35.192</v>
      </c>
      <c r="F37" s="6"/>
      <c r="G37" s="24" t="s">
        <v>150</v>
      </c>
      <c r="H37" s="22"/>
      <c r="I37" s="22" t="s">
        <v>12</v>
      </c>
      <c r="J37" s="22" t="s">
        <v>12</v>
      </c>
      <c r="K37" s="22" t="s">
        <v>12</v>
      </c>
    </row>
    <row r="38" spans="1:11">
      <c r="A38" s="23" t="s">
        <v>38</v>
      </c>
      <c r="B38" s="22"/>
      <c r="C38" s="22">
        <v>19</v>
      </c>
      <c r="D38" s="22">
        <v>32.323999999999998</v>
      </c>
      <c r="E38" s="22">
        <v>-3.6459999999999999</v>
      </c>
      <c r="F38" s="6"/>
      <c r="G38" s="24" t="s">
        <v>33</v>
      </c>
      <c r="H38" s="22"/>
      <c r="I38" s="22">
        <v>164</v>
      </c>
      <c r="J38" s="22" t="s">
        <v>12</v>
      </c>
      <c r="K38" s="22" t="s">
        <v>12</v>
      </c>
    </row>
    <row r="39" spans="1:11">
      <c r="A39" s="23" t="s">
        <v>39</v>
      </c>
      <c r="B39" s="22"/>
      <c r="C39" s="22" t="s">
        <v>12</v>
      </c>
      <c r="D39" s="22" t="s">
        <v>12</v>
      </c>
      <c r="E39" s="22" t="s">
        <v>12</v>
      </c>
      <c r="F39" s="6"/>
      <c r="G39" s="24" t="s">
        <v>151</v>
      </c>
      <c r="H39" s="22"/>
      <c r="I39" s="22" t="s">
        <v>12</v>
      </c>
      <c r="J39" s="22">
        <v>440</v>
      </c>
      <c r="K39" s="22">
        <v>114</v>
      </c>
    </row>
    <row r="40" spans="1:11">
      <c r="A40" s="16" t="s">
        <v>40</v>
      </c>
      <c r="B40" s="31">
        <f>B35-B36</f>
        <v>-867.46282147156421</v>
      </c>
      <c r="C40" s="26">
        <v>-775</v>
      </c>
      <c r="D40" s="26">
        <v>-1062.5820000000001</v>
      </c>
      <c r="E40" s="26">
        <v>-2240.578</v>
      </c>
      <c r="F40" s="6"/>
      <c r="G40" s="24" t="s">
        <v>152</v>
      </c>
      <c r="H40" s="22"/>
      <c r="I40" s="22" t="s">
        <v>12</v>
      </c>
      <c r="J40" s="22">
        <v>1138</v>
      </c>
      <c r="K40" s="22">
        <v>540</v>
      </c>
    </row>
    <row r="41" spans="1:11">
      <c r="A41" s="23" t="s">
        <v>41</v>
      </c>
      <c r="B41" s="55">
        <f>C41</f>
        <v>0</v>
      </c>
      <c r="C41" s="22">
        <v>0</v>
      </c>
      <c r="D41" s="22">
        <v>0</v>
      </c>
      <c r="E41" s="22">
        <v>0</v>
      </c>
      <c r="F41" s="6"/>
      <c r="G41" s="24" t="s">
        <v>153</v>
      </c>
      <c r="H41" s="22"/>
      <c r="I41" s="22" t="s">
        <v>12</v>
      </c>
      <c r="J41" s="22" t="s">
        <v>12</v>
      </c>
      <c r="K41" s="22" t="s">
        <v>12</v>
      </c>
    </row>
    <row r="42" spans="1:11">
      <c r="A42" s="23" t="s">
        <v>42</v>
      </c>
      <c r="B42" s="22"/>
      <c r="C42" s="22">
        <v>0</v>
      </c>
      <c r="D42" s="22">
        <v>0</v>
      </c>
      <c r="E42" s="22">
        <v>0</v>
      </c>
      <c r="F42" s="6"/>
      <c r="G42" s="24" t="s">
        <v>154</v>
      </c>
      <c r="H42" s="22"/>
      <c r="I42" s="22" t="s">
        <v>12</v>
      </c>
      <c r="J42" s="22" t="s">
        <v>12</v>
      </c>
      <c r="K42" s="22" t="s">
        <v>12</v>
      </c>
    </row>
    <row r="43" spans="1:11">
      <c r="A43" s="23" t="s">
        <v>43</v>
      </c>
      <c r="B43" s="22"/>
      <c r="C43" s="22">
        <v>0</v>
      </c>
      <c r="D43" s="22">
        <v>0</v>
      </c>
      <c r="E43" s="22">
        <v>0</v>
      </c>
      <c r="F43" s="6"/>
      <c r="G43" s="24" t="s">
        <v>34</v>
      </c>
      <c r="H43" s="26"/>
      <c r="I43" s="22">
        <v>1735</v>
      </c>
      <c r="J43" s="22">
        <v>1327</v>
      </c>
      <c r="K43" s="22" t="s">
        <v>12</v>
      </c>
    </row>
    <row r="44" spans="1:11">
      <c r="A44" s="16" t="s">
        <v>44</v>
      </c>
      <c r="B44" s="22">
        <f>B40</f>
        <v>-867.46282147156421</v>
      </c>
      <c r="C44" s="26">
        <v>-775</v>
      </c>
      <c r="D44" s="26">
        <v>-1062.5820000000001</v>
      </c>
      <c r="E44" s="26">
        <v>-2240.578</v>
      </c>
      <c r="F44" s="6"/>
      <c r="G44" s="18" t="s">
        <v>35</v>
      </c>
      <c r="H44" s="31">
        <f>H30-H31</f>
        <v>7287.0686935768681</v>
      </c>
      <c r="I44" s="26">
        <v>7436</v>
      </c>
      <c r="J44" s="26">
        <v>8549</v>
      </c>
      <c r="K44" s="26">
        <v>11863</v>
      </c>
    </row>
    <row r="45" spans="1:11">
      <c r="A45" s="23" t="s">
        <v>45</v>
      </c>
      <c r="B45" s="55">
        <f>C45</f>
        <v>87</v>
      </c>
      <c r="C45" s="22">
        <v>87</v>
      </c>
      <c r="D45" s="22">
        <v>-86.491</v>
      </c>
      <c r="E45" s="22">
        <v>-279.178</v>
      </c>
      <c r="F45" s="6"/>
      <c r="G45" s="24" t="s">
        <v>36</v>
      </c>
      <c r="H45" s="55">
        <f>H44*H61</f>
        <v>1530.2844256511423</v>
      </c>
      <c r="I45" s="22">
        <v>769</v>
      </c>
      <c r="J45" s="22">
        <v>474</v>
      </c>
      <c r="K45" s="22">
        <v>11533</v>
      </c>
    </row>
    <row r="46" spans="1:11">
      <c r="A46" s="16" t="s">
        <v>46</v>
      </c>
      <c r="B46" s="31">
        <f>B44-B45</f>
        <v>-954.46282147156421</v>
      </c>
      <c r="C46" s="26">
        <v>-862</v>
      </c>
      <c r="D46" s="26">
        <v>-976.09100000000001</v>
      </c>
      <c r="E46" s="26">
        <v>-1961.4</v>
      </c>
      <c r="F46" s="6"/>
      <c r="G46" s="24" t="s">
        <v>37</v>
      </c>
      <c r="H46" s="22" t="s">
        <v>12</v>
      </c>
      <c r="I46" s="22">
        <v>902</v>
      </c>
      <c r="J46" s="22">
        <v>586</v>
      </c>
      <c r="K46" s="22">
        <v>653</v>
      </c>
    </row>
    <row r="47" spans="1:11">
      <c r="A47" s="23" t="s">
        <v>47</v>
      </c>
      <c r="B47" s="22">
        <f>C47</f>
        <v>0</v>
      </c>
      <c r="C47" s="22">
        <v>0</v>
      </c>
      <c r="D47" s="22">
        <v>0</v>
      </c>
      <c r="E47" s="22">
        <v>0</v>
      </c>
      <c r="F47" s="6"/>
      <c r="G47" s="24" t="s">
        <v>38</v>
      </c>
      <c r="H47" s="22" t="s">
        <v>12</v>
      </c>
      <c r="I47" s="22">
        <v>-133</v>
      </c>
      <c r="J47" s="22">
        <v>-112</v>
      </c>
      <c r="K47" s="22">
        <v>10880</v>
      </c>
    </row>
    <row r="48" spans="1:11">
      <c r="A48" s="23" t="s">
        <v>48</v>
      </c>
      <c r="B48" s="22">
        <f>C48</f>
        <v>0</v>
      </c>
      <c r="C48" s="22">
        <v>0</v>
      </c>
      <c r="D48" s="22">
        <v>0</v>
      </c>
      <c r="E48" s="22">
        <v>0</v>
      </c>
      <c r="F48" s="6"/>
      <c r="G48" s="24" t="s">
        <v>155</v>
      </c>
      <c r="H48" s="22" t="s">
        <v>12</v>
      </c>
      <c r="I48" s="22" t="s">
        <v>12</v>
      </c>
      <c r="J48" s="22" t="s">
        <v>12</v>
      </c>
      <c r="K48" s="22" t="s">
        <v>12</v>
      </c>
    </row>
    <row r="49" spans="1:11">
      <c r="A49" s="16" t="s">
        <v>49</v>
      </c>
      <c r="B49" s="26">
        <f>B46</f>
        <v>-954.46282147156421</v>
      </c>
      <c r="C49" s="26">
        <v>-862</v>
      </c>
      <c r="D49" s="26">
        <v>-976.09100000000001</v>
      </c>
      <c r="E49" s="26">
        <v>-1961.4</v>
      </c>
      <c r="F49" s="6"/>
      <c r="G49" s="18" t="s">
        <v>40</v>
      </c>
      <c r="H49" s="31">
        <f>H44-H45</f>
        <v>5756.7842679257255</v>
      </c>
      <c r="I49" s="26">
        <v>6667</v>
      </c>
      <c r="J49" s="26">
        <v>8075</v>
      </c>
      <c r="K49" s="26">
        <v>330</v>
      </c>
    </row>
    <row r="50" spans="1:11">
      <c r="A50" s="33" t="s">
        <v>50</v>
      </c>
      <c r="B50" s="33"/>
      <c r="C50" s="33"/>
      <c r="D50" s="33"/>
      <c r="E50" s="33"/>
      <c r="F50" s="6"/>
      <c r="G50" s="24" t="s">
        <v>41</v>
      </c>
      <c r="H50" s="22">
        <f>I50</f>
        <v>0</v>
      </c>
      <c r="I50" s="22">
        <v>0</v>
      </c>
      <c r="J50" s="22">
        <v>70</v>
      </c>
      <c r="K50" s="22">
        <v>4212</v>
      </c>
    </row>
    <row r="51" spans="1:11">
      <c r="A51" s="6"/>
      <c r="B51" s="6"/>
      <c r="C51" s="6"/>
      <c r="E51" s="6"/>
      <c r="F51" s="6"/>
      <c r="G51" s="24" t="s">
        <v>42</v>
      </c>
      <c r="H51" s="22" t="s">
        <v>12</v>
      </c>
      <c r="I51" s="22">
        <v>0</v>
      </c>
      <c r="J51" s="22">
        <v>70</v>
      </c>
      <c r="K51" s="22">
        <v>4212</v>
      </c>
    </row>
    <row r="52" spans="1:11">
      <c r="A52" s="6" t="s">
        <v>200</v>
      </c>
      <c r="B52" s="56">
        <v>0.21</v>
      </c>
      <c r="C52" s="6"/>
      <c r="E52" s="6"/>
      <c r="F52" s="6"/>
      <c r="G52" s="24" t="s">
        <v>43</v>
      </c>
      <c r="H52" s="22" t="s">
        <v>12</v>
      </c>
      <c r="I52" s="22">
        <v>0</v>
      </c>
      <c r="J52" s="22">
        <v>0</v>
      </c>
      <c r="K52" s="22">
        <v>0</v>
      </c>
    </row>
    <row r="53" spans="1:11">
      <c r="A53" s="6" t="s">
        <v>201</v>
      </c>
      <c r="B53" s="6">
        <v>0</v>
      </c>
      <c r="C53" s="6"/>
      <c r="E53" s="6"/>
      <c r="F53" s="6"/>
      <c r="G53" s="18" t="s">
        <v>44</v>
      </c>
      <c r="H53" s="31">
        <f>H49-H50</f>
        <v>5756.7842679257255</v>
      </c>
      <c r="I53" s="26">
        <v>6667</v>
      </c>
      <c r="J53" s="26">
        <v>8005</v>
      </c>
      <c r="K53" s="26">
        <v>-3882</v>
      </c>
    </row>
    <row r="54" spans="1:11">
      <c r="A54" s="6"/>
      <c r="B54" s="6"/>
      <c r="C54" s="6"/>
      <c r="E54" s="6"/>
      <c r="F54" s="6"/>
      <c r="G54" s="24" t="s">
        <v>45</v>
      </c>
      <c r="H54" s="55">
        <f>I54</f>
        <v>-65</v>
      </c>
      <c r="I54" s="22">
        <v>-65</v>
      </c>
      <c r="J54" s="22">
        <v>-9</v>
      </c>
      <c r="K54" s="22">
        <v>-18</v>
      </c>
    </row>
    <row r="55" spans="1:11">
      <c r="A55" s="6"/>
      <c r="B55" s="6"/>
      <c r="C55" s="6"/>
      <c r="E55" s="6"/>
      <c r="F55" s="6"/>
      <c r="G55" s="18" t="s">
        <v>46</v>
      </c>
      <c r="H55" s="31">
        <f>H53-H54</f>
        <v>5821.7842679257255</v>
      </c>
      <c r="I55" s="26">
        <v>6732</v>
      </c>
      <c r="J55" s="26">
        <v>8014</v>
      </c>
      <c r="K55" s="26">
        <v>-3864</v>
      </c>
    </row>
    <row r="56" spans="1:11">
      <c r="A56" s="6"/>
      <c r="B56" s="6"/>
      <c r="C56" s="6"/>
      <c r="E56" s="6"/>
      <c r="F56" s="6"/>
      <c r="G56" s="24" t="s">
        <v>47</v>
      </c>
      <c r="H56" s="22">
        <f>I56</f>
        <v>151</v>
      </c>
      <c r="I56" s="22">
        <v>151</v>
      </c>
      <c r="J56" s="22">
        <v>98</v>
      </c>
      <c r="K56" s="22">
        <v>16</v>
      </c>
    </row>
    <row r="57" spans="1:11">
      <c r="A57" s="6"/>
      <c r="B57" s="6"/>
      <c r="C57" s="6"/>
      <c r="E57" s="6"/>
      <c r="F57" s="6"/>
      <c r="G57" s="24" t="s">
        <v>48</v>
      </c>
      <c r="H57" s="22">
        <f>I57</f>
        <v>0</v>
      </c>
      <c r="I57" s="22">
        <v>0</v>
      </c>
      <c r="J57" s="22">
        <v>0</v>
      </c>
      <c r="K57" s="22">
        <v>0</v>
      </c>
    </row>
    <row r="58" spans="1:11">
      <c r="A58" s="6"/>
      <c r="B58" s="6"/>
      <c r="C58" s="6"/>
      <c r="E58" s="6"/>
      <c r="F58" s="6"/>
      <c r="G58" s="18" t="s">
        <v>49</v>
      </c>
      <c r="H58" s="22">
        <f>H55-H56-H57</f>
        <v>5670.7842679257255</v>
      </c>
      <c r="I58" s="26">
        <v>6581</v>
      </c>
      <c r="J58" s="26">
        <v>7916</v>
      </c>
      <c r="K58" s="26">
        <v>-3880</v>
      </c>
    </row>
    <row r="59" spans="1:11">
      <c r="A59" s="6"/>
      <c r="B59" s="6"/>
      <c r="C59" s="6"/>
      <c r="E59" s="6"/>
      <c r="F59" s="6"/>
      <c r="G59" s="33" t="s">
        <v>50</v>
      </c>
      <c r="H59" s="33"/>
      <c r="I59" s="33"/>
      <c r="J59" s="33"/>
      <c r="K59" s="33"/>
    </row>
    <row r="60" spans="1:11">
      <c r="A60" s="6"/>
      <c r="B60" s="6"/>
      <c r="C60" s="6"/>
      <c r="E60" s="6"/>
      <c r="F60" s="6"/>
      <c r="G60" s="6"/>
      <c r="I60" s="6"/>
      <c r="J60" s="6"/>
    </row>
    <row r="61" spans="1:11">
      <c r="A61" s="6"/>
      <c r="B61" s="6"/>
      <c r="C61" s="6"/>
      <c r="E61" s="6"/>
      <c r="F61" s="6"/>
      <c r="G61" s="6" t="s">
        <v>200</v>
      </c>
      <c r="H61" s="56">
        <v>0.21</v>
      </c>
      <c r="I61" s="6"/>
      <c r="J61" s="6"/>
    </row>
    <row r="62" spans="1:11">
      <c r="A62" s="6"/>
      <c r="B62" s="6"/>
      <c r="C62" s="6"/>
      <c r="E62" s="6"/>
      <c r="F62" s="6"/>
      <c r="G62" s="6" t="s">
        <v>253</v>
      </c>
      <c r="H62">
        <v>2174.5300000000002</v>
      </c>
      <c r="I62" s="6"/>
      <c r="J62" s="6"/>
    </row>
    <row r="63" spans="1:11">
      <c r="A63" s="6"/>
      <c r="B63" s="6"/>
      <c r="C63" s="6"/>
      <c r="E63" s="6"/>
      <c r="F63" s="6"/>
      <c r="G63" s="6"/>
      <c r="I63" s="6"/>
      <c r="J63" s="6"/>
    </row>
    <row r="64" spans="1:11">
      <c r="A64" s="6"/>
      <c r="B64" s="6"/>
      <c r="C64" s="6"/>
      <c r="E64" s="6"/>
      <c r="F64" s="6"/>
      <c r="G64" s="6"/>
      <c r="I64" s="6"/>
      <c r="J64" s="6"/>
    </row>
    <row r="65" spans="1:10">
      <c r="A65" s="6"/>
      <c r="B65" s="6"/>
      <c r="C65" s="6"/>
      <c r="E65" s="6"/>
      <c r="F65" s="6"/>
      <c r="G65" s="6"/>
      <c r="I65" s="6"/>
      <c r="J65" s="6"/>
    </row>
    <row r="66" spans="1:10">
      <c r="A66" s="6"/>
      <c r="B66" s="6"/>
      <c r="C66" s="6"/>
      <c r="D66" s="6"/>
      <c r="F66" s="6"/>
      <c r="G66" s="6"/>
      <c r="I66" s="6"/>
      <c r="J66" s="6"/>
    </row>
    <row r="67" spans="1:10">
      <c r="C67" s="6"/>
      <c r="D67" s="6"/>
      <c r="F67" s="6"/>
      <c r="G67" s="6"/>
      <c r="I67" s="6"/>
      <c r="J67" s="6"/>
    </row>
    <row r="68" spans="1:10">
      <c r="A68" s="6"/>
      <c r="B68" s="6"/>
      <c r="C68" s="6"/>
      <c r="D68" s="6"/>
      <c r="F68" s="6"/>
      <c r="G68" s="6"/>
      <c r="I68" s="6"/>
      <c r="J68" s="6"/>
    </row>
    <row r="69" spans="1:10">
      <c r="A69" s="6"/>
      <c r="B69" s="6"/>
      <c r="C69" s="6"/>
      <c r="D69" s="6"/>
      <c r="F69" s="6"/>
      <c r="G69" s="6"/>
      <c r="I69" s="6"/>
      <c r="J69" s="6"/>
    </row>
    <row r="70" spans="1:10">
      <c r="A70" s="6"/>
      <c r="B70" s="6"/>
      <c r="C70" s="6"/>
      <c r="D70" s="6"/>
      <c r="F70" s="6"/>
      <c r="G70" s="6"/>
      <c r="I70" s="6"/>
      <c r="J70" s="6"/>
    </row>
    <row r="71" spans="1:10">
      <c r="A71" s="6"/>
      <c r="B71" s="6"/>
      <c r="C71" s="6"/>
      <c r="D71" s="6"/>
      <c r="F71" s="6"/>
      <c r="G71" s="6"/>
      <c r="I71" s="6"/>
      <c r="J71" s="6"/>
    </row>
    <row r="72" spans="1:10">
      <c r="A72" s="6"/>
      <c r="B72" s="6"/>
      <c r="C72" s="6"/>
      <c r="D72" s="6"/>
      <c r="F72" s="6"/>
      <c r="G72" s="6"/>
      <c r="I72" s="6"/>
      <c r="J72" s="6"/>
    </row>
    <row r="73" spans="1:10">
      <c r="A73" s="6"/>
      <c r="B73" s="6"/>
      <c r="C73" s="6"/>
      <c r="D73" s="6"/>
      <c r="F73" s="6"/>
      <c r="G73" s="6"/>
      <c r="I73" s="6"/>
      <c r="J73" s="6"/>
    </row>
    <row r="74" spans="1:10">
      <c r="A74" s="6"/>
      <c r="B74" s="6"/>
      <c r="C74" s="6"/>
      <c r="D74" s="6"/>
      <c r="F74" s="6"/>
      <c r="G74" s="6"/>
      <c r="I74" s="6"/>
      <c r="J74" s="6"/>
    </row>
    <row r="75" spans="1:10">
      <c r="A75" s="6"/>
      <c r="B75" s="6"/>
      <c r="C75" s="6"/>
      <c r="D75" s="6"/>
      <c r="F75" s="6"/>
      <c r="G75" s="6"/>
      <c r="I75" s="6"/>
      <c r="J75" s="6"/>
    </row>
    <row r="76" spans="1:10">
      <c r="A76" s="6"/>
      <c r="B76" s="6"/>
      <c r="C76" s="6"/>
      <c r="D76" s="6"/>
      <c r="F76" s="6"/>
      <c r="I76" s="6"/>
      <c r="J76" s="6"/>
    </row>
    <row r="77" spans="1:10">
      <c r="A77" s="6"/>
      <c r="B77" s="6"/>
      <c r="C77" s="6"/>
      <c r="D77" s="6"/>
      <c r="F77" s="6"/>
      <c r="G77" s="6"/>
      <c r="H77" s="6"/>
      <c r="I77" s="6"/>
      <c r="J77" s="6"/>
    </row>
    <row r="78" spans="1:10">
      <c r="A78" s="6"/>
      <c r="B78" s="6"/>
      <c r="C78" s="6"/>
      <c r="D78" s="6"/>
      <c r="F78" s="6"/>
      <c r="G78" s="6"/>
      <c r="H78" s="6"/>
      <c r="I78" s="6"/>
      <c r="J78" s="6"/>
    </row>
    <row r="79" spans="1:10">
      <c r="A79" s="6"/>
      <c r="B79" s="6"/>
      <c r="C79" s="6"/>
      <c r="D79" s="6"/>
      <c r="F79" s="6"/>
      <c r="G79" s="6"/>
      <c r="H79" s="6"/>
      <c r="I79" s="6"/>
      <c r="J79" s="6"/>
    </row>
    <row r="80" spans="1:10">
      <c r="A80" s="6"/>
      <c r="B80" s="6"/>
      <c r="C80" s="6"/>
      <c r="D80" s="6"/>
      <c r="F80" s="6"/>
      <c r="G80" s="6"/>
      <c r="H80" s="6"/>
      <c r="I80" s="6"/>
      <c r="J80" s="6"/>
    </row>
    <row r="81" spans="1:10">
      <c r="A81" s="6"/>
      <c r="B81" s="6"/>
      <c r="C81" s="6"/>
      <c r="D81" s="6"/>
      <c r="F81" s="6"/>
      <c r="G81" s="6"/>
      <c r="H81" s="6"/>
      <c r="I81" s="6"/>
      <c r="J81" s="6"/>
    </row>
    <row r="82" spans="1:10">
      <c r="A82" s="6"/>
      <c r="B82" s="6"/>
      <c r="C82" s="6"/>
      <c r="D82" s="6"/>
      <c r="F82" s="6"/>
      <c r="G82" s="6"/>
      <c r="H82" s="6"/>
      <c r="I82" s="6"/>
      <c r="J82" s="6"/>
    </row>
    <row r="83" spans="1:10">
      <c r="A83" s="6"/>
      <c r="B83" s="6"/>
      <c r="C83" s="6"/>
      <c r="D83" s="6"/>
      <c r="F83" s="6"/>
      <c r="G83" s="6"/>
      <c r="H83" s="6"/>
      <c r="I83" s="6"/>
      <c r="J83" s="6"/>
    </row>
    <row r="84" spans="1:10">
      <c r="A84" s="6"/>
      <c r="B84" s="6"/>
      <c r="C84" s="6"/>
      <c r="D84" s="6"/>
      <c r="F84" s="6"/>
      <c r="G84" s="6"/>
      <c r="H84" s="6"/>
      <c r="I84" s="6"/>
      <c r="J84" s="6"/>
    </row>
    <row r="85" spans="1:10">
      <c r="A85" s="6"/>
      <c r="B85" s="6"/>
      <c r="C85" s="6"/>
      <c r="D85" s="6"/>
      <c r="F85" s="6"/>
      <c r="G85" s="6"/>
      <c r="H85" s="6"/>
      <c r="I85" s="6"/>
      <c r="J85" s="6"/>
    </row>
    <row r="86" spans="1:10">
      <c r="A86" s="6"/>
      <c r="B86" s="6"/>
      <c r="C86" s="6"/>
      <c r="D86" s="6"/>
      <c r="F86" s="6"/>
      <c r="G86" s="6"/>
      <c r="H86" s="6"/>
      <c r="I86" s="6"/>
      <c r="J86" s="6"/>
    </row>
    <row r="87" spans="1:10">
      <c r="A87" s="6"/>
      <c r="B87" s="6"/>
      <c r="C87" s="6"/>
      <c r="D87" s="6"/>
      <c r="F87" s="6"/>
      <c r="G87" s="6"/>
      <c r="H87" s="6"/>
      <c r="I87" s="6"/>
      <c r="J87" s="6"/>
    </row>
    <row r="88" spans="1:10">
      <c r="A88" s="6"/>
      <c r="B88" s="6"/>
      <c r="C88" s="6"/>
      <c r="D88" s="6"/>
      <c r="F88" s="6"/>
      <c r="G88" s="6"/>
      <c r="H88" s="6"/>
      <c r="I88" s="6"/>
      <c r="J88" s="6"/>
    </row>
    <row r="89" spans="1:10">
      <c r="A89" s="6"/>
      <c r="B89" s="6"/>
      <c r="C89" s="6"/>
      <c r="D89" s="6"/>
      <c r="F89" s="6"/>
      <c r="G89" s="6"/>
      <c r="H89" s="6"/>
      <c r="I89" s="6"/>
      <c r="J89" s="6"/>
    </row>
    <row r="90" spans="1:10">
      <c r="A90" s="6"/>
      <c r="B90" s="6"/>
      <c r="C90" s="6"/>
      <c r="D90" s="6"/>
      <c r="F90" s="6"/>
      <c r="G90" s="6"/>
      <c r="H90" s="6"/>
      <c r="I90" s="6"/>
      <c r="J90" s="6"/>
    </row>
    <row r="91" spans="1:10">
      <c r="A91" s="6"/>
      <c r="B91" s="6"/>
      <c r="C91" s="6"/>
      <c r="D91" s="6"/>
      <c r="F91" s="6"/>
      <c r="G91" s="6"/>
      <c r="H91" s="6"/>
      <c r="I91" s="6"/>
      <c r="J91" s="6"/>
    </row>
    <row r="92" spans="1:10">
      <c r="A92" s="6"/>
      <c r="B92" s="6"/>
      <c r="C92" s="6"/>
      <c r="D92" s="6"/>
      <c r="F92" s="6"/>
      <c r="G92" s="6"/>
      <c r="H92" s="6"/>
      <c r="I92" s="6"/>
      <c r="J92" s="6"/>
    </row>
    <row r="93" spans="1:10">
      <c r="A93" s="6"/>
      <c r="B93" s="6"/>
      <c r="C93" s="6"/>
      <c r="D93" s="6"/>
      <c r="F93" s="6"/>
      <c r="G93" s="6"/>
      <c r="H93" s="6"/>
      <c r="I93" s="6"/>
      <c r="J93" s="6"/>
    </row>
    <row r="94" spans="1:10">
      <c r="A94" s="6"/>
      <c r="B94" s="6"/>
      <c r="C94" s="6"/>
      <c r="D94" s="6"/>
      <c r="F94" s="6"/>
      <c r="G94" s="6"/>
      <c r="H94" s="6"/>
      <c r="I94" s="6"/>
      <c r="J94" s="6"/>
    </row>
    <row r="95" spans="1:10">
      <c r="A95" s="6"/>
      <c r="B95" s="6"/>
      <c r="C95" s="6"/>
      <c r="D95" s="6"/>
      <c r="F95" s="6"/>
      <c r="G95" s="6"/>
      <c r="H95" s="6"/>
      <c r="I95" s="6"/>
      <c r="J95" s="6"/>
    </row>
    <row r="96" spans="1:10">
      <c r="A96" s="6"/>
      <c r="B96" s="6"/>
      <c r="C96" s="6"/>
      <c r="D96" s="6"/>
      <c r="F96" s="6"/>
      <c r="G96" s="6"/>
      <c r="H96" s="6"/>
      <c r="I96" s="6"/>
      <c r="J96" s="6"/>
    </row>
    <row r="97" spans="1:10">
      <c r="A97" s="6"/>
      <c r="B97" s="6"/>
      <c r="C97" s="6"/>
      <c r="D97" s="6"/>
      <c r="F97" s="6"/>
      <c r="G97" s="6"/>
      <c r="H97" s="6"/>
      <c r="I97" s="6"/>
      <c r="J97" s="6"/>
    </row>
    <row r="98" spans="1:10">
      <c r="A98" s="6"/>
      <c r="B98" s="6"/>
      <c r="C98" s="6"/>
      <c r="D98" s="6"/>
      <c r="F98" s="6"/>
      <c r="G98" s="6"/>
      <c r="H98" s="6"/>
      <c r="I98" s="6"/>
      <c r="J98" s="6"/>
    </row>
    <row r="99" spans="1:10">
      <c r="A99" s="6"/>
      <c r="B99" s="6"/>
      <c r="C99" s="6"/>
      <c r="D99" s="6"/>
      <c r="F99" s="6"/>
      <c r="G99" s="6"/>
      <c r="H99" s="6"/>
      <c r="I99" s="6"/>
      <c r="J99" s="6"/>
    </row>
    <row r="100" spans="1:10">
      <c r="A100" s="6"/>
      <c r="B100" s="6"/>
      <c r="C100" s="6"/>
      <c r="D100" s="6"/>
      <c r="F100" s="6"/>
      <c r="G100" s="6"/>
      <c r="H100" s="6"/>
      <c r="I100" s="6"/>
      <c r="J100" s="6"/>
    </row>
    <row r="101" spans="1:10">
      <c r="A101" s="6"/>
      <c r="B101" s="6"/>
      <c r="C101" s="6"/>
      <c r="D101" s="6"/>
      <c r="F101" s="6"/>
      <c r="G101" s="6"/>
      <c r="H101" s="6"/>
      <c r="I101" s="6"/>
      <c r="J101" s="6"/>
    </row>
    <row r="102" spans="1:10">
      <c r="A102" s="6"/>
      <c r="B102" s="6"/>
      <c r="C102" s="6"/>
      <c r="D102" s="6"/>
      <c r="F102" s="6"/>
      <c r="G102" s="6"/>
      <c r="H102" s="6"/>
      <c r="I102" s="6"/>
      <c r="J102" s="6"/>
    </row>
  </sheetData>
  <mergeCells count="4">
    <mergeCell ref="A4:E4"/>
    <mergeCell ref="A5:E5"/>
    <mergeCell ref="G4:K4"/>
    <mergeCell ref="G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8CCC-CB73-DA45-A870-7EB15C2A9777}">
  <dimension ref="A4:K135"/>
  <sheetViews>
    <sheetView topLeftCell="A26" zoomScale="120" zoomScaleNormal="120" workbookViewId="0">
      <selection activeCell="B19" sqref="B19"/>
    </sheetView>
  </sheetViews>
  <sheetFormatPr baseColWidth="10" defaultRowHeight="15"/>
  <cols>
    <col min="1" max="1" width="36.83203125" customWidth="1"/>
    <col min="7" max="7" width="45.6640625" customWidth="1"/>
  </cols>
  <sheetData>
    <row r="4" spans="1:11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>
      <c r="A6" s="6"/>
      <c r="B6" s="6"/>
      <c r="C6" s="6"/>
      <c r="D6" s="6"/>
      <c r="E6" s="6"/>
      <c r="F6" s="6"/>
      <c r="G6" s="41"/>
      <c r="H6" s="41"/>
      <c r="I6" s="41"/>
      <c r="J6" s="41"/>
      <c r="K6" s="41"/>
    </row>
    <row r="7" spans="1:11" ht="35" customHeight="1">
      <c r="A7" s="117" t="s">
        <v>163</v>
      </c>
      <c r="B7" s="117"/>
      <c r="C7" s="117"/>
      <c r="D7" s="117"/>
      <c r="E7" s="117"/>
      <c r="F7" s="6"/>
      <c r="G7" s="116" t="s">
        <v>165</v>
      </c>
      <c r="H7" s="116"/>
      <c r="I7" s="116"/>
      <c r="J7" s="116"/>
      <c r="K7" s="116"/>
    </row>
    <row r="8" spans="1:11" ht="32" customHeight="1">
      <c r="A8" s="117" t="s">
        <v>164</v>
      </c>
      <c r="B8" s="117"/>
      <c r="C8" s="117"/>
      <c r="D8" s="117"/>
      <c r="E8" s="117"/>
      <c r="F8" s="6"/>
      <c r="G8" s="115" t="s">
        <v>164</v>
      </c>
      <c r="H8" s="115"/>
      <c r="I8" s="115"/>
      <c r="J8" s="115"/>
      <c r="K8" s="115"/>
    </row>
    <row r="9" spans="1:11">
      <c r="A9" s="8" t="s">
        <v>2</v>
      </c>
      <c r="B9" s="9" t="s">
        <v>198</v>
      </c>
      <c r="C9" s="9" t="s">
        <v>5</v>
      </c>
      <c r="D9" s="9" t="s">
        <v>4</v>
      </c>
      <c r="E9" s="9" t="s">
        <v>3</v>
      </c>
      <c r="F9" s="6"/>
      <c r="G9" s="10" t="s">
        <v>2</v>
      </c>
      <c r="H9" s="10" t="s">
        <v>202</v>
      </c>
      <c r="I9" s="11" t="s">
        <v>5</v>
      </c>
      <c r="J9" s="11" t="s">
        <v>4</v>
      </c>
      <c r="K9" s="11" t="s">
        <v>3</v>
      </c>
    </row>
    <row r="10" spans="1:11">
      <c r="A10" s="12" t="s">
        <v>6</v>
      </c>
      <c r="B10" s="52" t="s">
        <v>199</v>
      </c>
      <c r="C10" s="13" t="s">
        <v>9</v>
      </c>
      <c r="D10" s="13" t="s">
        <v>8</v>
      </c>
      <c r="E10" s="13" t="s">
        <v>7</v>
      </c>
      <c r="F10" s="6"/>
      <c r="G10" s="14" t="s">
        <v>6</v>
      </c>
      <c r="H10" s="14" t="s">
        <v>199</v>
      </c>
      <c r="I10" s="15" t="s">
        <v>9</v>
      </c>
      <c r="J10" s="15" t="s">
        <v>8</v>
      </c>
      <c r="K10" s="15" t="s">
        <v>7</v>
      </c>
    </row>
    <row r="11" spans="1:11">
      <c r="A11" s="16" t="s">
        <v>51</v>
      </c>
      <c r="B11" s="17"/>
      <c r="C11" s="17"/>
      <c r="D11" s="17"/>
      <c r="E11" s="17"/>
      <c r="F11" s="6"/>
      <c r="G11" s="18" t="s">
        <v>51</v>
      </c>
      <c r="H11" s="22"/>
      <c r="I11" s="17"/>
      <c r="J11" s="17"/>
      <c r="K11" s="17"/>
    </row>
    <row r="12" spans="1:11">
      <c r="A12" s="19" t="s">
        <v>52</v>
      </c>
      <c r="B12" s="20">
        <f>C12</f>
        <v>6268</v>
      </c>
      <c r="C12" s="20">
        <v>6268</v>
      </c>
      <c r="D12" s="20">
        <v>3685.6179999999999</v>
      </c>
      <c r="E12" s="20">
        <v>3367.9140000000002</v>
      </c>
      <c r="F12" s="6"/>
      <c r="G12" s="21" t="s">
        <v>52</v>
      </c>
      <c r="H12" s="22">
        <f>I12</f>
        <v>23243</v>
      </c>
      <c r="I12" s="22">
        <v>23243</v>
      </c>
      <c r="J12" s="22">
        <v>26810</v>
      </c>
      <c r="K12" s="22">
        <v>23825</v>
      </c>
    </row>
    <row r="13" spans="1:11">
      <c r="A13" s="23" t="s">
        <v>53</v>
      </c>
      <c r="B13" s="22"/>
      <c r="C13" s="22">
        <v>6268</v>
      </c>
      <c r="D13" s="22">
        <v>3685.6179999999999</v>
      </c>
      <c r="E13" s="22">
        <v>3367.9140000000002</v>
      </c>
      <c r="F13" s="6"/>
      <c r="G13" s="24" t="s">
        <v>53</v>
      </c>
      <c r="H13" s="22"/>
      <c r="I13" s="22">
        <v>19069</v>
      </c>
      <c r="J13" s="22">
        <v>20844</v>
      </c>
      <c r="K13" s="22">
        <v>15512</v>
      </c>
    </row>
    <row r="14" spans="1:11">
      <c r="A14" s="23" t="s">
        <v>54</v>
      </c>
      <c r="B14" s="22"/>
      <c r="C14" s="22">
        <v>0</v>
      </c>
      <c r="D14" s="22">
        <v>0</v>
      </c>
      <c r="E14" s="22">
        <v>0</v>
      </c>
      <c r="F14" s="6"/>
      <c r="G14" s="24" t="s">
        <v>54</v>
      </c>
      <c r="H14" s="22"/>
      <c r="I14" s="22">
        <v>4174</v>
      </c>
      <c r="J14" s="22">
        <v>5966</v>
      </c>
      <c r="K14" s="22">
        <v>8313</v>
      </c>
    </row>
    <row r="15" spans="1:11">
      <c r="A15" s="25" t="s">
        <v>55</v>
      </c>
      <c r="B15" s="22" cm="1">
        <f t="array" ref="B15">AVERAGE(C15:E15/'Income Statement Page'!C9:E9)*'Income Statement Page'!B9</f>
        <v>1517.8369001006306</v>
      </c>
      <c r="C15" s="22">
        <v>1324</v>
      </c>
      <c r="D15" s="22">
        <v>949.02200000000005</v>
      </c>
      <c r="E15" s="22">
        <v>515.38099999999997</v>
      </c>
      <c r="F15" s="6"/>
      <c r="G15" s="24" t="s">
        <v>55</v>
      </c>
      <c r="H15" s="22" cm="1">
        <f t="array" ref="H15">AVERAGE(I15:K15/'Income Statement Page'!I9:K9)*'Income Statement Page'!H9</f>
        <v>30024.988839734724</v>
      </c>
      <c r="I15" s="22">
        <v>33398</v>
      </c>
      <c r="J15" s="22">
        <v>33399</v>
      </c>
      <c r="K15" s="22">
        <v>28685</v>
      </c>
    </row>
    <row r="16" spans="1:11">
      <c r="A16" s="23" t="s">
        <v>56</v>
      </c>
      <c r="B16" s="22"/>
      <c r="C16" s="22">
        <v>1324</v>
      </c>
      <c r="D16" s="22">
        <v>949.02200000000005</v>
      </c>
      <c r="E16" s="22">
        <v>515.38099999999997</v>
      </c>
      <c r="F16" s="6"/>
      <c r="G16" s="24" t="s">
        <v>58</v>
      </c>
      <c r="H16" s="22" cm="1">
        <f t="array" ref="H16">AVERAGE(I16:K16/'Income Statement Page'!I9:K9)*'Income Statement Page'!H9</f>
        <v>9704.9503735541894</v>
      </c>
      <c r="I16" s="22">
        <v>10398</v>
      </c>
      <c r="J16" s="22">
        <v>9816</v>
      </c>
      <c r="K16" s="22">
        <v>10663</v>
      </c>
    </row>
    <row r="17" spans="1:11">
      <c r="A17" s="23" t="s">
        <v>57</v>
      </c>
      <c r="B17" s="22"/>
      <c r="C17" s="22">
        <v>0</v>
      </c>
      <c r="D17" s="22">
        <v>0</v>
      </c>
      <c r="E17" s="22">
        <v>0</v>
      </c>
      <c r="F17" s="6"/>
      <c r="G17" s="24" t="s">
        <v>59</v>
      </c>
      <c r="H17" s="22"/>
      <c r="I17" s="22">
        <v>4713</v>
      </c>
      <c r="J17" s="22">
        <v>4274</v>
      </c>
      <c r="K17" s="22">
        <v>4203</v>
      </c>
    </row>
    <row r="18" spans="1:11">
      <c r="A18" s="25" t="s">
        <v>58</v>
      </c>
      <c r="B18" s="22" cm="1">
        <f t="array" ref="B18">AVERAGE(C18:E18/'Income Statement Page'!C9:E9)*'Income Statement Page'!B9</f>
        <v>5155.9974161257851</v>
      </c>
      <c r="C18" s="22">
        <v>3552</v>
      </c>
      <c r="D18" s="22">
        <v>3113.4459999999999</v>
      </c>
      <c r="E18" s="22">
        <v>2263.5369999999998</v>
      </c>
      <c r="F18" s="6"/>
      <c r="G18" s="24" t="s">
        <v>60</v>
      </c>
      <c r="H18" s="22"/>
      <c r="I18" s="22">
        <v>0</v>
      </c>
      <c r="J18" s="22">
        <v>0</v>
      </c>
      <c r="K18" s="22">
        <v>0</v>
      </c>
    </row>
    <row r="19" spans="1:11">
      <c r="A19" s="23" t="s">
        <v>59</v>
      </c>
      <c r="B19" s="22"/>
      <c r="C19" s="22">
        <v>1428</v>
      </c>
      <c r="D19" s="22">
        <v>931.82799999999997</v>
      </c>
      <c r="E19" s="22">
        <v>821.39599999999996</v>
      </c>
      <c r="F19" s="6"/>
      <c r="G19" s="24" t="s">
        <v>61</v>
      </c>
      <c r="H19" s="22"/>
      <c r="I19" s="22">
        <v>5685</v>
      </c>
      <c r="J19" s="22">
        <v>5542</v>
      </c>
      <c r="K19" s="22">
        <v>6460</v>
      </c>
    </row>
    <row r="20" spans="1:11">
      <c r="A20" s="23" t="s">
        <v>60</v>
      </c>
      <c r="B20" s="22"/>
      <c r="C20" s="22">
        <v>362</v>
      </c>
      <c r="D20" s="22">
        <v>296.99099999999999</v>
      </c>
      <c r="E20" s="22">
        <v>243.18100000000001</v>
      </c>
      <c r="F20" s="6"/>
      <c r="G20" s="24" t="s">
        <v>62</v>
      </c>
      <c r="H20" s="22"/>
      <c r="I20" s="22">
        <v>0</v>
      </c>
      <c r="J20" s="22">
        <v>0</v>
      </c>
      <c r="K20" s="22">
        <v>0</v>
      </c>
    </row>
    <row r="21" spans="1:11">
      <c r="A21" s="23" t="s">
        <v>61</v>
      </c>
      <c r="B21" s="22"/>
      <c r="C21" s="22">
        <v>1356</v>
      </c>
      <c r="D21" s="22">
        <v>1581.7629999999999</v>
      </c>
      <c r="E21" s="22">
        <v>1013.909</v>
      </c>
      <c r="F21" s="6"/>
      <c r="G21" s="21" t="s">
        <v>63</v>
      </c>
      <c r="H21" s="22">
        <f>I21</f>
        <v>7953</v>
      </c>
      <c r="I21" s="22">
        <v>7953</v>
      </c>
      <c r="J21" s="22">
        <v>5268</v>
      </c>
      <c r="K21" s="22">
        <v>5571</v>
      </c>
    </row>
    <row r="22" spans="1:11">
      <c r="A22" s="23" t="s">
        <v>62</v>
      </c>
      <c r="B22" s="22"/>
      <c r="C22" s="22">
        <v>406</v>
      </c>
      <c r="D22" s="22">
        <v>302.86399999999998</v>
      </c>
      <c r="E22" s="22">
        <v>185.05099999999999</v>
      </c>
      <c r="F22" s="6"/>
      <c r="G22" s="24" t="s">
        <v>65</v>
      </c>
      <c r="H22" s="22"/>
      <c r="I22" s="22">
        <v>0</v>
      </c>
      <c r="J22" s="22">
        <v>0</v>
      </c>
      <c r="K22" s="22">
        <v>0</v>
      </c>
    </row>
    <row r="23" spans="1:11">
      <c r="A23" s="25" t="s">
        <v>63</v>
      </c>
      <c r="B23" s="22">
        <f>C23</f>
        <v>959</v>
      </c>
      <c r="C23" s="22">
        <v>959</v>
      </c>
      <c r="D23" s="22">
        <v>558.22199999999998</v>
      </c>
      <c r="E23" s="22">
        <v>423.68799999999999</v>
      </c>
      <c r="F23" s="6"/>
      <c r="G23" s="24" t="s">
        <v>162</v>
      </c>
      <c r="H23" s="22"/>
      <c r="I23" s="22" t="s">
        <v>12</v>
      </c>
      <c r="J23" s="22" t="s">
        <v>12</v>
      </c>
      <c r="K23" s="22">
        <v>0</v>
      </c>
    </row>
    <row r="24" spans="1:11">
      <c r="A24" s="23" t="s">
        <v>64</v>
      </c>
      <c r="B24" s="22"/>
      <c r="C24" s="22">
        <v>713</v>
      </c>
      <c r="D24" s="22">
        <v>365.67099999999999</v>
      </c>
      <c r="E24" s="22">
        <v>268.36500000000001</v>
      </c>
      <c r="F24" s="6"/>
      <c r="G24" s="24" t="s">
        <v>161</v>
      </c>
      <c r="H24" s="22"/>
      <c r="I24" s="22" t="s">
        <v>12</v>
      </c>
      <c r="J24" s="22" t="s">
        <v>12</v>
      </c>
      <c r="K24" s="22" t="s">
        <v>12</v>
      </c>
    </row>
    <row r="25" spans="1:11">
      <c r="A25" s="23" t="s">
        <v>65</v>
      </c>
      <c r="B25" s="22"/>
      <c r="C25" s="22">
        <v>0</v>
      </c>
      <c r="D25" s="22">
        <v>0</v>
      </c>
      <c r="E25" s="22">
        <v>0</v>
      </c>
      <c r="F25" s="6"/>
      <c r="G25" s="24" t="s">
        <v>66</v>
      </c>
      <c r="H25" s="22"/>
      <c r="I25" s="22">
        <v>7953</v>
      </c>
      <c r="J25" s="22">
        <v>5268</v>
      </c>
      <c r="K25" s="22">
        <v>5571</v>
      </c>
    </row>
    <row r="26" spans="1:11">
      <c r="A26" s="23" t="s">
        <v>66</v>
      </c>
      <c r="B26" s="22"/>
      <c r="C26" s="22">
        <v>246</v>
      </c>
      <c r="D26" s="22">
        <v>192.55099999999999</v>
      </c>
      <c r="E26" s="22">
        <v>155.32300000000001</v>
      </c>
      <c r="F26" s="6"/>
      <c r="G26" s="18" t="s">
        <v>67</v>
      </c>
      <c r="H26" s="31">
        <f>SUM(H11:H25)</f>
        <v>70925.939213288919</v>
      </c>
      <c r="I26" s="26">
        <f>I12+I15+I16+I21</f>
        <v>74992</v>
      </c>
      <c r="J26" s="26">
        <f>J12+J15+J16+J21</f>
        <v>75293</v>
      </c>
      <c r="K26" s="26">
        <f>K12+K15+K16+K21</f>
        <v>68744</v>
      </c>
    </row>
    <row r="27" spans="1:11">
      <c r="A27" s="16" t="s">
        <v>67</v>
      </c>
      <c r="B27" s="26">
        <f>SUM(B11:B26)</f>
        <v>13900.834316226415</v>
      </c>
      <c r="C27" s="26">
        <f>C12+C15+C18+C23</f>
        <v>12103</v>
      </c>
      <c r="D27" s="26">
        <f>D12+D15+D18+D23</f>
        <v>8306.3080000000009</v>
      </c>
      <c r="E27" s="26">
        <f>E12+E15+E18+E23</f>
        <v>6570.52</v>
      </c>
      <c r="F27" s="6"/>
      <c r="G27" s="21" t="s">
        <v>68</v>
      </c>
      <c r="H27" s="22">
        <f>I27</f>
        <v>38750</v>
      </c>
      <c r="I27" s="22">
        <v>38750</v>
      </c>
      <c r="J27" s="22">
        <v>38758</v>
      </c>
      <c r="K27" s="22">
        <v>36253</v>
      </c>
    </row>
    <row r="28" spans="1:11">
      <c r="A28" s="25" t="s">
        <v>68</v>
      </c>
      <c r="B28" s="22">
        <f>C28</f>
        <v>11614</v>
      </c>
      <c r="C28" s="22">
        <v>11614</v>
      </c>
      <c r="D28" s="22">
        <v>11330.076999999999</v>
      </c>
      <c r="E28" s="22">
        <v>10027.522000000001</v>
      </c>
      <c r="F28" s="6"/>
      <c r="G28" s="24" t="s">
        <v>69</v>
      </c>
      <c r="H28" s="22"/>
      <c r="I28" s="22">
        <v>67449</v>
      </c>
      <c r="J28" s="22">
        <v>65483</v>
      </c>
      <c r="K28" s="22">
        <v>60334</v>
      </c>
    </row>
    <row r="29" spans="1:11">
      <c r="A29" s="23" t="s">
        <v>69</v>
      </c>
      <c r="B29" s="22"/>
      <c r="C29" s="22">
        <v>15348</v>
      </c>
      <c r="D29" s="22">
        <v>14029.174999999999</v>
      </c>
      <c r="E29" s="22">
        <v>11751.316000000001</v>
      </c>
      <c r="F29" s="6"/>
      <c r="G29" s="24" t="s">
        <v>70</v>
      </c>
      <c r="H29" s="22"/>
      <c r="I29" s="22">
        <v>28699</v>
      </c>
      <c r="J29" s="22">
        <v>26725</v>
      </c>
      <c r="K29" s="22">
        <v>24081</v>
      </c>
    </row>
    <row r="30" spans="1:11">
      <c r="A30" s="23" t="s">
        <v>70</v>
      </c>
      <c r="B30" s="22"/>
      <c r="C30" s="22">
        <v>3734</v>
      </c>
      <c r="D30" s="22">
        <v>2699.098</v>
      </c>
      <c r="E30" s="22">
        <v>1723.7940000000001</v>
      </c>
      <c r="F30" s="6"/>
      <c r="G30" s="24" t="s">
        <v>71</v>
      </c>
      <c r="H30" s="22">
        <f>I30</f>
        <v>26355</v>
      </c>
      <c r="I30" s="22">
        <v>26355</v>
      </c>
      <c r="J30" s="22">
        <v>25083</v>
      </c>
      <c r="K30" s="22">
        <v>21208</v>
      </c>
    </row>
    <row r="31" spans="1:11">
      <c r="A31" s="23" t="s">
        <v>71</v>
      </c>
      <c r="B31" s="22">
        <f>C31</f>
        <v>393</v>
      </c>
      <c r="C31" s="22">
        <v>393</v>
      </c>
      <c r="D31" s="22">
        <v>421.548</v>
      </c>
      <c r="E31" s="22">
        <v>456.65199999999999</v>
      </c>
      <c r="F31" s="6"/>
      <c r="G31" s="24" t="s">
        <v>72</v>
      </c>
      <c r="H31" s="22"/>
      <c r="I31" s="22">
        <v>26355</v>
      </c>
      <c r="J31" s="22">
        <v>25083</v>
      </c>
      <c r="K31" s="22">
        <v>21208</v>
      </c>
    </row>
    <row r="32" spans="1:11">
      <c r="A32" s="23" t="s">
        <v>72</v>
      </c>
      <c r="B32" s="22"/>
      <c r="C32" s="22">
        <v>393</v>
      </c>
      <c r="D32" s="22">
        <v>421.548</v>
      </c>
      <c r="E32" s="22">
        <v>456.65199999999999</v>
      </c>
      <c r="F32" s="6"/>
      <c r="G32" s="24" t="s">
        <v>73</v>
      </c>
      <c r="H32" s="22">
        <f>I32</f>
        <v>87940</v>
      </c>
      <c r="I32" s="22">
        <v>87940</v>
      </c>
      <c r="J32" s="22">
        <v>88205</v>
      </c>
      <c r="K32" s="22">
        <v>86277</v>
      </c>
    </row>
    <row r="33" spans="1:11">
      <c r="A33" s="23" t="s">
        <v>73</v>
      </c>
      <c r="B33" s="22">
        <f>C33</f>
        <v>10199</v>
      </c>
      <c r="C33" s="22">
        <v>10199</v>
      </c>
      <c r="D33" s="22">
        <v>9681.6810000000005</v>
      </c>
      <c r="E33" s="22">
        <v>11600.678</v>
      </c>
      <c r="F33" s="6"/>
      <c r="G33" s="24" t="s">
        <v>74</v>
      </c>
      <c r="H33" s="22"/>
      <c r="I33" s="22">
        <v>5337</v>
      </c>
      <c r="J33" s="22">
        <v>5579</v>
      </c>
      <c r="K33" s="22">
        <v>5849</v>
      </c>
    </row>
    <row r="34" spans="1:11">
      <c r="A34" s="23" t="s">
        <v>74</v>
      </c>
      <c r="B34" s="22"/>
      <c r="C34" s="22">
        <v>537</v>
      </c>
      <c r="D34" s="22">
        <v>350.65100000000001</v>
      </c>
      <c r="E34" s="22">
        <v>421.73899999999998</v>
      </c>
      <c r="F34" s="6"/>
      <c r="G34" s="24" t="s">
        <v>75</v>
      </c>
      <c r="H34" s="22"/>
      <c r="I34" s="27">
        <v>1859</v>
      </c>
      <c r="J34" s="27">
        <v>1861</v>
      </c>
      <c r="K34" s="27">
        <v>1857</v>
      </c>
    </row>
    <row r="35" spans="1:11">
      <c r="A35" s="28" t="s">
        <v>75</v>
      </c>
      <c r="B35" s="27"/>
      <c r="C35" s="27">
        <v>198</v>
      </c>
      <c r="D35" s="27">
        <v>68.159000000000006</v>
      </c>
      <c r="E35" s="27">
        <v>60.237000000000002</v>
      </c>
      <c r="F35" s="6"/>
      <c r="G35" s="24" t="s">
        <v>76</v>
      </c>
      <c r="H35" s="22"/>
      <c r="I35" s="27">
        <v>3478</v>
      </c>
      <c r="J35" s="27">
        <v>3718</v>
      </c>
      <c r="K35" s="27">
        <v>3992</v>
      </c>
    </row>
    <row r="36" spans="1:11">
      <c r="A36" s="28" t="s">
        <v>76</v>
      </c>
      <c r="B36" s="27"/>
      <c r="C36" s="27">
        <v>339</v>
      </c>
      <c r="D36" s="27">
        <v>282.49200000000002</v>
      </c>
      <c r="E36" s="27">
        <v>361.50200000000001</v>
      </c>
      <c r="F36" s="6"/>
      <c r="G36" s="24" t="s">
        <v>161</v>
      </c>
      <c r="H36" s="22"/>
      <c r="I36" s="22">
        <v>24640</v>
      </c>
      <c r="J36" s="22">
        <v>24082</v>
      </c>
      <c r="K36" s="22">
        <v>23544</v>
      </c>
    </row>
    <row r="37" spans="1:11">
      <c r="A37" s="23" t="s">
        <v>65</v>
      </c>
      <c r="B37" s="22"/>
      <c r="C37" s="22">
        <v>0</v>
      </c>
      <c r="D37" s="22">
        <v>0</v>
      </c>
      <c r="E37" s="22">
        <v>0</v>
      </c>
      <c r="F37" s="6"/>
      <c r="G37" s="24" t="s">
        <v>65</v>
      </c>
      <c r="H37" s="22"/>
      <c r="I37" s="22">
        <v>0</v>
      </c>
      <c r="J37" s="22">
        <v>0</v>
      </c>
      <c r="K37" s="22">
        <v>0</v>
      </c>
    </row>
    <row r="38" spans="1:11">
      <c r="A38" s="23" t="s">
        <v>77</v>
      </c>
      <c r="B38" s="22"/>
      <c r="C38" s="22">
        <v>9662</v>
      </c>
      <c r="D38" s="22">
        <v>9331.0300000000007</v>
      </c>
      <c r="E38" s="22">
        <v>11178.939</v>
      </c>
      <c r="F38" s="6"/>
      <c r="G38" s="24" t="s">
        <v>160</v>
      </c>
      <c r="H38" s="22"/>
      <c r="I38" s="22" t="s">
        <v>12</v>
      </c>
      <c r="J38" s="22" t="s">
        <v>12</v>
      </c>
      <c r="K38" s="22" t="s">
        <v>12</v>
      </c>
    </row>
    <row r="39" spans="1:11">
      <c r="A39" s="30" t="s">
        <v>78</v>
      </c>
      <c r="B39" s="31">
        <f>SUM(B28:B38)</f>
        <v>22206</v>
      </c>
      <c r="C39" s="31">
        <f>C28+C31+C33</f>
        <v>22206</v>
      </c>
      <c r="D39" s="31">
        <f>D28+D31+D33</f>
        <v>21433.306</v>
      </c>
      <c r="E39" s="31">
        <f>E28+E31+E33</f>
        <v>22084.851999999999</v>
      </c>
      <c r="F39" s="6"/>
      <c r="G39" s="24" t="s">
        <v>159</v>
      </c>
      <c r="H39" s="22"/>
      <c r="I39" s="22">
        <v>8562</v>
      </c>
      <c r="J39" s="22">
        <v>9215</v>
      </c>
      <c r="K39" s="22">
        <v>9073</v>
      </c>
    </row>
    <row r="40" spans="1:11">
      <c r="A40" s="30" t="s">
        <v>51</v>
      </c>
      <c r="B40" s="31">
        <f>B39+B27</f>
        <v>36106.834316226414</v>
      </c>
      <c r="C40" s="31">
        <f>C39+C27</f>
        <v>34309</v>
      </c>
      <c r="D40" s="31">
        <f>D39+D27</f>
        <v>29739.614000000001</v>
      </c>
      <c r="E40" s="31">
        <f>E39+E27</f>
        <v>28655.371999999999</v>
      </c>
      <c r="F40" s="6"/>
      <c r="G40" s="24" t="s">
        <v>77</v>
      </c>
      <c r="H40" s="22"/>
      <c r="I40" s="22">
        <v>49401</v>
      </c>
      <c r="J40" s="22">
        <v>49329</v>
      </c>
      <c r="K40" s="22">
        <v>47811</v>
      </c>
    </row>
    <row r="41" spans="1:11">
      <c r="A41" s="16"/>
      <c r="B41" s="17"/>
      <c r="C41" s="17"/>
      <c r="D41" s="17"/>
      <c r="E41" s="17"/>
      <c r="F41" s="6"/>
      <c r="G41" s="18" t="s">
        <v>78</v>
      </c>
      <c r="H41" s="31">
        <f>SUM(H27:H40)</f>
        <v>153045</v>
      </c>
      <c r="I41" s="26">
        <f>I27+I30+I32</f>
        <v>153045</v>
      </c>
      <c r="J41" s="26">
        <f>J27+J30+J32</f>
        <v>152046</v>
      </c>
      <c r="K41" s="26">
        <f>K27+K30+K32</f>
        <v>143738</v>
      </c>
    </row>
    <row r="42" spans="1:11">
      <c r="A42" s="16" t="s">
        <v>79</v>
      </c>
      <c r="B42" s="17"/>
      <c r="C42" s="17"/>
      <c r="D42" s="17"/>
      <c r="E42" s="17"/>
      <c r="F42" s="6"/>
      <c r="G42" s="18" t="s">
        <v>51</v>
      </c>
      <c r="H42" s="31">
        <f>H41+H26</f>
        <v>223970.93921328892</v>
      </c>
      <c r="I42" s="26">
        <f>I26+I41</f>
        <v>228037</v>
      </c>
      <c r="J42" s="26">
        <f>J26+J41</f>
        <v>227339</v>
      </c>
      <c r="K42" s="26">
        <f>K26+K41</f>
        <v>212482</v>
      </c>
    </row>
    <row r="43" spans="1:11">
      <c r="A43" s="25" t="s">
        <v>80</v>
      </c>
      <c r="B43" s="22" cm="1">
        <f t="array" ref="B43">AVERAGE(C43:E43/'Income Statement Page'!C9:E9)*'Income Statement Page'!B9</f>
        <v>9294.8681322490447</v>
      </c>
      <c r="C43" s="22">
        <v>6448</v>
      </c>
      <c r="D43" s="22">
        <v>5498.7039999999997</v>
      </c>
      <c r="E43" s="22">
        <v>4121.616</v>
      </c>
      <c r="F43" s="6"/>
      <c r="G43" s="18"/>
      <c r="H43" s="22"/>
      <c r="I43" s="17"/>
      <c r="J43" s="17"/>
      <c r="K43" s="17"/>
    </row>
    <row r="44" spans="1:11">
      <c r="A44" s="23" t="s">
        <v>81</v>
      </c>
      <c r="B44" s="22"/>
      <c r="C44" s="22">
        <v>3771</v>
      </c>
      <c r="D44" s="22">
        <v>3404.451</v>
      </c>
      <c r="E44" s="22">
        <v>2390.25</v>
      </c>
      <c r="F44" s="6"/>
      <c r="G44" s="18" t="s">
        <v>79</v>
      </c>
      <c r="H44" s="22"/>
      <c r="I44" s="17"/>
      <c r="J44" s="17"/>
      <c r="K44" s="17"/>
    </row>
    <row r="45" spans="1:11">
      <c r="A45" s="23" t="s">
        <v>82</v>
      </c>
      <c r="B45" s="22"/>
      <c r="C45" s="22">
        <v>611</v>
      </c>
      <c r="D45" s="22">
        <v>348.66300000000001</v>
      </c>
      <c r="E45" s="22">
        <v>185.80699999999999</v>
      </c>
      <c r="F45" s="6"/>
      <c r="G45" s="21" t="s">
        <v>80</v>
      </c>
      <c r="H45" s="22" cm="1">
        <f t="array" ref="H45">AVERAGE(I45:K45/'Income Statement Page'!I9:K9)*'Income Statement Page'!H9</f>
        <v>43134.103553771674</v>
      </c>
      <c r="I45" s="22">
        <v>44032</v>
      </c>
      <c r="J45" s="22">
        <v>46842</v>
      </c>
      <c r="K45" s="22">
        <v>46525</v>
      </c>
    </row>
    <row r="46" spans="1:11">
      <c r="A46" s="23" t="s">
        <v>83</v>
      </c>
      <c r="B46" s="22"/>
      <c r="C46" s="22">
        <v>86</v>
      </c>
      <c r="D46" s="22" t="s">
        <v>12</v>
      </c>
      <c r="E46" s="22" t="s">
        <v>12</v>
      </c>
      <c r="F46" s="6"/>
      <c r="G46" s="24" t="s">
        <v>81</v>
      </c>
      <c r="H46" s="22"/>
      <c r="I46" s="22">
        <v>21018</v>
      </c>
      <c r="J46" s="22">
        <v>22297</v>
      </c>
      <c r="K46" s="22">
        <v>23929</v>
      </c>
    </row>
    <row r="47" spans="1:11">
      <c r="A47" s="23" t="s">
        <v>84</v>
      </c>
      <c r="B47" s="22"/>
      <c r="C47" s="22">
        <v>1980</v>
      </c>
      <c r="D47" s="22">
        <v>1745.59</v>
      </c>
      <c r="E47" s="22">
        <v>1545.559</v>
      </c>
      <c r="F47" s="6"/>
      <c r="G47" s="24" t="s">
        <v>82</v>
      </c>
      <c r="H47" s="22"/>
      <c r="I47" s="22" t="s">
        <v>12</v>
      </c>
      <c r="J47" s="22" t="s">
        <v>12</v>
      </c>
      <c r="K47" s="22" t="s">
        <v>12</v>
      </c>
    </row>
    <row r="48" spans="1:11">
      <c r="A48" s="25" t="s">
        <v>85</v>
      </c>
      <c r="B48" s="22">
        <f>C48</f>
        <v>2013</v>
      </c>
      <c r="C48" s="22">
        <v>2013</v>
      </c>
      <c r="D48" s="22">
        <v>2567.6990000000001</v>
      </c>
      <c r="E48" s="22">
        <v>796.54899999999998</v>
      </c>
      <c r="F48" s="6"/>
      <c r="G48" s="24" t="s">
        <v>83</v>
      </c>
      <c r="H48" s="22"/>
      <c r="I48" s="22" t="s">
        <v>12</v>
      </c>
      <c r="J48" s="22" t="s">
        <v>12</v>
      </c>
      <c r="K48" s="22" t="s">
        <v>12</v>
      </c>
    </row>
    <row r="49" spans="1:11">
      <c r="A49" s="23" t="s">
        <v>86</v>
      </c>
      <c r="B49" s="22"/>
      <c r="C49" s="22">
        <v>0</v>
      </c>
      <c r="D49" s="22">
        <v>0</v>
      </c>
      <c r="E49" s="22">
        <v>0</v>
      </c>
      <c r="F49" s="6"/>
      <c r="G49" s="24" t="s">
        <v>84</v>
      </c>
      <c r="H49" s="22"/>
      <c r="I49" s="22">
        <v>23014</v>
      </c>
      <c r="J49" s="22">
        <v>24545</v>
      </c>
      <c r="K49" s="22">
        <v>22596</v>
      </c>
    </row>
    <row r="50" spans="1:11">
      <c r="A50" s="23" t="s">
        <v>87</v>
      </c>
      <c r="B50" s="22"/>
      <c r="C50" s="22">
        <v>614</v>
      </c>
      <c r="D50" s="22">
        <v>345.714</v>
      </c>
      <c r="E50" s="22">
        <v>96.7</v>
      </c>
      <c r="F50" s="6"/>
      <c r="G50" s="21" t="s">
        <v>85</v>
      </c>
      <c r="H50" s="22">
        <f>I50</f>
        <v>37639</v>
      </c>
      <c r="I50" s="22">
        <v>37639</v>
      </c>
      <c r="J50" s="22">
        <v>31891</v>
      </c>
      <c r="K50" s="22">
        <v>26965</v>
      </c>
    </row>
    <row r="51" spans="1:11">
      <c r="A51" s="28" t="s">
        <v>88</v>
      </c>
      <c r="B51" s="27"/>
      <c r="C51" s="27">
        <v>386</v>
      </c>
      <c r="D51" s="27">
        <v>345.714</v>
      </c>
      <c r="E51" s="27">
        <v>96.7</v>
      </c>
      <c r="F51" s="6"/>
      <c r="G51" s="24" t="s">
        <v>86</v>
      </c>
      <c r="H51" s="22"/>
      <c r="I51" s="22">
        <v>37400</v>
      </c>
      <c r="J51" s="22">
        <v>31754</v>
      </c>
      <c r="K51" s="22">
        <v>26689</v>
      </c>
    </row>
    <row r="52" spans="1:11">
      <c r="A52" s="28" t="s">
        <v>89</v>
      </c>
      <c r="B52" s="27"/>
      <c r="C52" s="27">
        <v>228</v>
      </c>
      <c r="D52" s="27" t="s">
        <v>12</v>
      </c>
      <c r="E52" s="27" t="s">
        <v>12</v>
      </c>
      <c r="F52" s="6"/>
      <c r="G52" s="24" t="s">
        <v>87</v>
      </c>
      <c r="H52" s="22"/>
      <c r="I52" s="22">
        <v>239</v>
      </c>
      <c r="J52" s="22">
        <v>137</v>
      </c>
      <c r="K52" s="22">
        <v>276</v>
      </c>
    </row>
    <row r="53" spans="1:11">
      <c r="A53" s="23" t="s">
        <v>90</v>
      </c>
      <c r="B53" s="22"/>
      <c r="C53" s="22">
        <v>1399</v>
      </c>
      <c r="D53" s="22">
        <v>2221.9850000000001</v>
      </c>
      <c r="E53" s="22">
        <v>699.84900000000005</v>
      </c>
      <c r="F53" s="6"/>
      <c r="G53" s="29" t="s">
        <v>88</v>
      </c>
      <c r="H53" s="22"/>
      <c r="I53" s="27" t="s">
        <v>12</v>
      </c>
      <c r="J53" s="27">
        <v>137</v>
      </c>
      <c r="K53" s="27">
        <v>276</v>
      </c>
    </row>
    <row r="54" spans="1:11">
      <c r="A54" s="25" t="s">
        <v>91</v>
      </c>
      <c r="B54" s="22">
        <f>C54</f>
        <v>2206</v>
      </c>
      <c r="C54" s="22">
        <v>2206</v>
      </c>
      <c r="D54" s="22">
        <v>1925.7329999999999</v>
      </c>
      <c r="E54" s="22">
        <v>2756.5050000000001</v>
      </c>
      <c r="F54" s="6"/>
      <c r="G54" s="29" t="s">
        <v>89</v>
      </c>
      <c r="H54" s="22"/>
      <c r="I54" s="27">
        <v>239</v>
      </c>
      <c r="J54" s="27" t="s">
        <v>12</v>
      </c>
      <c r="K54" s="27" t="s">
        <v>12</v>
      </c>
    </row>
    <row r="55" spans="1:11">
      <c r="A55" s="23" t="s">
        <v>92</v>
      </c>
      <c r="B55" s="22"/>
      <c r="C55" s="22">
        <v>1163</v>
      </c>
      <c r="D55" s="22">
        <v>630.29200000000003</v>
      </c>
      <c r="E55" s="22">
        <v>1015.253</v>
      </c>
      <c r="F55" s="6"/>
      <c r="G55" s="24" t="s">
        <v>90</v>
      </c>
      <c r="H55" s="22"/>
      <c r="I55" s="22" t="s">
        <v>12</v>
      </c>
      <c r="J55" s="22" t="s">
        <v>12</v>
      </c>
      <c r="K55" s="22" t="s">
        <v>12</v>
      </c>
    </row>
    <row r="56" spans="1:11">
      <c r="A56" s="23" t="s">
        <v>93</v>
      </c>
      <c r="B56" s="22"/>
      <c r="C56" s="22">
        <v>0</v>
      </c>
      <c r="D56" s="22">
        <v>0</v>
      </c>
      <c r="E56" s="22">
        <v>0</v>
      </c>
      <c r="F56" s="6"/>
      <c r="G56" s="21" t="s">
        <v>91</v>
      </c>
      <c r="H56" s="22">
        <f>I56</f>
        <v>3234</v>
      </c>
      <c r="I56" s="22">
        <v>3234</v>
      </c>
      <c r="J56" s="22">
        <v>3504</v>
      </c>
      <c r="K56" s="22">
        <v>3400</v>
      </c>
    </row>
    <row r="57" spans="1:11">
      <c r="A57" s="23" t="s">
        <v>94</v>
      </c>
      <c r="B57" s="22"/>
      <c r="C57" s="22">
        <v>1043</v>
      </c>
      <c r="D57" s="22">
        <v>1295.441</v>
      </c>
      <c r="E57" s="22">
        <v>1741.252</v>
      </c>
      <c r="F57" s="6"/>
      <c r="G57" s="24" t="s">
        <v>92</v>
      </c>
      <c r="H57" s="22"/>
      <c r="I57" s="22">
        <v>3234</v>
      </c>
      <c r="J57" s="22">
        <v>3504</v>
      </c>
      <c r="K57" s="22">
        <v>3400</v>
      </c>
    </row>
    <row r="58" spans="1:11">
      <c r="A58" s="16" t="s">
        <v>95</v>
      </c>
      <c r="B58" s="26">
        <f>SUM(B43:B57)</f>
        <v>13513.868132249045</v>
      </c>
      <c r="C58" s="26">
        <f>C43+C48+C54</f>
        <v>10667</v>
      </c>
      <c r="D58" s="26">
        <f>D43+D48+D54</f>
        <v>9992.1360000000004</v>
      </c>
      <c r="E58" s="26">
        <f>E43+E48+E54</f>
        <v>7674.67</v>
      </c>
      <c r="F58" s="6"/>
      <c r="G58" s="24" t="s">
        <v>93</v>
      </c>
      <c r="H58" s="22"/>
      <c r="I58" s="22">
        <v>0</v>
      </c>
      <c r="J58" s="22">
        <v>0</v>
      </c>
      <c r="K58" s="22">
        <v>0</v>
      </c>
    </row>
    <row r="59" spans="1:11">
      <c r="A59" s="25" t="s">
        <v>96</v>
      </c>
      <c r="B59" s="22">
        <f>C59</f>
        <v>12590</v>
      </c>
      <c r="C59" s="22">
        <v>12590</v>
      </c>
      <c r="D59" s="22">
        <v>9403.6720000000005</v>
      </c>
      <c r="E59" s="22">
        <v>9418.2189999999991</v>
      </c>
      <c r="F59" s="6"/>
      <c r="G59" s="24" t="s">
        <v>156</v>
      </c>
      <c r="H59" s="22"/>
      <c r="I59" s="22" t="s">
        <v>12</v>
      </c>
      <c r="J59" s="22" t="s">
        <v>12</v>
      </c>
      <c r="K59" s="22" t="s">
        <v>12</v>
      </c>
    </row>
    <row r="60" spans="1:11">
      <c r="A60" s="23" t="s">
        <v>97</v>
      </c>
      <c r="B60" s="22"/>
      <c r="C60" s="22">
        <v>10402</v>
      </c>
      <c r="D60" s="22">
        <v>8410.49</v>
      </c>
      <c r="E60" s="22">
        <v>8828.8850000000002</v>
      </c>
      <c r="F60" s="6"/>
      <c r="G60" s="24" t="s">
        <v>94</v>
      </c>
      <c r="H60" s="22"/>
      <c r="I60" s="22">
        <v>0</v>
      </c>
      <c r="J60" s="22">
        <v>0</v>
      </c>
      <c r="K60" s="22">
        <v>0</v>
      </c>
    </row>
    <row r="61" spans="1:11">
      <c r="A61" s="23" t="s">
        <v>98</v>
      </c>
      <c r="B61" s="22"/>
      <c r="C61" s="22">
        <v>2188</v>
      </c>
      <c r="D61" s="22">
        <v>993.18200000000002</v>
      </c>
      <c r="E61" s="22">
        <v>589.33399999999995</v>
      </c>
      <c r="F61" s="6"/>
      <c r="G61" s="18" t="s">
        <v>95</v>
      </c>
      <c r="H61" s="31">
        <f>SUM(H45:H60)</f>
        <v>84007.103553771682</v>
      </c>
      <c r="I61" s="26">
        <f>I45+I50+I56</f>
        <v>84905</v>
      </c>
      <c r="J61" s="26">
        <f>J45+J50+J56</f>
        <v>82237</v>
      </c>
      <c r="K61" s="26">
        <f>K45+K50+K56</f>
        <v>76890</v>
      </c>
    </row>
    <row r="62" spans="1:11">
      <c r="A62" s="28" t="s">
        <v>99</v>
      </c>
      <c r="B62" s="27"/>
      <c r="C62" s="27">
        <v>1232</v>
      </c>
      <c r="D62" s="27">
        <v>993.18200000000002</v>
      </c>
      <c r="E62" s="27">
        <v>589.33399999999995</v>
      </c>
      <c r="F62" s="6"/>
      <c r="G62" s="21" t="s">
        <v>96</v>
      </c>
      <c r="H62" s="22">
        <f>I62</f>
        <v>66924</v>
      </c>
      <c r="I62" s="22">
        <v>66924</v>
      </c>
      <c r="J62" s="22">
        <v>73060</v>
      </c>
      <c r="K62" s="22">
        <v>67254</v>
      </c>
    </row>
    <row r="63" spans="1:11">
      <c r="A63" s="28" t="s">
        <v>100</v>
      </c>
      <c r="B63" s="27"/>
      <c r="C63" s="27">
        <v>956</v>
      </c>
      <c r="D63" s="27" t="s">
        <v>12</v>
      </c>
      <c r="E63" s="27" t="s">
        <v>12</v>
      </c>
      <c r="F63" s="6"/>
      <c r="G63" s="24" t="s">
        <v>97</v>
      </c>
      <c r="H63" s="22"/>
      <c r="I63" s="22">
        <v>65924</v>
      </c>
      <c r="J63" s="22">
        <v>72669</v>
      </c>
      <c r="K63" s="22">
        <v>66811</v>
      </c>
    </row>
    <row r="64" spans="1:11">
      <c r="A64" s="25" t="s">
        <v>101</v>
      </c>
      <c r="B64" s="22">
        <f>C64</f>
        <v>2942</v>
      </c>
      <c r="C64" s="22">
        <v>2942</v>
      </c>
      <c r="D64" s="22">
        <v>4030.2020000000002</v>
      </c>
      <c r="E64" s="22">
        <v>5930.0910000000003</v>
      </c>
      <c r="F64" s="6"/>
      <c r="G64" s="24" t="s">
        <v>98</v>
      </c>
      <c r="H64" s="22"/>
      <c r="I64" s="22">
        <v>1000</v>
      </c>
      <c r="J64" s="22">
        <v>391</v>
      </c>
      <c r="K64" s="22">
        <v>443</v>
      </c>
    </row>
    <row r="65" spans="1:11">
      <c r="A65" s="23" t="s">
        <v>102</v>
      </c>
      <c r="B65" s="22"/>
      <c r="C65" s="22">
        <v>745</v>
      </c>
      <c r="D65" s="22">
        <v>0</v>
      </c>
      <c r="E65" s="22">
        <v>0</v>
      </c>
      <c r="F65" s="6"/>
      <c r="G65" s="29" t="s">
        <v>99</v>
      </c>
      <c r="H65" s="22"/>
      <c r="I65" s="27" t="s">
        <v>12</v>
      </c>
      <c r="J65" s="27">
        <v>391</v>
      </c>
      <c r="K65" s="27">
        <v>443</v>
      </c>
    </row>
    <row r="66" spans="1:11">
      <c r="A66" s="23" t="s">
        <v>103</v>
      </c>
      <c r="B66" s="22"/>
      <c r="C66" s="22">
        <v>0</v>
      </c>
      <c r="D66" s="22">
        <v>0</v>
      </c>
      <c r="E66" s="22">
        <v>0</v>
      </c>
      <c r="F66" s="6"/>
      <c r="G66" s="29" t="s">
        <v>100</v>
      </c>
      <c r="H66" s="22"/>
      <c r="I66" s="27">
        <v>1000</v>
      </c>
      <c r="J66" s="27" t="s">
        <v>12</v>
      </c>
      <c r="K66" s="27" t="s">
        <v>12</v>
      </c>
    </row>
    <row r="67" spans="1:11">
      <c r="A67" s="28" t="s">
        <v>104</v>
      </c>
      <c r="B67" s="27"/>
      <c r="C67" s="27">
        <v>0</v>
      </c>
      <c r="D67" s="27">
        <v>0</v>
      </c>
      <c r="E67" s="27">
        <v>0</v>
      </c>
      <c r="F67" s="6"/>
      <c r="G67" s="21" t="s">
        <v>101</v>
      </c>
      <c r="H67" s="22">
        <f>I67</f>
        <v>30251</v>
      </c>
      <c r="I67" s="22">
        <v>30251</v>
      </c>
      <c r="J67" s="22">
        <v>29265</v>
      </c>
      <c r="K67" s="22">
        <v>32138</v>
      </c>
    </row>
    <row r="68" spans="1:11">
      <c r="A68" s="28" t="s">
        <v>105</v>
      </c>
      <c r="B68" s="27"/>
      <c r="C68" s="27">
        <v>0</v>
      </c>
      <c r="D68" s="27">
        <v>0</v>
      </c>
      <c r="E68" s="27">
        <v>0</v>
      </c>
      <c r="F68" s="6"/>
      <c r="G68" s="24" t="s">
        <v>102</v>
      </c>
      <c r="H68" s="22"/>
      <c r="I68" s="22">
        <v>0</v>
      </c>
      <c r="J68" s="22">
        <v>0</v>
      </c>
      <c r="K68" s="22">
        <v>0</v>
      </c>
    </row>
    <row r="69" spans="1:11">
      <c r="A69" s="23" t="s">
        <v>92</v>
      </c>
      <c r="B69" s="22"/>
      <c r="C69" s="22">
        <v>1207</v>
      </c>
      <c r="D69" s="22">
        <v>990.87300000000005</v>
      </c>
      <c r="E69" s="22">
        <v>1177.799</v>
      </c>
      <c r="F69" s="6"/>
      <c r="G69" s="24" t="s">
        <v>103</v>
      </c>
      <c r="H69" s="22"/>
      <c r="I69" s="22">
        <v>18105</v>
      </c>
      <c r="J69" s="22">
        <v>16908</v>
      </c>
      <c r="K69" s="22">
        <v>19744</v>
      </c>
    </row>
    <row r="70" spans="1:11">
      <c r="A70" s="23" t="s">
        <v>93</v>
      </c>
      <c r="B70" s="22"/>
      <c r="C70" s="22">
        <v>0</v>
      </c>
      <c r="D70" s="22">
        <v>0</v>
      </c>
      <c r="E70" s="22">
        <v>0</v>
      </c>
      <c r="F70" s="6"/>
      <c r="G70" s="24" t="s">
        <v>92</v>
      </c>
      <c r="H70" s="22"/>
      <c r="I70" s="22">
        <v>2962</v>
      </c>
      <c r="J70" s="22">
        <v>2959</v>
      </c>
      <c r="K70" s="22">
        <v>2887</v>
      </c>
    </row>
    <row r="71" spans="1:11">
      <c r="A71" s="23" t="s">
        <v>106</v>
      </c>
      <c r="B71" s="22"/>
      <c r="C71" s="22">
        <v>990</v>
      </c>
      <c r="D71" s="22">
        <v>3039.3290000000002</v>
      </c>
      <c r="E71" s="22">
        <v>4752.2920000000004</v>
      </c>
      <c r="F71" s="6"/>
      <c r="G71" s="24" t="s">
        <v>156</v>
      </c>
      <c r="H71" s="22"/>
      <c r="I71" s="22" t="s">
        <v>12</v>
      </c>
      <c r="J71" s="22" t="s">
        <v>12</v>
      </c>
      <c r="K71" s="22" t="s">
        <v>12</v>
      </c>
    </row>
    <row r="72" spans="1:11">
      <c r="A72" s="16" t="s">
        <v>107</v>
      </c>
      <c r="B72" s="26">
        <f>SUM(B59:B71)</f>
        <v>15532</v>
      </c>
      <c r="C72" s="26">
        <f>C59+C64</f>
        <v>15532</v>
      </c>
      <c r="D72" s="26">
        <f>D59+D64</f>
        <v>13433.874</v>
      </c>
      <c r="E72" s="26">
        <f>E59+E64</f>
        <v>15348.31</v>
      </c>
      <c r="F72" s="6"/>
      <c r="G72" s="24" t="s">
        <v>93</v>
      </c>
      <c r="H72" s="22"/>
      <c r="I72" s="22">
        <v>0</v>
      </c>
      <c r="J72" s="22">
        <v>0</v>
      </c>
      <c r="K72" s="22">
        <v>0</v>
      </c>
    </row>
    <row r="73" spans="1:11">
      <c r="A73" s="16" t="s">
        <v>108</v>
      </c>
      <c r="B73" s="26">
        <f>B72+B58</f>
        <v>29045.868132249045</v>
      </c>
      <c r="C73" s="26">
        <f>C58+C72</f>
        <v>26199</v>
      </c>
      <c r="D73" s="26">
        <f>D58+D72</f>
        <v>23426.010000000002</v>
      </c>
      <c r="E73" s="26">
        <f>E58+E72</f>
        <v>23022.98</v>
      </c>
      <c r="F73" s="6"/>
      <c r="G73" s="24" t="s">
        <v>106</v>
      </c>
      <c r="H73" s="22"/>
      <c r="I73" s="22">
        <v>9184</v>
      </c>
      <c r="J73" s="22">
        <v>9398</v>
      </c>
      <c r="K73" s="22">
        <v>9507</v>
      </c>
    </row>
    <row r="74" spans="1:11">
      <c r="A74" s="23" t="s">
        <v>109</v>
      </c>
      <c r="B74" s="22">
        <f>C74</f>
        <v>0</v>
      </c>
      <c r="C74" s="22">
        <v>0</v>
      </c>
      <c r="D74" s="22">
        <v>0</v>
      </c>
      <c r="E74" s="22">
        <v>0</v>
      </c>
      <c r="F74" s="6"/>
      <c r="G74" s="18" t="s">
        <v>107</v>
      </c>
      <c r="H74" s="31">
        <f>SUM(H62:H73)</f>
        <v>97175</v>
      </c>
      <c r="I74" s="26">
        <f>I62+I67</f>
        <v>97175</v>
      </c>
      <c r="J74" s="26">
        <f>J62+J67</f>
        <v>102325</v>
      </c>
      <c r="K74" s="26">
        <f>K62+K67</f>
        <v>99392</v>
      </c>
    </row>
    <row r="75" spans="1:11">
      <c r="A75" s="23" t="s">
        <v>110</v>
      </c>
      <c r="B75" s="22">
        <f>C75</f>
        <v>12737</v>
      </c>
      <c r="C75" s="22">
        <v>12737</v>
      </c>
      <c r="D75" s="22">
        <v>10249.293</v>
      </c>
      <c r="E75" s="22">
        <v>9178.1929999999993</v>
      </c>
      <c r="F75" s="6"/>
      <c r="G75" s="18" t="s">
        <v>108</v>
      </c>
      <c r="H75" s="31">
        <f>H74+H61</f>
        <v>181182.10355377168</v>
      </c>
      <c r="I75" s="26">
        <f>I61+I74</f>
        <v>182080</v>
      </c>
      <c r="J75" s="26">
        <f>J61+J74</f>
        <v>184562</v>
      </c>
      <c r="K75" s="26">
        <f>K61+K74</f>
        <v>176282</v>
      </c>
    </row>
    <row r="76" spans="1:11">
      <c r="A76" s="23" t="s">
        <v>111</v>
      </c>
      <c r="B76" s="22"/>
      <c r="C76" s="22">
        <v>0.18099999999999999</v>
      </c>
      <c r="D76" s="22">
        <v>0.17299999999999999</v>
      </c>
      <c r="E76" s="22">
        <v>0.16900000000000001</v>
      </c>
      <c r="F76" s="6"/>
      <c r="G76" s="18" t="s">
        <v>109</v>
      </c>
      <c r="H76" s="22"/>
      <c r="I76" s="22" t="s">
        <v>12</v>
      </c>
      <c r="J76" s="22" t="s">
        <v>12</v>
      </c>
      <c r="K76" s="22">
        <v>0</v>
      </c>
    </row>
    <row r="77" spans="1:11">
      <c r="A77" s="23" t="s">
        <v>112</v>
      </c>
      <c r="B77" s="22"/>
      <c r="C77" s="22">
        <v>12736.819</v>
      </c>
      <c r="D77" s="22">
        <v>10249.120000000001</v>
      </c>
      <c r="E77" s="22">
        <v>9178.0239999999994</v>
      </c>
      <c r="F77" s="6"/>
      <c r="G77" s="24" t="s">
        <v>110</v>
      </c>
      <c r="H77" s="22">
        <f>I77</f>
        <v>26088</v>
      </c>
      <c r="I77" s="22">
        <v>26088</v>
      </c>
      <c r="J77" s="22">
        <v>25577</v>
      </c>
      <c r="K77" s="22">
        <v>25385</v>
      </c>
    </row>
    <row r="78" spans="1:11">
      <c r="A78" s="23" t="s">
        <v>113</v>
      </c>
      <c r="B78" s="22">
        <f>C78</f>
        <v>0</v>
      </c>
      <c r="C78" s="22">
        <v>0</v>
      </c>
      <c r="D78" s="22">
        <v>0</v>
      </c>
      <c r="E78" s="22">
        <v>0</v>
      </c>
      <c r="F78" s="6"/>
      <c r="G78" s="24" t="s">
        <v>111</v>
      </c>
      <c r="H78" s="22">
        <f>I78</f>
        <v>14</v>
      </c>
      <c r="I78" s="22">
        <v>14</v>
      </c>
      <c r="J78" s="22">
        <v>14</v>
      </c>
      <c r="K78" s="22">
        <v>14</v>
      </c>
    </row>
    <row r="79" spans="1:11">
      <c r="A79" s="23" t="s">
        <v>114</v>
      </c>
      <c r="B79" s="22">
        <f>C79+'Income Statement Page'!B49-'Income Statement Page'!B53</f>
        <v>-7037.462821471564</v>
      </c>
      <c r="C79" s="22">
        <v>-6083</v>
      </c>
      <c r="D79" s="22">
        <v>-5317.8320000000003</v>
      </c>
      <c r="E79" s="22">
        <v>-4974.299</v>
      </c>
      <c r="F79" s="6"/>
      <c r="G79" s="24" t="s">
        <v>112</v>
      </c>
      <c r="H79" s="22">
        <f>I79</f>
        <v>26074</v>
      </c>
      <c r="I79" s="22">
        <v>26074</v>
      </c>
      <c r="J79" s="22">
        <v>25563</v>
      </c>
      <c r="K79" s="22">
        <v>25371</v>
      </c>
    </row>
    <row r="80" spans="1:11">
      <c r="A80" s="23" t="s">
        <v>115</v>
      </c>
      <c r="B80" s="22">
        <f>C80</f>
        <v>-36</v>
      </c>
      <c r="C80" s="22">
        <v>-36</v>
      </c>
      <c r="D80" s="22">
        <v>-8.218</v>
      </c>
      <c r="E80" s="22">
        <v>33.417999999999999</v>
      </c>
      <c r="F80" s="6"/>
      <c r="G80" s="24" t="s">
        <v>113</v>
      </c>
      <c r="H80" s="22">
        <f>I80</f>
        <v>0</v>
      </c>
      <c r="I80" s="22">
        <v>0</v>
      </c>
      <c r="J80" s="22">
        <v>0</v>
      </c>
      <c r="K80" s="22">
        <v>0</v>
      </c>
    </row>
    <row r="81" spans="1:11">
      <c r="A81" s="30" t="s">
        <v>116</v>
      </c>
      <c r="B81" s="31">
        <f>B74+B75+B78+B79+B80</f>
        <v>5663.537178528436</v>
      </c>
      <c r="C81" s="31">
        <f>C74+C75+C78+C79+C80</f>
        <v>6618</v>
      </c>
      <c r="D81" s="31">
        <f>D74+D75+D78+D79+D80</f>
        <v>4923.2429999999995</v>
      </c>
      <c r="E81" s="31">
        <f>E74+E75+E78+E79+E80</f>
        <v>4237.311999999999</v>
      </c>
      <c r="F81" s="6"/>
      <c r="G81" s="24" t="s">
        <v>114</v>
      </c>
      <c r="H81" s="22">
        <f>I81+'Income Statement Page'!H58-'Income Statement Page'!H62</f>
        <v>30356.254267925728</v>
      </c>
      <c r="I81" s="22">
        <v>26860</v>
      </c>
      <c r="J81" s="22">
        <v>22322</v>
      </c>
      <c r="K81" s="22">
        <v>17627</v>
      </c>
    </row>
    <row r="82" spans="1:11">
      <c r="A82" s="23" t="s">
        <v>117</v>
      </c>
      <c r="B82" s="22">
        <f>C82</f>
        <v>1492</v>
      </c>
      <c r="C82" s="22">
        <v>1492</v>
      </c>
      <c r="D82" s="22">
        <v>1390.3610000000001</v>
      </c>
      <c r="E82" s="22">
        <v>1395.08</v>
      </c>
      <c r="F82" s="6"/>
      <c r="G82" s="24" t="s">
        <v>115</v>
      </c>
      <c r="H82" s="22">
        <f>I82</f>
        <v>-11156</v>
      </c>
      <c r="I82" s="22">
        <v>-11156</v>
      </c>
      <c r="J82" s="22">
        <v>-9039</v>
      </c>
      <c r="K82" s="22">
        <v>-8011</v>
      </c>
    </row>
    <row r="83" spans="1:11">
      <c r="A83" s="16" t="s">
        <v>118</v>
      </c>
      <c r="B83" s="26">
        <f>B81+B82</f>
        <v>7155.537178528436</v>
      </c>
      <c r="C83" s="26">
        <f>C81+C82</f>
        <v>8110</v>
      </c>
      <c r="D83" s="26">
        <f>D81+D82</f>
        <v>6313.6039999999994</v>
      </c>
      <c r="E83" s="26">
        <f>E81+E82</f>
        <v>5632.3919999999989</v>
      </c>
      <c r="F83" s="6"/>
      <c r="G83" s="18" t="s">
        <v>116</v>
      </c>
      <c r="H83" s="26">
        <f>+H77+H81+H82</f>
        <v>45288.254267925731</v>
      </c>
      <c r="I83" s="26">
        <f>+I77+I81+I82</f>
        <v>41792</v>
      </c>
      <c r="J83" s="26">
        <f>+J77+J81+J82</f>
        <v>38860</v>
      </c>
      <c r="K83" s="26">
        <f>+K77+K81+K82</f>
        <v>35001</v>
      </c>
    </row>
    <row r="84" spans="1:11">
      <c r="A84" s="16" t="s">
        <v>119</v>
      </c>
      <c r="B84" s="26">
        <f>B83+B73</f>
        <v>36201.405310777482</v>
      </c>
      <c r="C84" s="26">
        <f>C73+C83</f>
        <v>34309</v>
      </c>
      <c r="D84" s="26">
        <f>D73+D83</f>
        <v>29739.614000000001</v>
      </c>
      <c r="E84" s="26">
        <f>E73+E83</f>
        <v>28655.371999999999</v>
      </c>
      <c r="F84" s="6"/>
      <c r="G84" s="24" t="s">
        <v>117</v>
      </c>
      <c r="H84" s="22">
        <f>I84</f>
        <v>4165</v>
      </c>
      <c r="I84" s="22">
        <v>4165</v>
      </c>
      <c r="J84" s="22">
        <v>3917</v>
      </c>
      <c r="K84" s="22">
        <v>1199</v>
      </c>
    </row>
    <row r="85" spans="1:11">
      <c r="A85" s="16"/>
      <c r="B85" s="17"/>
      <c r="C85" s="17"/>
      <c r="D85" s="17"/>
      <c r="E85" s="17"/>
      <c r="F85" s="6"/>
      <c r="G85" s="32" t="s">
        <v>118</v>
      </c>
      <c r="H85" s="31">
        <f>H83+H84</f>
        <v>49453.254267925731</v>
      </c>
      <c r="I85" s="26">
        <f>I83+I84</f>
        <v>45957</v>
      </c>
      <c r="J85" s="26">
        <f>J83+J84</f>
        <v>42777</v>
      </c>
      <c r="K85" s="26">
        <f>K83+K84</f>
        <v>36200</v>
      </c>
    </row>
    <row r="86" spans="1:11">
      <c r="A86" s="33" t="s">
        <v>50</v>
      </c>
      <c r="B86" s="33"/>
      <c r="C86" s="33"/>
      <c r="D86" s="33"/>
      <c r="E86" s="49"/>
      <c r="F86" s="6"/>
      <c r="G86" s="32" t="s">
        <v>119</v>
      </c>
      <c r="H86" s="31">
        <f>H85+H75</f>
        <v>230635.35782169743</v>
      </c>
      <c r="I86" s="26">
        <f>I75+I85</f>
        <v>228037</v>
      </c>
      <c r="J86" s="26">
        <f>J75+J85</f>
        <v>227339</v>
      </c>
      <c r="K86" s="26">
        <f>K75+K85</f>
        <v>212482</v>
      </c>
    </row>
    <row r="87" spans="1:11">
      <c r="A87" s="6"/>
      <c r="B87" s="6"/>
      <c r="C87" s="6"/>
      <c r="D87" s="6"/>
      <c r="E87" s="6"/>
      <c r="F87" s="6"/>
      <c r="G87" s="18"/>
      <c r="H87" s="22"/>
      <c r="I87" s="17"/>
      <c r="J87" s="17"/>
      <c r="K87" s="57"/>
    </row>
    <row r="88" spans="1:11">
      <c r="A88" s="6"/>
      <c r="B88" s="6"/>
      <c r="C88" s="6"/>
      <c r="D88" s="6"/>
      <c r="E88" s="6"/>
      <c r="F88" s="6"/>
      <c r="G88" s="33" t="s">
        <v>50</v>
      </c>
      <c r="H88" s="33"/>
      <c r="I88" s="33"/>
      <c r="J88" s="33"/>
      <c r="K88" s="49"/>
    </row>
    <row r="89" spans="1:11">
      <c r="A89" s="6"/>
      <c r="B89" s="38"/>
      <c r="C89" s="6"/>
      <c r="D89" s="6"/>
      <c r="E89" s="6"/>
      <c r="F89" s="6"/>
      <c r="G89" s="6"/>
      <c r="H89" s="6"/>
      <c r="I89" s="6"/>
      <c r="J89" s="6"/>
      <c r="K89" s="6"/>
    </row>
    <row r="90" spans="1:11">
      <c r="A90" s="6"/>
      <c r="C90" s="6"/>
      <c r="D90" s="6"/>
      <c r="E90" s="6"/>
      <c r="F90" s="6"/>
      <c r="G90" s="6"/>
      <c r="H90" s="38"/>
      <c r="I90" s="6"/>
      <c r="J90" s="6"/>
      <c r="K90" s="6"/>
    </row>
    <row r="91" spans="1:1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>
      <c r="A93" s="6"/>
      <c r="B93" s="6"/>
      <c r="D93" s="6"/>
      <c r="E93" s="6"/>
      <c r="F93" s="6"/>
      <c r="G93" s="6"/>
      <c r="H93" s="6"/>
      <c r="I93" s="6"/>
      <c r="J93" s="6"/>
      <c r="K93" s="6"/>
    </row>
    <row r="94" spans="1:1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</sheetData>
  <mergeCells count="4">
    <mergeCell ref="G7:K7"/>
    <mergeCell ref="G8:K8"/>
    <mergeCell ref="A7:E7"/>
    <mergeCell ref="A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EE29-B66F-8B42-A021-0F85A4D4CB32}">
  <dimension ref="A3:I39"/>
  <sheetViews>
    <sheetView zoomScale="150" zoomScaleNormal="150" workbookViewId="0">
      <selection activeCell="C45" sqref="C45"/>
    </sheetView>
  </sheetViews>
  <sheetFormatPr baseColWidth="10" defaultRowHeight="15"/>
  <cols>
    <col min="1" max="1" width="44.1640625" customWidth="1"/>
    <col min="2" max="2" width="17.5" customWidth="1"/>
    <col min="6" max="6" width="46.5" customWidth="1"/>
    <col min="7" max="7" width="16.83203125" customWidth="1"/>
  </cols>
  <sheetData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 ht="49" customHeight="1">
      <c r="A4" s="117" t="s">
        <v>163</v>
      </c>
      <c r="B4" s="117"/>
      <c r="C4" s="117"/>
      <c r="D4" s="7"/>
      <c r="E4" s="35"/>
      <c r="F4" s="117" t="s">
        <v>165</v>
      </c>
      <c r="G4" s="117"/>
      <c r="H4" s="117"/>
      <c r="I4" s="7"/>
    </row>
    <row r="5" spans="1:9" ht="29" customHeight="1">
      <c r="A5" s="117" t="s">
        <v>126</v>
      </c>
      <c r="B5" s="117"/>
      <c r="C5" s="117"/>
      <c r="D5" s="7"/>
      <c r="E5" s="35"/>
      <c r="F5" s="117" t="s">
        <v>126</v>
      </c>
      <c r="G5" s="117"/>
      <c r="H5" s="117"/>
      <c r="I5" s="7"/>
    </row>
    <row r="6" spans="1:9" ht="15" customHeight="1">
      <c r="A6" s="6"/>
      <c r="B6" s="6"/>
      <c r="C6" s="6"/>
      <c r="D6" s="6"/>
      <c r="E6" s="6"/>
      <c r="F6" s="6"/>
      <c r="G6" s="6"/>
      <c r="H6" s="6"/>
      <c r="I6" s="6"/>
    </row>
    <row r="7" spans="1:9">
      <c r="A7" s="36" t="s">
        <v>127</v>
      </c>
      <c r="B7" s="36" t="s">
        <v>203</v>
      </c>
      <c r="C7" s="36" t="s">
        <v>5</v>
      </c>
      <c r="D7" s="36" t="s">
        <v>4</v>
      </c>
      <c r="E7" s="6"/>
      <c r="F7" s="36" t="s">
        <v>127</v>
      </c>
      <c r="G7" s="36" t="s">
        <v>203</v>
      </c>
      <c r="H7" s="36" t="s">
        <v>5</v>
      </c>
      <c r="I7" s="36" t="s">
        <v>4</v>
      </c>
    </row>
    <row r="8" spans="1:9">
      <c r="A8" s="37" t="s">
        <v>128</v>
      </c>
      <c r="B8" s="37"/>
      <c r="C8" s="37"/>
      <c r="D8" s="37"/>
      <c r="E8" s="6"/>
      <c r="F8" s="37" t="s">
        <v>128</v>
      </c>
      <c r="G8" s="37"/>
      <c r="H8" s="37"/>
      <c r="I8" s="37"/>
    </row>
    <row r="9" spans="1:9">
      <c r="A9" s="6" t="s">
        <v>120</v>
      </c>
      <c r="B9" s="59">
        <f>'Income Statement Page'!B49</f>
        <v>-954.46282147156421</v>
      </c>
      <c r="C9" s="6">
        <f>'Income Statement Page'!C49</f>
        <v>-862</v>
      </c>
      <c r="D9" s="6">
        <f>'Income Statement Page'!D49</f>
        <v>-976.09100000000001</v>
      </c>
      <c r="E9" s="6"/>
      <c r="F9" s="6" t="s">
        <v>120</v>
      </c>
      <c r="G9" s="63">
        <f>'Income Statement Page'!H58</f>
        <v>5670.7842679257255</v>
      </c>
      <c r="H9" s="6">
        <f>'Income Statement Page'!I58</f>
        <v>6581</v>
      </c>
      <c r="I9" s="6">
        <f>'Income Statement Page'!J58</f>
        <v>7916</v>
      </c>
    </row>
    <row r="10" spans="1:9">
      <c r="A10" s="6" t="s">
        <v>124</v>
      </c>
      <c r="B10" s="59">
        <v>0</v>
      </c>
      <c r="C10" s="6">
        <v>0</v>
      </c>
      <c r="D10" s="6">
        <v>0</v>
      </c>
      <c r="E10" s="6"/>
      <c r="F10" s="6" t="s">
        <v>124</v>
      </c>
      <c r="G10" s="63">
        <v>0</v>
      </c>
      <c r="H10" s="6">
        <v>0</v>
      </c>
      <c r="I10" s="6">
        <v>0</v>
      </c>
    </row>
    <row r="11" spans="1:9">
      <c r="A11" s="6" t="s">
        <v>129</v>
      </c>
      <c r="B11" s="59">
        <f>-('Balance Sheet Page'!B15-'Balance Sheet Page'!C15)</f>
        <v>-193.8369001006306</v>
      </c>
      <c r="C11" s="38">
        <f>-('Balance Sheet Page'!C15-'Balance Sheet Page'!D15)</f>
        <v>-374.97799999999995</v>
      </c>
      <c r="D11" s="38">
        <f>-('Balance Sheet Page'!D15-'Balance Sheet Page'!E15)</f>
        <v>-433.64100000000008</v>
      </c>
      <c r="E11" s="6"/>
      <c r="F11" s="6" t="s">
        <v>129</v>
      </c>
      <c r="G11" s="63">
        <f>-('Balance Sheet Page'!H15-'Balance Sheet Page'!I15)</f>
        <v>3373.011160265276</v>
      </c>
      <c r="H11" s="6">
        <f>-('Balance Sheet Page'!I15-'Balance Sheet Page'!J15)</f>
        <v>1</v>
      </c>
      <c r="I11" s="6">
        <f>-('Balance Sheet Page'!J15-'Balance Sheet Page'!K15)</f>
        <v>-4714</v>
      </c>
    </row>
    <row r="12" spans="1:9">
      <c r="A12" s="6" t="s">
        <v>130</v>
      </c>
      <c r="B12" s="59">
        <f>-('Balance Sheet Page'!B18-'Balance Sheet Page'!C18)</f>
        <v>-1603.9974161257851</v>
      </c>
      <c r="C12" s="38">
        <f>-('Balance Sheet Page'!C18-'Balance Sheet Page'!D18)</f>
        <v>-438.55400000000009</v>
      </c>
      <c r="D12" s="38">
        <f>-('Balance Sheet Page'!D18-'Balance Sheet Page'!E18)</f>
        <v>-849.90900000000011</v>
      </c>
      <c r="E12" s="6"/>
      <c r="F12" s="6" t="s">
        <v>130</v>
      </c>
      <c r="G12" s="63">
        <f>-('Balance Sheet Page'!H16-'Balance Sheet Page'!I16)</f>
        <v>693.04962644581065</v>
      </c>
      <c r="H12" s="38">
        <f>-('Balance Sheet Page'!I16-'Balance Sheet Page'!J16)</f>
        <v>-582</v>
      </c>
      <c r="I12" s="38">
        <f>-('Balance Sheet Page'!J16-'Balance Sheet Page'!K16)</f>
        <v>847</v>
      </c>
    </row>
    <row r="13" spans="1:9">
      <c r="A13" s="6" t="s">
        <v>131</v>
      </c>
      <c r="B13" s="59">
        <f>-('Balance Sheet Page'!B23-'Balance Sheet Page'!C23)</f>
        <v>0</v>
      </c>
      <c r="C13" s="38">
        <f>-('Balance Sheet Page'!C23-'Balance Sheet Page'!D23)</f>
        <v>-400.77800000000002</v>
      </c>
      <c r="D13" s="38">
        <f>-('Balance Sheet Page'!D23-'Balance Sheet Page'!E23)</f>
        <v>-134.53399999999999</v>
      </c>
      <c r="E13" s="6"/>
      <c r="F13" s="6" t="s">
        <v>131</v>
      </c>
      <c r="G13" s="63">
        <f>-('Balance Sheet Page'!H21-'Balance Sheet Page'!I21)</f>
        <v>0</v>
      </c>
      <c r="H13" s="38">
        <f>-('Balance Sheet Page'!I21-'Balance Sheet Page'!J21)</f>
        <v>-2685</v>
      </c>
      <c r="I13" s="38">
        <f>-('Balance Sheet Page'!J21-'Balance Sheet Page'!K21)</f>
        <v>303</v>
      </c>
    </row>
    <row r="14" spans="1:9">
      <c r="A14" s="6" t="s">
        <v>125</v>
      </c>
      <c r="B14" s="59">
        <f>'Balance Sheet Page'!B43-'Balance Sheet Page'!C43</f>
        <v>2846.8681322490447</v>
      </c>
      <c r="C14" s="38">
        <f>'Balance Sheet Page'!C43-'Balance Sheet Page'!D43</f>
        <v>949.29600000000028</v>
      </c>
      <c r="D14" s="38">
        <f>'Balance Sheet Page'!D43-'Balance Sheet Page'!E43</f>
        <v>1377.0879999999997</v>
      </c>
      <c r="E14" s="6"/>
      <c r="F14" s="39" t="s">
        <v>125</v>
      </c>
      <c r="G14" s="64">
        <f>'Balance Sheet Page'!H45-'Balance Sheet Page'!I45</f>
        <v>-897.89644622832566</v>
      </c>
      <c r="H14" s="40">
        <f>'Balance Sheet Page'!I45-'Balance Sheet Page'!J45</f>
        <v>-2810</v>
      </c>
      <c r="I14" s="40">
        <f>'Balance Sheet Page'!J45-'Balance Sheet Page'!K45</f>
        <v>317</v>
      </c>
    </row>
    <row r="15" spans="1:9">
      <c r="A15" s="41" t="s">
        <v>132</v>
      </c>
      <c r="B15" s="60">
        <f>'Balance Sheet Page'!B54-'Balance Sheet Page'!C54</f>
        <v>0</v>
      </c>
      <c r="C15" s="42">
        <f>'Balance Sheet Page'!C54-'Balance Sheet Page'!D54</f>
        <v>280.26700000000005</v>
      </c>
      <c r="D15" s="42">
        <f>'Balance Sheet Page'!D54-'Balance Sheet Page'!E54</f>
        <v>-830.77200000000016</v>
      </c>
      <c r="E15" s="6"/>
      <c r="F15" s="41" t="s">
        <v>132</v>
      </c>
      <c r="G15" s="65">
        <f>'Balance Sheet Page'!H56-'Balance Sheet Page'!I56</f>
        <v>0</v>
      </c>
      <c r="H15" s="42">
        <f>'Balance Sheet Page'!I56-'Balance Sheet Page'!J56</f>
        <v>-270</v>
      </c>
      <c r="I15" s="42">
        <f>'Balance Sheet Page'!J56-'Balance Sheet Page'!K56</f>
        <v>104</v>
      </c>
    </row>
    <row r="16" spans="1:9">
      <c r="A16" s="36" t="s">
        <v>121</v>
      </c>
      <c r="B16" s="61">
        <f>SUM(B9:B15)</f>
        <v>94.570994551064814</v>
      </c>
      <c r="C16" s="43">
        <f>SUM(C9:C15)</f>
        <v>-846.74700000000007</v>
      </c>
      <c r="D16" s="43">
        <f>SUM(D9:D15)</f>
        <v>-1847.8590000000006</v>
      </c>
      <c r="E16" s="6"/>
      <c r="F16" s="36" t="s">
        <v>121</v>
      </c>
      <c r="G16" s="43">
        <f>SUM(G9:G15)</f>
        <v>8838.9486084084874</v>
      </c>
      <c r="H16" s="36">
        <f>SUM(H9:H15)</f>
        <v>235</v>
      </c>
      <c r="I16" s="36">
        <f>SUM(I9:I15)</f>
        <v>4773</v>
      </c>
    </row>
    <row r="17" spans="1:9">
      <c r="A17" s="37" t="s">
        <v>133</v>
      </c>
      <c r="B17" s="37"/>
      <c r="C17" s="37"/>
      <c r="D17" s="37"/>
      <c r="E17" s="6"/>
      <c r="F17" s="37" t="s">
        <v>133</v>
      </c>
      <c r="G17" s="37"/>
      <c r="H17" s="37"/>
      <c r="I17" s="37"/>
    </row>
    <row r="18" spans="1:9">
      <c r="A18" s="6" t="s">
        <v>144</v>
      </c>
      <c r="B18">
        <f>-('Balance Sheet Page'!B28-'Balance Sheet Page'!C28)</f>
        <v>0</v>
      </c>
      <c r="C18" s="38">
        <f>-('Balance Sheet Page'!C28-'Balance Sheet Page'!D28)</f>
        <v>-283.92300000000068</v>
      </c>
      <c r="D18" s="38">
        <f>-('Balance Sheet Page'!D28-'Balance Sheet Page'!E28)</f>
        <v>-1302.5549999999985</v>
      </c>
      <c r="E18" s="6"/>
      <c r="F18" s="6" t="s">
        <v>144</v>
      </c>
      <c r="G18" s="38">
        <f>-('Balance Sheet Page'!H27-'Balance Sheet Page'!I27)</f>
        <v>0</v>
      </c>
      <c r="H18" s="38">
        <f>-('Balance Sheet Page'!I27-'Balance Sheet Page'!J27)</f>
        <v>8</v>
      </c>
      <c r="I18" s="38">
        <f>-('Balance Sheet Page'!J27-'Balance Sheet Page'!K27)</f>
        <v>-2505</v>
      </c>
    </row>
    <row r="19" spans="1:9">
      <c r="A19" s="6" t="s">
        <v>142</v>
      </c>
      <c r="B19">
        <f>-('Balance Sheet Page'!B33-'Balance Sheet Page'!C33)</f>
        <v>0</v>
      </c>
      <c r="C19" s="38">
        <f>-('Balance Sheet Page'!C33-'Balance Sheet Page'!D33)</f>
        <v>-517.31899999999951</v>
      </c>
      <c r="D19" s="38">
        <f>-('Balance Sheet Page'!D33-'Balance Sheet Page'!E33)</f>
        <v>1918.9969999999994</v>
      </c>
      <c r="E19" s="6"/>
      <c r="F19" s="6" t="s">
        <v>142</v>
      </c>
      <c r="G19" s="38">
        <f>-('Balance Sheet Page'!H32-'Balance Sheet Page'!I32)</f>
        <v>0</v>
      </c>
      <c r="H19" s="38">
        <f>-('Balance Sheet Page'!I32-'Balance Sheet Page'!J32)</f>
        <v>265</v>
      </c>
      <c r="I19" s="38">
        <f>-('Balance Sheet Page'!J32-'Balance Sheet Page'!K32)</f>
        <v>-1928</v>
      </c>
    </row>
    <row r="20" spans="1:9">
      <c r="A20" s="41" t="s">
        <v>143</v>
      </c>
      <c r="B20" s="41">
        <f>-('Balance Sheet Page'!B31-'Balance Sheet Page'!C31)</f>
        <v>0</v>
      </c>
      <c r="C20" s="42">
        <f>-('Balance Sheet Page'!C31-'Balance Sheet Page'!D31)</f>
        <v>28.548000000000002</v>
      </c>
      <c r="D20" s="42">
        <f>-('Balance Sheet Page'!D31-'Balance Sheet Page'!E31)</f>
        <v>35.103999999999985</v>
      </c>
      <c r="E20" s="6"/>
      <c r="F20" s="41" t="s">
        <v>143</v>
      </c>
      <c r="G20" s="42">
        <f>-('Balance Sheet Page'!H30-'Balance Sheet Page'!I30)</f>
        <v>0</v>
      </c>
      <c r="H20" s="42">
        <f>-('Balance Sheet Page'!I30-'Balance Sheet Page'!J30)</f>
        <v>-1272</v>
      </c>
      <c r="I20" s="42">
        <f>-('Balance Sheet Page'!J30-'Balance Sheet Page'!K30)</f>
        <v>-3875</v>
      </c>
    </row>
    <row r="21" spans="1:9">
      <c r="A21" s="36" t="s">
        <v>122</v>
      </c>
      <c r="B21">
        <f>SUM(B18:B20)</f>
        <v>0</v>
      </c>
      <c r="C21" s="44">
        <f>SUM(C18:C20)</f>
        <v>-772.69400000000019</v>
      </c>
      <c r="D21" s="44">
        <f>SUM(D18:D20)</f>
        <v>651.54600000000096</v>
      </c>
      <c r="E21" s="6"/>
      <c r="F21" s="36" t="s">
        <v>122</v>
      </c>
      <c r="G21" s="44">
        <f>SUM(G18:G20)</f>
        <v>0</v>
      </c>
      <c r="H21" s="44">
        <f>SUM(H18:H20)</f>
        <v>-999</v>
      </c>
      <c r="I21" s="44">
        <f>SUM(I18:I20)</f>
        <v>-8308</v>
      </c>
    </row>
    <row r="22" spans="1:9">
      <c r="A22" s="37" t="s">
        <v>135</v>
      </c>
      <c r="B22" s="37"/>
      <c r="C22" s="37"/>
      <c r="D22" s="37"/>
      <c r="E22" s="6"/>
      <c r="F22" s="37" t="s">
        <v>135</v>
      </c>
      <c r="G22" s="37"/>
      <c r="H22" s="37"/>
      <c r="I22" s="37"/>
    </row>
    <row r="23" spans="1:9">
      <c r="A23" s="6" t="s">
        <v>134</v>
      </c>
      <c r="B23">
        <f>'Balance Sheet Page'!B48-'Balance Sheet Page'!C48</f>
        <v>0</v>
      </c>
      <c r="C23" s="38">
        <f>'Balance Sheet Page'!C48-'Balance Sheet Page'!D48</f>
        <v>-554.69900000000007</v>
      </c>
      <c r="D23" s="38">
        <f>'Balance Sheet Page'!D48-'Balance Sheet Page'!E48</f>
        <v>1771.15</v>
      </c>
      <c r="E23" s="6"/>
      <c r="F23" s="6" t="s">
        <v>134</v>
      </c>
      <c r="G23" s="38">
        <f>'Balance Sheet Page'!H50-'Balance Sheet Page'!I50</f>
        <v>0</v>
      </c>
      <c r="H23" s="38">
        <f>'Balance Sheet Page'!I50-'Balance Sheet Page'!J50</f>
        <v>5748</v>
      </c>
      <c r="I23" s="38">
        <f>'Balance Sheet Page'!J50-'Balance Sheet Page'!K50</f>
        <v>4926</v>
      </c>
    </row>
    <row r="24" spans="1:9">
      <c r="A24" s="6" t="s">
        <v>136</v>
      </c>
      <c r="B24">
        <f>'Balance Sheet Page'!B59-'Balance Sheet Page'!C59</f>
        <v>0</v>
      </c>
      <c r="C24" s="38">
        <f>'Balance Sheet Page'!C59-'Balance Sheet Page'!D59</f>
        <v>3186.3279999999995</v>
      </c>
      <c r="D24" s="38">
        <f>'Balance Sheet Page'!D59-'Balance Sheet Page'!E59</f>
        <v>-14.546999999998661</v>
      </c>
      <c r="E24" s="6"/>
      <c r="F24" s="6" t="s">
        <v>136</v>
      </c>
      <c r="G24" s="38">
        <f>'Balance Sheet Page'!H62-'Balance Sheet Page'!I62</f>
        <v>0</v>
      </c>
      <c r="H24" s="38">
        <f>'Balance Sheet Page'!I62-'Balance Sheet Page'!J62</f>
        <v>-6136</v>
      </c>
      <c r="I24" s="38">
        <f>'Balance Sheet Page'!J62-'Balance Sheet Page'!K62</f>
        <v>5806</v>
      </c>
    </row>
    <row r="25" spans="1:9">
      <c r="A25" s="6" t="s">
        <v>137</v>
      </c>
      <c r="B25">
        <f>'Balance Sheet Page'!B64-'Balance Sheet Page'!C64</f>
        <v>0</v>
      </c>
      <c r="C25" s="38">
        <f>'Balance Sheet Page'!C64-'Balance Sheet Page'!D64</f>
        <v>-1088.2020000000002</v>
      </c>
      <c r="D25" s="38">
        <f>'Balance Sheet Page'!D64-'Balance Sheet Page'!E64</f>
        <v>-1899.8890000000001</v>
      </c>
      <c r="E25" s="6"/>
      <c r="F25" s="6" t="s">
        <v>137</v>
      </c>
      <c r="G25" s="38">
        <f>'Balance Sheet Page'!H67-'Balance Sheet Page'!I67</f>
        <v>0</v>
      </c>
      <c r="H25" s="38">
        <f>'Balance Sheet Page'!I67-'Balance Sheet Page'!J67</f>
        <v>986</v>
      </c>
      <c r="I25" s="38">
        <f>'Balance Sheet Page'!J67-'Balance Sheet Page'!K67</f>
        <v>-2873</v>
      </c>
    </row>
    <row r="26" spans="1:9">
      <c r="A26" s="6" t="s">
        <v>138</v>
      </c>
      <c r="B26">
        <f>'Balance Sheet Page'!B75-'Balance Sheet Page'!C75</f>
        <v>0</v>
      </c>
      <c r="C26" s="38">
        <f>'Balance Sheet Page'!C76-'Balance Sheet Page'!D76</f>
        <v>8.0000000000000071E-3</v>
      </c>
      <c r="D26" s="38">
        <f>'Balance Sheet Page'!D76-'Balance Sheet Page'!E76</f>
        <v>3.9999999999999758E-3</v>
      </c>
      <c r="E26" s="6"/>
      <c r="F26" s="6" t="s">
        <v>138</v>
      </c>
      <c r="G26" s="38"/>
      <c r="H26" s="38">
        <f>'Balance Sheet Page'!I78-'Balance Sheet Page'!J78</f>
        <v>0</v>
      </c>
      <c r="I26" s="38">
        <f>'Balance Sheet Page'!J78-'Balance Sheet Page'!K78</f>
        <v>0</v>
      </c>
    </row>
    <row r="27" spans="1:9">
      <c r="A27" s="6" t="s">
        <v>139</v>
      </c>
      <c r="B27">
        <f>'Balance Sheet Page'!B75-'Balance Sheet Page'!C75</f>
        <v>0</v>
      </c>
      <c r="C27" s="38">
        <f>'Balance Sheet Page'!C77-'Balance Sheet Page'!D77</f>
        <v>2487.6989999999987</v>
      </c>
      <c r="D27" s="38">
        <f>'Balance Sheet Page'!D77-'Balance Sheet Page'!E77</f>
        <v>1071.0960000000014</v>
      </c>
      <c r="E27" s="6"/>
      <c r="F27" s="6" t="s">
        <v>139</v>
      </c>
      <c r="G27" s="38"/>
      <c r="H27" s="38">
        <f>'Balance Sheet Page'!I79-'Balance Sheet Page'!J79</f>
        <v>511</v>
      </c>
      <c r="I27" s="38">
        <f>'Balance Sheet Page'!J79-'Balance Sheet Page'!K79</f>
        <v>192</v>
      </c>
    </row>
    <row r="28" spans="1:9">
      <c r="A28" s="6" t="s">
        <v>140</v>
      </c>
      <c r="B28">
        <f>'Balance Sheet Page'!B80-'Balance Sheet Page'!C80</f>
        <v>0</v>
      </c>
      <c r="C28" s="38">
        <f>'Balance Sheet Page'!C80-'Balance Sheet Page'!D80</f>
        <v>-27.782</v>
      </c>
      <c r="D28" s="38">
        <f>'Balance Sheet Page'!D80-'Balance Sheet Page'!E80</f>
        <v>-41.635999999999996</v>
      </c>
      <c r="E28" s="6"/>
      <c r="F28" s="6" t="s">
        <v>140</v>
      </c>
      <c r="G28" s="38">
        <f>'Balance Sheet Page'!H82-'Balance Sheet Page'!I82</f>
        <v>0</v>
      </c>
      <c r="H28" s="38">
        <f>'Balance Sheet Page'!I82-'Balance Sheet Page'!J82</f>
        <v>-2117</v>
      </c>
      <c r="I28" s="38">
        <f>'Balance Sheet Page'!J82-'Balance Sheet Page'!K82</f>
        <v>-1028</v>
      </c>
    </row>
    <row r="29" spans="1:9">
      <c r="A29" s="6" t="s">
        <v>141</v>
      </c>
      <c r="B29">
        <f>'Balance Sheet Page'!B79-'Balance Sheet Page'!C79-'Income Statement Page'!B49</f>
        <v>0</v>
      </c>
      <c r="C29" s="38">
        <f>'Balance Sheet Page'!C79-'Balance Sheet Page'!D79-'Income Statement Page'!C49</f>
        <v>96.832000000000335</v>
      </c>
      <c r="D29" s="38">
        <f>'Balance Sheet Page'!D79-'Balance Sheet Page'!E79-'Income Statement Page'!D49</f>
        <v>632.55799999999965</v>
      </c>
      <c r="E29" s="6"/>
      <c r="F29" s="6" t="s">
        <v>141</v>
      </c>
      <c r="G29" s="38">
        <f>'Balance Sheet Page'!H81-'Balance Sheet Page'!I81-'Income Statement Page'!H58</f>
        <v>-2174.5299999999979</v>
      </c>
      <c r="H29" s="38">
        <f>'Balance Sheet Page'!I81-'Balance Sheet Page'!J81-'Income Statement Page'!I58</f>
        <v>-2043</v>
      </c>
      <c r="I29" s="38">
        <f>'Balance Sheet Page'!J81-'Balance Sheet Page'!K81-'Income Statement Page'!J58</f>
        <v>-3221</v>
      </c>
    </row>
    <row r="30" spans="1:9">
      <c r="A30" s="41" t="s">
        <v>146</v>
      </c>
      <c r="B30" s="41">
        <f>'Balance Sheet Page'!B82-'Balance Sheet Page'!C82</f>
        <v>0</v>
      </c>
      <c r="C30" s="42">
        <f>'Balance Sheet Page'!C82-'Balance Sheet Page'!D82</f>
        <v>101.6389999999999</v>
      </c>
      <c r="D30" s="42">
        <f>'Balance Sheet Page'!D82-'Balance Sheet Page'!E82</f>
        <v>-4.7189999999998236</v>
      </c>
      <c r="E30" s="6"/>
      <c r="F30" s="41" t="s">
        <v>146</v>
      </c>
      <c r="G30" s="42">
        <f>'Balance Sheet Page'!H84-'Balance Sheet Page'!I84</f>
        <v>0</v>
      </c>
      <c r="H30" s="42">
        <f>'Balance Sheet Page'!I84-'Balance Sheet Page'!J84</f>
        <v>248</v>
      </c>
      <c r="I30" s="42">
        <f>'Balance Sheet Page'!J84-'Balance Sheet Page'!K84</f>
        <v>2718</v>
      </c>
    </row>
    <row r="31" spans="1:9">
      <c r="A31" s="36" t="s">
        <v>123</v>
      </c>
      <c r="B31">
        <f>SUM(B23:B30)</f>
        <v>0</v>
      </c>
      <c r="C31" s="44">
        <f>SUM(C23:C30)</f>
        <v>4201.8229999999985</v>
      </c>
      <c r="D31" s="44">
        <f>SUM(D23:D30)</f>
        <v>1514.0170000000026</v>
      </c>
      <c r="E31" s="6"/>
      <c r="F31" s="36" t="s">
        <v>123</v>
      </c>
      <c r="G31" s="44">
        <f>SUM(G23:G30)</f>
        <v>-2174.5299999999979</v>
      </c>
      <c r="H31" s="44">
        <f>SUM(H23:H30)</f>
        <v>-2803</v>
      </c>
      <c r="I31" s="44">
        <f>SUM(I23:I30)</f>
        <v>6520</v>
      </c>
    </row>
    <row r="32" spans="1:9">
      <c r="A32" s="6"/>
      <c r="C32" s="6"/>
      <c r="D32" s="6"/>
      <c r="E32" s="6"/>
      <c r="F32" s="6"/>
      <c r="G32" s="6"/>
      <c r="H32" s="6"/>
      <c r="I32" s="6"/>
    </row>
    <row r="33" spans="1:9">
      <c r="A33" s="36" t="s">
        <v>145</v>
      </c>
      <c r="B33" s="58">
        <f>B31+B21+B16</f>
        <v>94.570994551064814</v>
      </c>
      <c r="C33" s="44">
        <f>C16+C21+C31</f>
        <v>2582.3819999999982</v>
      </c>
      <c r="D33" s="44">
        <f>D16+D21+D31</f>
        <v>317.70400000000291</v>
      </c>
      <c r="E33" s="6"/>
      <c r="F33" s="36" t="s">
        <v>158</v>
      </c>
      <c r="G33" s="45">
        <f>G16+G21+G31</f>
        <v>6664.4186084084895</v>
      </c>
      <c r="H33" s="45">
        <f>H16+H21+H31</f>
        <v>-3567</v>
      </c>
      <c r="I33" s="45">
        <f>I16+I21+I31</f>
        <v>2985</v>
      </c>
    </row>
    <row r="34" spans="1:9">
      <c r="A34" s="6" t="s">
        <v>168</v>
      </c>
      <c r="B34">
        <f>'Balance Sheet Page'!B12-'Balance Sheet Page'!C12</f>
        <v>0</v>
      </c>
      <c r="C34" s="38">
        <f>'Balance Sheet Page'!C12-'Balance Sheet Page'!D12</f>
        <v>2582.3820000000001</v>
      </c>
      <c r="D34" s="38">
        <f>'Balance Sheet Page'!D12-'Balance Sheet Page'!E12</f>
        <v>317.70399999999972</v>
      </c>
      <c r="E34" s="6"/>
      <c r="F34" s="6" t="s">
        <v>168</v>
      </c>
      <c r="G34" s="46">
        <f>'Balance Sheet Page'!H12-'Balance Sheet Page'!I12</f>
        <v>0</v>
      </c>
      <c r="H34" s="46">
        <f>'Balance Sheet Page'!I12-'Balance Sheet Page'!J12</f>
        <v>-3567</v>
      </c>
      <c r="I34" s="46">
        <f>'Balance Sheet Page'!J12-'Balance Sheet Page'!K12</f>
        <v>2985</v>
      </c>
    </row>
    <row r="35" spans="1:9">
      <c r="A35" s="6" t="s">
        <v>167</v>
      </c>
      <c r="B35" s="58">
        <f>B33-B34</f>
        <v>94.570994551064814</v>
      </c>
      <c r="C35" s="38">
        <f>C33-C34</f>
        <v>0</v>
      </c>
      <c r="D35" s="38">
        <f>D33-D34</f>
        <v>3.1832314562052488E-12</v>
      </c>
      <c r="E35" s="6"/>
      <c r="F35" s="6" t="s">
        <v>157</v>
      </c>
      <c r="G35" s="38">
        <f>G33-G34</f>
        <v>6664.4186084084895</v>
      </c>
      <c r="H35" s="38">
        <f>H33-H34</f>
        <v>0</v>
      </c>
      <c r="I35" s="38">
        <f>I33-I34</f>
        <v>0</v>
      </c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9" spans="1:9">
      <c r="A39" s="36" t="s">
        <v>254</v>
      </c>
    </row>
  </sheetData>
  <mergeCells count="4">
    <mergeCell ref="F4:H4"/>
    <mergeCell ref="F5:H5"/>
    <mergeCell ref="A4:C4"/>
    <mergeCell ref="A5:C5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BA38-AF21-3C4E-8918-63195F413890}">
  <dimension ref="A1:L68"/>
  <sheetViews>
    <sheetView tabSelected="1" topLeftCell="A21" zoomScale="130" zoomScaleNormal="130" workbookViewId="0">
      <selection activeCell="C31" sqref="C31"/>
    </sheetView>
  </sheetViews>
  <sheetFormatPr baseColWidth="10" defaultRowHeight="15"/>
  <cols>
    <col min="1" max="1" width="37.83203125" customWidth="1"/>
    <col min="2" max="2" width="21.1640625" customWidth="1"/>
    <col min="3" max="3" width="14.6640625" customWidth="1"/>
    <col min="4" max="4" width="14" customWidth="1"/>
    <col min="5" max="5" width="12.83203125" customWidth="1"/>
    <col min="6" max="6" width="7.6640625" customWidth="1"/>
    <col min="7" max="7" width="36.1640625" customWidth="1"/>
    <col min="8" max="8" width="15.83203125" customWidth="1"/>
    <col min="9" max="9" width="12.6640625" bestFit="1" customWidth="1"/>
    <col min="10" max="11" width="12.33203125" bestFit="1" customWidth="1"/>
  </cols>
  <sheetData>
    <row r="1" spans="1:12" ht="16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 ht="16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</row>
    <row r="3" spans="1:12" ht="45" customHeight="1" thickBot="1">
      <c r="A3" s="118" t="s">
        <v>196</v>
      </c>
      <c r="B3" s="118"/>
      <c r="C3" s="118"/>
      <c r="D3" s="118"/>
      <c r="E3" s="118"/>
      <c r="F3" s="109"/>
      <c r="G3" s="118" t="s">
        <v>197</v>
      </c>
      <c r="H3" s="118"/>
      <c r="I3" s="118"/>
      <c r="J3" s="118"/>
      <c r="K3" s="118"/>
      <c r="L3" s="68"/>
    </row>
    <row r="4" spans="1:12" ht="39" customHeight="1">
      <c r="A4" s="68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</row>
    <row r="5" spans="1:12" ht="16">
      <c r="A5" s="79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</row>
    <row r="6" spans="1:12" ht="38" customHeight="1" thickBot="1">
      <c r="A6" s="102" t="s">
        <v>216</v>
      </c>
      <c r="B6" s="103"/>
      <c r="C6" s="103"/>
      <c r="D6" s="103"/>
      <c r="E6" s="103"/>
      <c r="F6" s="104"/>
      <c r="G6" s="103"/>
      <c r="H6" s="103"/>
      <c r="I6" s="103"/>
      <c r="J6" s="103"/>
      <c r="K6" s="103"/>
      <c r="L6" s="68"/>
    </row>
    <row r="7" spans="1:12" ht="16">
      <c r="A7" s="81" t="s">
        <v>217</v>
      </c>
      <c r="B7" s="86">
        <v>2.5000000000000001E-3</v>
      </c>
      <c r="C7" s="83"/>
      <c r="D7" s="83"/>
      <c r="E7" s="83"/>
      <c r="F7" s="68"/>
      <c r="G7" s="81" t="s">
        <v>217</v>
      </c>
      <c r="H7" s="86">
        <v>0.01</v>
      </c>
      <c r="I7" s="80"/>
      <c r="J7" s="68"/>
      <c r="K7" s="68"/>
      <c r="L7" s="68"/>
    </row>
    <row r="8" spans="1:12" ht="16">
      <c r="A8" s="81" t="s">
        <v>218</v>
      </c>
      <c r="B8" s="86">
        <v>0.09</v>
      </c>
      <c r="C8" s="83"/>
      <c r="D8" s="83"/>
      <c r="E8" s="83"/>
      <c r="F8" s="68"/>
      <c r="G8" s="81" t="s">
        <v>218</v>
      </c>
      <c r="H8" s="86">
        <v>0.08</v>
      </c>
      <c r="I8" s="68"/>
      <c r="J8" s="68"/>
      <c r="K8" s="68"/>
      <c r="L8" s="68"/>
    </row>
    <row r="9" spans="1:12" ht="16">
      <c r="A9" s="84" t="s">
        <v>219</v>
      </c>
      <c r="B9" s="86"/>
      <c r="C9" s="68"/>
      <c r="D9" s="68"/>
      <c r="E9" s="68"/>
      <c r="F9" s="68"/>
      <c r="G9" s="84" t="s">
        <v>219</v>
      </c>
      <c r="H9" s="86"/>
      <c r="I9" s="68"/>
      <c r="J9" s="68"/>
      <c r="K9" s="68"/>
      <c r="L9" s="68"/>
    </row>
    <row r="10" spans="1:12" ht="16">
      <c r="A10" s="81" t="s">
        <v>220</v>
      </c>
      <c r="B10" s="99" t="s">
        <v>234</v>
      </c>
      <c r="C10" s="68"/>
      <c r="D10" s="68"/>
      <c r="E10" s="68"/>
      <c r="F10" s="68"/>
      <c r="G10" s="81" t="s">
        <v>220</v>
      </c>
      <c r="H10" s="99" t="s">
        <v>248</v>
      </c>
      <c r="I10" s="68"/>
      <c r="J10" s="68"/>
      <c r="K10" s="68"/>
      <c r="L10" s="68"/>
    </row>
    <row r="11" spans="1:12" ht="16">
      <c r="A11" s="81" t="s">
        <v>222</v>
      </c>
      <c r="B11" s="86">
        <v>4.8000000000000001E-2</v>
      </c>
      <c r="C11" s="87"/>
      <c r="D11" s="87"/>
      <c r="E11" s="87"/>
      <c r="F11" s="68"/>
      <c r="G11" s="81" t="s">
        <v>222</v>
      </c>
      <c r="H11" s="86">
        <v>1.4E-2</v>
      </c>
      <c r="I11" s="68"/>
      <c r="J11" s="68"/>
      <c r="K11" s="68"/>
      <c r="L11" s="68"/>
    </row>
    <row r="12" spans="1:12" ht="16">
      <c r="A12" s="81" t="s">
        <v>226</v>
      </c>
      <c r="B12" s="88">
        <f>B11+B7</f>
        <v>5.0500000000000003E-2</v>
      </c>
      <c r="C12" s="87"/>
      <c r="D12" s="87"/>
      <c r="E12" s="87"/>
      <c r="F12" s="68"/>
      <c r="G12" s="81" t="s">
        <v>226</v>
      </c>
      <c r="H12" s="86">
        <f>H11+H7</f>
        <v>2.4E-2</v>
      </c>
      <c r="I12" s="68"/>
      <c r="J12" s="68"/>
      <c r="K12" s="68"/>
      <c r="L12" s="68"/>
    </row>
    <row r="13" spans="1:12" ht="16">
      <c r="A13" s="81" t="s">
        <v>223</v>
      </c>
      <c r="B13" s="86">
        <v>0.21</v>
      </c>
      <c r="C13" s="83"/>
      <c r="D13" s="83"/>
      <c r="E13" s="83"/>
      <c r="F13" s="68"/>
      <c r="G13" s="81" t="s">
        <v>223</v>
      </c>
      <c r="H13" s="86">
        <f>'Income Statement Page'!H61</f>
        <v>0.21</v>
      </c>
      <c r="I13" s="68"/>
      <c r="J13" s="68"/>
      <c r="K13" s="68"/>
      <c r="L13" s="68"/>
    </row>
    <row r="14" spans="1:12" ht="16">
      <c r="A14" s="81" t="s">
        <v>235</v>
      </c>
      <c r="B14" s="86">
        <f>(1-B13)*B12</f>
        <v>3.9895000000000007E-2</v>
      </c>
      <c r="C14" s="90"/>
      <c r="D14" s="90"/>
      <c r="E14" s="90"/>
      <c r="F14" s="68"/>
      <c r="G14" s="81" t="s">
        <v>249</v>
      </c>
      <c r="H14" s="86">
        <f>(1-H13)*H12</f>
        <v>1.8960000000000001E-2</v>
      </c>
      <c r="I14" s="68"/>
      <c r="J14" s="68"/>
      <c r="K14" s="68"/>
      <c r="L14" s="68"/>
    </row>
    <row r="15" spans="1:12" ht="16">
      <c r="A15" s="84" t="s">
        <v>224</v>
      </c>
      <c r="B15" s="86"/>
      <c r="C15" s="68"/>
      <c r="D15" s="68"/>
      <c r="E15" s="68"/>
      <c r="F15" s="68"/>
      <c r="G15" s="84" t="s">
        <v>224</v>
      </c>
      <c r="H15" s="86"/>
      <c r="I15" s="68"/>
      <c r="J15" s="68"/>
      <c r="K15" s="68"/>
      <c r="L15" s="68"/>
    </row>
    <row r="16" spans="1:12" ht="16">
      <c r="A16" s="81" t="s">
        <v>225</v>
      </c>
      <c r="B16" s="101">
        <v>1.5</v>
      </c>
      <c r="C16" s="92"/>
      <c r="D16" s="92"/>
      <c r="E16" s="92"/>
      <c r="F16" s="68"/>
      <c r="G16" s="81" t="s">
        <v>225</v>
      </c>
      <c r="H16" s="86">
        <f>'Beta Calcuations'!C2</f>
        <v>1.3397610210600066</v>
      </c>
      <c r="I16" s="68"/>
      <c r="J16" s="68"/>
      <c r="K16" s="68"/>
      <c r="L16" s="68"/>
    </row>
    <row r="17" spans="1:12" ht="16">
      <c r="A17" s="81" t="s">
        <v>226</v>
      </c>
      <c r="B17" s="86">
        <f>B7+B16*(B8-B7)</f>
        <v>0.13374999999999998</v>
      </c>
      <c r="C17" s="87"/>
      <c r="D17" s="87"/>
      <c r="E17" s="87"/>
      <c r="F17" s="68"/>
      <c r="G17" s="81" t="s">
        <v>226</v>
      </c>
      <c r="H17" s="86">
        <f>H7+H16*(H8-H7)</f>
        <v>0.10378327147420047</v>
      </c>
      <c r="I17" s="68"/>
      <c r="J17" s="68"/>
      <c r="K17" s="68"/>
      <c r="L17" s="68"/>
    </row>
    <row r="18" spans="1:12" ht="16">
      <c r="A18" s="6"/>
      <c r="B18" s="6"/>
      <c r="C18" s="6"/>
      <c r="D18" s="6"/>
      <c r="E18" s="6"/>
      <c r="F18" s="6"/>
      <c r="G18" s="6"/>
      <c r="H18" s="6"/>
      <c r="I18" s="68"/>
      <c r="J18" s="68"/>
      <c r="K18" s="68"/>
      <c r="L18" s="68"/>
    </row>
    <row r="19" spans="1:12" ht="16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</row>
    <row r="20" spans="1:12" ht="38" customHeight="1" thickBot="1">
      <c r="A20" s="102" t="s">
        <v>227</v>
      </c>
      <c r="B20" s="103"/>
      <c r="C20" s="103"/>
      <c r="D20" s="103"/>
      <c r="E20" s="103"/>
      <c r="F20" s="104"/>
      <c r="G20" s="103"/>
      <c r="H20" s="103"/>
      <c r="I20" s="103"/>
      <c r="J20" s="103"/>
      <c r="K20" s="103"/>
      <c r="L20" s="68"/>
    </row>
    <row r="21" spans="1:12" ht="16">
      <c r="A21" s="84" t="s">
        <v>228</v>
      </c>
      <c r="B21" s="84" t="s">
        <v>236</v>
      </c>
      <c r="C21" s="84" t="s">
        <v>237</v>
      </c>
      <c r="D21" s="84" t="s">
        <v>221</v>
      </c>
      <c r="E21" s="68"/>
      <c r="F21" s="68"/>
      <c r="G21" s="84" t="s">
        <v>228</v>
      </c>
      <c r="H21" s="84" t="s">
        <v>236</v>
      </c>
      <c r="I21" s="84" t="s">
        <v>237</v>
      </c>
      <c r="J21" s="84" t="s">
        <v>221</v>
      </c>
      <c r="K21" s="68"/>
      <c r="L21" s="68"/>
    </row>
    <row r="22" spans="1:12" ht="16">
      <c r="A22" s="85" t="s">
        <v>229</v>
      </c>
      <c r="B22" s="101">
        <v>14532</v>
      </c>
      <c r="C22" s="93">
        <f>B22/B24</f>
        <v>6.1316455696202539E-2</v>
      </c>
      <c r="D22" s="89">
        <f>B14</f>
        <v>3.9895000000000007E-2</v>
      </c>
      <c r="E22" s="90"/>
      <c r="F22" s="68"/>
      <c r="G22" s="85" t="s">
        <v>229</v>
      </c>
      <c r="H22" s="101">
        <f>'Balance Sheet Page'!H74</f>
        <v>97175</v>
      </c>
      <c r="I22" s="94">
        <f>H22/H24</f>
        <v>0.74585687729930961</v>
      </c>
      <c r="J22" s="86">
        <f>H14</f>
        <v>1.8960000000000001E-2</v>
      </c>
      <c r="K22" s="68"/>
      <c r="L22" s="68"/>
    </row>
    <row r="23" spans="1:12" ht="16">
      <c r="A23" s="85" t="s">
        <v>224</v>
      </c>
      <c r="B23" s="101">
        <f>B27*B28</f>
        <v>222467.99999999997</v>
      </c>
      <c r="C23" s="93">
        <f>B23/B24</f>
        <v>0.93868354430379741</v>
      </c>
      <c r="D23" s="86">
        <f>B17</f>
        <v>0.13374999999999998</v>
      </c>
      <c r="E23" s="87"/>
      <c r="F23" s="68"/>
      <c r="G23" s="85" t="s">
        <v>224</v>
      </c>
      <c r="H23" s="101">
        <f>H27*H28</f>
        <v>33111.39</v>
      </c>
      <c r="I23" s="94">
        <f>H23/H24</f>
        <v>0.25414312270069039</v>
      </c>
      <c r="J23" s="82">
        <f>H17</f>
        <v>0.10378327147420047</v>
      </c>
      <c r="K23" s="68"/>
      <c r="L23" s="68"/>
    </row>
    <row r="24" spans="1:12" ht="16">
      <c r="A24" s="85" t="s">
        <v>230</v>
      </c>
      <c r="B24" s="101">
        <f>B23+B22</f>
        <v>236999.99999999997</v>
      </c>
      <c r="C24" s="85"/>
      <c r="D24" s="85"/>
      <c r="E24" s="68"/>
      <c r="F24" s="68"/>
      <c r="G24" s="85" t="s">
        <v>230</v>
      </c>
      <c r="H24" s="101">
        <f>H23+H22</f>
        <v>130286.39</v>
      </c>
      <c r="I24" s="85"/>
      <c r="J24" s="85"/>
      <c r="K24" s="68"/>
      <c r="L24" s="68"/>
    </row>
    <row r="25" spans="1:12" ht="16">
      <c r="A25" s="84" t="s">
        <v>231</v>
      </c>
      <c r="B25" s="97">
        <f>(C22*D22)+(C23*D23)</f>
        <v>0.12799514405063289</v>
      </c>
      <c r="C25" s="85"/>
      <c r="D25" s="85"/>
      <c r="E25" s="68"/>
      <c r="F25" s="68"/>
      <c r="G25" s="84" t="s">
        <v>231</v>
      </c>
      <c r="H25" s="88">
        <f>(I22*J22)+(I23*J23)</f>
        <v>4.0517251090141704E-2</v>
      </c>
      <c r="I25" s="84"/>
      <c r="J25" s="85"/>
      <c r="K25" s="68"/>
      <c r="L25" s="68"/>
    </row>
    <row r="26" spans="1:12" ht="16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</row>
    <row r="27" spans="1:12" ht="16">
      <c r="A27" s="85" t="s">
        <v>232</v>
      </c>
      <c r="B27" s="95">
        <v>1200</v>
      </c>
      <c r="C27" s="68"/>
      <c r="D27" s="68"/>
      <c r="E27" s="68"/>
      <c r="F27" s="68"/>
      <c r="G27" s="85" t="s">
        <v>232</v>
      </c>
      <c r="H27" s="96">
        <v>23.01</v>
      </c>
      <c r="I27" s="68"/>
      <c r="J27" s="68"/>
      <c r="K27" s="68"/>
      <c r="L27" s="68"/>
    </row>
    <row r="28" spans="1:12" ht="16">
      <c r="A28" s="85" t="s">
        <v>238</v>
      </c>
      <c r="B28" s="85">
        <v>185.39</v>
      </c>
      <c r="C28" s="68"/>
      <c r="D28" s="68"/>
      <c r="E28" s="68"/>
      <c r="F28" s="68"/>
      <c r="G28" s="85" t="s">
        <v>238</v>
      </c>
      <c r="H28" s="85">
        <v>1439</v>
      </c>
      <c r="I28" s="68"/>
      <c r="J28" s="68"/>
      <c r="K28" s="68"/>
      <c r="L28" s="68"/>
    </row>
    <row r="29" spans="1:12" ht="1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8"/>
    </row>
    <row r="30" spans="1:12" ht="16">
      <c r="A30" s="68"/>
      <c r="B30" s="98"/>
      <c r="C30" s="68"/>
      <c r="D30" s="68"/>
      <c r="E30" s="68"/>
      <c r="F30" s="68"/>
      <c r="G30" s="68"/>
      <c r="H30" s="68"/>
      <c r="I30" s="68"/>
      <c r="J30" s="68"/>
      <c r="K30" s="68"/>
      <c r="L30" s="68"/>
    </row>
    <row r="31" spans="1:12" ht="16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</row>
    <row r="32" spans="1:12" ht="16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</row>
    <row r="33" spans="1:12" ht="36" customHeight="1" thickBot="1">
      <c r="A33" s="105" t="s">
        <v>260</v>
      </c>
      <c r="B33" s="106"/>
      <c r="C33" s="106"/>
      <c r="D33" s="106"/>
      <c r="E33" s="106"/>
      <c r="F33" s="107"/>
      <c r="G33" s="106"/>
      <c r="H33" s="106"/>
      <c r="I33" s="106"/>
      <c r="J33" s="106"/>
      <c r="K33" s="106"/>
      <c r="L33" s="68"/>
    </row>
    <row r="34" spans="1:12" ht="16">
      <c r="A34" s="85"/>
      <c r="B34" s="85">
        <v>2020</v>
      </c>
      <c r="C34" s="85">
        <v>2019</v>
      </c>
      <c r="D34" s="85">
        <v>2018</v>
      </c>
      <c r="E34" s="85">
        <v>2017</v>
      </c>
      <c r="F34" s="68"/>
      <c r="G34" s="85"/>
      <c r="H34" s="85"/>
      <c r="I34" s="85"/>
      <c r="J34" s="85"/>
      <c r="K34" s="85"/>
      <c r="L34" s="68"/>
    </row>
    <row r="35" spans="1:12" ht="16">
      <c r="A35" s="85" t="s">
        <v>239</v>
      </c>
      <c r="B35" s="91">
        <f>'Balance Sheet Page'!B27-'Balance Sheet Page'!B58</f>
        <v>386.96618397737075</v>
      </c>
      <c r="C35" s="91">
        <f>'Balance Sheet Page'!C27-'Balance Sheet Page'!C58</f>
        <v>1436</v>
      </c>
      <c r="D35" s="91">
        <f>'Balance Sheet Page'!D27-'Balance Sheet Page'!D58</f>
        <v>-1685.8279999999995</v>
      </c>
      <c r="E35" s="91">
        <f>'Balance Sheet Page'!E27-'Balance Sheet Page'!E58</f>
        <v>-1104.1499999999996</v>
      </c>
      <c r="F35" s="68"/>
      <c r="G35" s="85" t="s">
        <v>239</v>
      </c>
      <c r="H35" s="91">
        <f>'Balance Sheet Page'!H26-'Balance Sheet Page'!H61</f>
        <v>-13081.164340482763</v>
      </c>
      <c r="I35" s="91">
        <f>'Balance Sheet Page'!I26-'Balance Sheet Page'!I61</f>
        <v>-9913</v>
      </c>
      <c r="J35" s="91">
        <f>'Balance Sheet Page'!J26-'Balance Sheet Page'!J61</f>
        <v>-6944</v>
      </c>
      <c r="K35" s="91">
        <f>'Balance Sheet Page'!K26-'Balance Sheet Page'!K61</f>
        <v>-8146</v>
      </c>
      <c r="L35" s="68"/>
    </row>
    <row r="36" spans="1:12" ht="16">
      <c r="A36" s="85" t="s">
        <v>240</v>
      </c>
      <c r="B36" s="91">
        <f>B35-C35</f>
        <v>-1049.0338160226293</v>
      </c>
      <c r="C36" s="91">
        <f>C35-D35</f>
        <v>3121.8279999999995</v>
      </c>
      <c r="D36" s="91">
        <f>D35-E35</f>
        <v>-581.67799999999988</v>
      </c>
      <c r="E36" s="91"/>
      <c r="F36" s="68"/>
      <c r="G36" s="85" t="s">
        <v>240</v>
      </c>
      <c r="H36" s="91">
        <f>H35-I35</f>
        <v>-3168.1643404827628</v>
      </c>
      <c r="I36" s="91">
        <f>I35-J35</f>
        <v>-2969</v>
      </c>
      <c r="J36" s="91">
        <f>J35-K35</f>
        <v>1202</v>
      </c>
      <c r="K36" s="91"/>
      <c r="L36" s="68"/>
    </row>
    <row r="37" spans="1:12" ht="16">
      <c r="A37" s="85" t="s">
        <v>241</v>
      </c>
      <c r="B37" s="91">
        <f>'Balance Sheet Page'!B28-'Balance Sheet Page'!C28</f>
        <v>0</v>
      </c>
      <c r="C37" s="91">
        <f>'Balance Sheet Page'!C28-'Balance Sheet Page'!D28</f>
        <v>283.92300000000068</v>
      </c>
      <c r="D37" s="91">
        <f>'Balance Sheet Page'!D28-'Balance Sheet Page'!E28</f>
        <v>1302.5549999999985</v>
      </c>
      <c r="E37" s="91"/>
      <c r="F37" s="68"/>
      <c r="G37" s="85" t="s">
        <v>241</v>
      </c>
      <c r="H37" s="91">
        <f>'Balance Sheet Page'!H27-'Balance Sheet Page'!I27</f>
        <v>0</v>
      </c>
      <c r="I37" s="91">
        <f>'Balance Sheet Page'!I27-'Balance Sheet Page'!J27</f>
        <v>-8</v>
      </c>
      <c r="J37" s="91">
        <f>'Balance Sheet Page'!J27-'Balance Sheet Page'!K27</f>
        <v>2505</v>
      </c>
      <c r="K37" s="91"/>
      <c r="L37" s="68"/>
    </row>
    <row r="38" spans="1:12" ht="16">
      <c r="A38" s="85" t="s">
        <v>200</v>
      </c>
      <c r="B38" s="82">
        <v>0.21</v>
      </c>
      <c r="C38" s="82">
        <v>0.21</v>
      </c>
      <c r="D38" s="82">
        <v>0.21</v>
      </c>
      <c r="E38" s="82"/>
      <c r="F38" s="83"/>
      <c r="G38" s="85" t="s">
        <v>200</v>
      </c>
      <c r="H38" s="94">
        <v>0.21</v>
      </c>
      <c r="I38" s="94">
        <v>0.21</v>
      </c>
      <c r="J38" s="94">
        <v>0.21</v>
      </c>
      <c r="K38" s="91"/>
      <c r="L38" s="68"/>
    </row>
    <row r="39" spans="1:12" ht="16">
      <c r="A39" s="84" t="s">
        <v>242</v>
      </c>
      <c r="B39" s="100">
        <f>'Income Statement Page'!B20*(1-'Income Statement Page'!B52)-Valuations!B36-Valuations!B37</f>
        <v>885.46099455106503</v>
      </c>
      <c r="C39" s="84">
        <f>'Income Statement Page'!C20*(1-'Income Statement Page'!C52)-Valuations!C36-Valuations!C37</f>
        <v>-3179.7510000000002</v>
      </c>
      <c r="D39" s="84">
        <f>'Income Statement Page'!D20*(1-'Income Statement Page'!D52)-Valuations!D36-Valuations!D37</f>
        <v>-812.35599999999863</v>
      </c>
      <c r="E39" s="85"/>
      <c r="F39" s="68"/>
      <c r="G39" s="84" t="s">
        <v>242</v>
      </c>
      <c r="H39" s="100">
        <f>'Income Statement Page'!H22*(1-'Income Statement Page'!H61)-Valuations!H36-Valuations!H37</f>
        <v>8898.0886084084887</v>
      </c>
      <c r="I39" s="100">
        <f>'Income Statement Page'!I22*(1-'Income Statement Page'!I61)-Valuations!I36-Valuations!I37</f>
        <v>10379</v>
      </c>
      <c r="J39" s="100">
        <f>'Income Statement Page'!J22*(1-'Income Statement Page'!J61)-Valuations!J36-Valuations!J37</f>
        <v>4170</v>
      </c>
      <c r="K39" s="100"/>
      <c r="L39" s="68"/>
    </row>
    <row r="40" spans="1:12" ht="16">
      <c r="A40" s="85" t="s">
        <v>243</v>
      </c>
      <c r="B40" s="93">
        <f>B39/'Income Statement Page'!B9</f>
        <v>2.7597130998399378E-2</v>
      </c>
      <c r="C40" s="93">
        <f>C39/'Income Statement Page'!C9</f>
        <v>-0.12937387094149239</v>
      </c>
      <c r="D40" s="93">
        <f>D39/'Income Statement Page'!D9</f>
        <v>-3.7852190280648776E-2</v>
      </c>
      <c r="E40" s="93"/>
      <c r="F40" s="68"/>
      <c r="G40" s="85" t="s">
        <v>243</v>
      </c>
      <c r="H40" s="94">
        <f>H39/'Income Statement Page'!H9</f>
        <v>6.5940911724503781E-2</v>
      </c>
      <c r="I40" s="94">
        <f>I39/'Income Statement Page'!I9</f>
        <v>7.5628292661600011E-2</v>
      </c>
      <c r="J40" s="94">
        <f>J39/'Income Statement Page'!J9</f>
        <v>2.8357894307339732E-2</v>
      </c>
      <c r="K40" s="91"/>
      <c r="L40" s="68"/>
    </row>
    <row r="41" spans="1:12" ht="16">
      <c r="A41" s="85" t="s">
        <v>244</v>
      </c>
      <c r="B41" s="94">
        <f>-((C39/D39)-1)</f>
        <v>-2.9142334149067719</v>
      </c>
      <c r="C41" s="85"/>
      <c r="D41" s="85"/>
      <c r="E41" s="85"/>
      <c r="F41" s="68"/>
      <c r="G41" s="85" t="s">
        <v>244</v>
      </c>
      <c r="H41" s="94">
        <f>(I39/J39)-1</f>
        <v>1.4889688249400481</v>
      </c>
      <c r="I41" s="91"/>
      <c r="J41" s="91"/>
      <c r="K41" s="91"/>
      <c r="L41" s="68"/>
    </row>
    <row r="42" spans="1:12" ht="16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</row>
    <row r="43" spans="1:12" ht="16">
      <c r="A43" s="68"/>
      <c r="B43" s="68"/>
      <c r="C43" s="68"/>
      <c r="D43" s="68"/>
      <c r="E43" s="68"/>
      <c r="F43" s="68"/>
      <c r="G43" s="85" t="s">
        <v>252</v>
      </c>
      <c r="H43" s="82">
        <v>0.03</v>
      </c>
      <c r="I43" s="68"/>
      <c r="J43" s="68"/>
      <c r="K43" s="68"/>
      <c r="L43" s="68"/>
    </row>
    <row r="44" spans="1:12" ht="16">
      <c r="A44" s="85"/>
      <c r="B44" s="85" t="s">
        <v>250</v>
      </c>
      <c r="C44" s="85" t="s">
        <v>251</v>
      </c>
      <c r="D44" s="68"/>
      <c r="E44" s="68"/>
      <c r="F44" s="68"/>
      <c r="G44" s="85" t="s">
        <v>247</v>
      </c>
      <c r="H44" s="96">
        <f>PV(H25,1,0,(-H39*(1+H43))/(H25-H43))</f>
        <v>837495.3869138055</v>
      </c>
      <c r="I44" s="68"/>
      <c r="J44" s="68"/>
      <c r="K44" s="68"/>
      <c r="L44" s="68"/>
    </row>
    <row r="45" spans="1:12" ht="16">
      <c r="A45" s="85">
        <v>2020</v>
      </c>
      <c r="B45" s="85"/>
      <c r="C45" s="91">
        <f>B39</f>
        <v>885.46099455106503</v>
      </c>
      <c r="D45" s="68"/>
      <c r="E45" s="68"/>
      <c r="F45" s="68"/>
      <c r="G45" s="85" t="s">
        <v>255</v>
      </c>
      <c r="H45" s="110">
        <f>H22</f>
        <v>97175</v>
      </c>
      <c r="I45" s="68"/>
      <c r="J45" s="68"/>
      <c r="K45" s="68"/>
      <c r="L45" s="68"/>
    </row>
    <row r="46" spans="1:12" ht="16">
      <c r="A46" s="85">
        <v>2021</v>
      </c>
      <c r="B46" s="82">
        <v>0.3</v>
      </c>
      <c r="C46" s="91">
        <f>C45*(1+B46)</f>
        <v>1151.0992929163847</v>
      </c>
      <c r="D46" s="68"/>
      <c r="E46" s="68"/>
      <c r="F46" s="68"/>
      <c r="G46" s="85" t="s">
        <v>256</v>
      </c>
      <c r="H46" s="96">
        <f>H44-H45</f>
        <v>740320.3869138055</v>
      </c>
      <c r="I46" s="68"/>
      <c r="J46" s="68"/>
      <c r="K46" s="68"/>
      <c r="L46" s="68"/>
    </row>
    <row r="47" spans="1:12" ht="16">
      <c r="A47" s="85">
        <v>2022</v>
      </c>
      <c r="B47" s="82">
        <v>0.3</v>
      </c>
      <c r="C47" s="91">
        <f>C46*(1+B47)</f>
        <v>1496.4290807913001</v>
      </c>
      <c r="D47" s="68"/>
      <c r="E47" s="68"/>
      <c r="F47" s="68"/>
      <c r="G47" s="85" t="s">
        <v>233</v>
      </c>
      <c r="H47" s="85">
        <f>H28</f>
        <v>1439</v>
      </c>
      <c r="I47" s="68"/>
      <c r="J47" s="68"/>
      <c r="K47" s="68"/>
      <c r="L47" s="68"/>
    </row>
    <row r="48" spans="1:12" ht="16">
      <c r="A48" s="85">
        <v>2023</v>
      </c>
      <c r="B48" s="82">
        <v>0.3</v>
      </c>
      <c r="C48" s="91">
        <f>C47*(1+B48)</f>
        <v>1945.3578050286901</v>
      </c>
      <c r="D48" s="68"/>
      <c r="E48" s="68"/>
      <c r="F48" s="68"/>
      <c r="G48" s="85" t="s">
        <v>257</v>
      </c>
      <c r="H48" s="96">
        <f>H46/H47</f>
        <v>514.4686496968767</v>
      </c>
      <c r="I48" s="68"/>
      <c r="J48" s="68"/>
      <c r="K48" s="68"/>
      <c r="L48" s="68"/>
    </row>
    <row r="49" spans="1:12" ht="17" thickBot="1">
      <c r="A49" s="85">
        <v>2024</v>
      </c>
      <c r="B49" s="82">
        <v>0.3</v>
      </c>
      <c r="C49" s="91">
        <f>C48*(1+B49)</f>
        <v>2528.9651465372972</v>
      </c>
      <c r="D49" s="68"/>
      <c r="E49" s="68"/>
      <c r="F49" s="68"/>
      <c r="G49" s="111" t="s">
        <v>258</v>
      </c>
      <c r="H49" s="112">
        <v>23</v>
      </c>
      <c r="I49" s="68"/>
      <c r="J49" s="68"/>
      <c r="K49" s="68"/>
      <c r="L49" s="68"/>
    </row>
    <row r="50" spans="1:12" ht="16">
      <c r="A50" s="85" t="s">
        <v>245</v>
      </c>
      <c r="B50" s="82">
        <v>0.1</v>
      </c>
      <c r="C50" s="85"/>
      <c r="D50" s="68"/>
      <c r="E50" s="68"/>
      <c r="F50" s="68"/>
      <c r="G50" s="68"/>
      <c r="H50" s="68"/>
      <c r="I50" s="68"/>
      <c r="J50" s="68"/>
      <c r="K50" s="68"/>
      <c r="L50" s="68"/>
    </row>
    <row r="51" spans="1:12" ht="16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</row>
    <row r="52" spans="1:12" ht="16">
      <c r="A52" s="85" t="s">
        <v>246</v>
      </c>
      <c r="B52" s="96">
        <f>NPV(B25,C45:C49)</f>
        <v>5318.8057390522836</v>
      </c>
      <c r="C52" s="68"/>
      <c r="D52" s="68"/>
      <c r="E52" s="68"/>
      <c r="F52" s="68"/>
      <c r="G52" s="68"/>
      <c r="H52" s="68"/>
      <c r="I52" s="68"/>
      <c r="J52" s="68"/>
      <c r="K52" s="68"/>
      <c r="L52" s="68"/>
    </row>
    <row r="53" spans="1:12" ht="16">
      <c r="A53" s="85" t="s">
        <v>247</v>
      </c>
      <c r="B53" s="96">
        <f>PV(B25,5,0,-(C49*(1+B50))/(B25-B50))</f>
        <v>54414.754295344763</v>
      </c>
      <c r="C53" s="68"/>
      <c r="D53" s="68"/>
      <c r="E53" s="68"/>
      <c r="F53" s="68"/>
      <c r="G53" s="68"/>
      <c r="H53" s="68"/>
      <c r="I53" s="68"/>
      <c r="J53" s="68"/>
      <c r="K53" s="68"/>
      <c r="L53" s="68"/>
    </row>
    <row r="54" spans="1:12" ht="16">
      <c r="A54" s="85" t="s">
        <v>259</v>
      </c>
      <c r="B54" s="96">
        <f>B52+B53</f>
        <v>59733.560034397044</v>
      </c>
      <c r="C54" s="6"/>
      <c r="D54" s="6"/>
      <c r="E54" s="6"/>
      <c r="F54" s="6"/>
      <c r="G54" s="6"/>
      <c r="H54" s="6"/>
      <c r="I54" s="6"/>
      <c r="J54" s="6"/>
      <c r="K54" s="6"/>
      <c r="L54" s="68"/>
    </row>
    <row r="55" spans="1:12" ht="16">
      <c r="A55" s="85" t="s">
        <v>255</v>
      </c>
      <c r="B55" s="110">
        <f>B22</f>
        <v>14532</v>
      </c>
      <c r="C55" s="68"/>
      <c r="D55" s="68"/>
      <c r="E55" s="68"/>
      <c r="F55" s="68"/>
      <c r="G55" s="68"/>
      <c r="H55" s="68"/>
      <c r="I55" s="68"/>
      <c r="J55" s="68"/>
      <c r="K55" s="68"/>
      <c r="L55" s="68"/>
    </row>
    <row r="56" spans="1:12" ht="16">
      <c r="A56" s="85" t="s">
        <v>256</v>
      </c>
      <c r="B56" s="96">
        <f>B54-B55</f>
        <v>45201.560034397044</v>
      </c>
      <c r="C56" s="68"/>
      <c r="D56" s="68"/>
      <c r="E56" s="68"/>
      <c r="F56" s="68"/>
      <c r="G56" s="68"/>
      <c r="H56" s="68"/>
      <c r="I56" s="68"/>
      <c r="J56" s="68"/>
      <c r="K56" s="68"/>
      <c r="L56" s="68"/>
    </row>
    <row r="57" spans="1:12" ht="16">
      <c r="A57" s="85" t="s">
        <v>261</v>
      </c>
      <c r="B57" s="85">
        <f>B28</f>
        <v>185.39</v>
      </c>
      <c r="C57" s="68"/>
      <c r="D57" s="68"/>
      <c r="E57" s="68"/>
      <c r="F57" s="68"/>
      <c r="G57" s="68"/>
      <c r="H57" s="68"/>
      <c r="I57" s="68"/>
      <c r="J57" s="68"/>
      <c r="K57" s="68"/>
      <c r="L57" s="68"/>
    </row>
    <row r="58" spans="1:12" ht="16">
      <c r="A58" s="85" t="s">
        <v>257</v>
      </c>
      <c r="B58" s="96">
        <f>B56/B57</f>
        <v>243.81876063648011</v>
      </c>
      <c r="C58" s="68"/>
      <c r="D58" s="68"/>
      <c r="E58" s="68"/>
      <c r="F58" s="68"/>
      <c r="G58" s="68"/>
      <c r="H58" s="68"/>
      <c r="I58" s="68"/>
      <c r="J58" s="68"/>
      <c r="K58" s="68"/>
      <c r="L58" s="68"/>
    </row>
    <row r="59" spans="1:12" ht="17" thickBot="1">
      <c r="A59" s="111" t="s">
        <v>258</v>
      </c>
      <c r="B59" s="112">
        <v>650</v>
      </c>
      <c r="C59" s="68"/>
      <c r="D59" s="68"/>
      <c r="E59" s="68"/>
      <c r="F59" s="68"/>
      <c r="G59" s="68"/>
      <c r="H59" s="68"/>
      <c r="I59" s="68"/>
      <c r="J59" s="68"/>
      <c r="K59" s="68"/>
      <c r="L59" s="68"/>
    </row>
    <row r="60" spans="1:12" ht="16"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</row>
    <row r="61" spans="1:12" ht="16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</row>
    <row r="62" spans="1:12" ht="16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</row>
    <row r="63" spans="1:1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</sheetData>
  <mergeCells count="2">
    <mergeCell ref="A3:E3"/>
    <mergeCell ref="G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B54F-8598-484F-A5BB-340A469F6727}">
  <dimension ref="A1:M65"/>
  <sheetViews>
    <sheetView zoomScale="120" zoomScaleNormal="120" workbookViewId="0">
      <selection activeCell="C2" sqref="C2"/>
    </sheetView>
  </sheetViews>
  <sheetFormatPr baseColWidth="10" defaultRowHeight="15"/>
  <cols>
    <col min="1" max="1" width="15.6640625" customWidth="1"/>
    <col min="2" max="2" width="18.6640625" customWidth="1"/>
    <col min="3" max="3" width="9.5" customWidth="1"/>
    <col min="4" max="5" width="14.1640625" customWidth="1"/>
    <col min="6" max="6" width="13.83203125" customWidth="1"/>
    <col min="7" max="7" width="11.6640625" customWidth="1"/>
    <col min="8" max="8" width="15.33203125" customWidth="1"/>
    <col min="9" max="9" width="15" customWidth="1"/>
  </cols>
  <sheetData>
    <row r="1" spans="1:13">
      <c r="A1" s="36" t="s">
        <v>210</v>
      </c>
      <c r="B1" s="77" t="s">
        <v>196</v>
      </c>
      <c r="C1" s="76">
        <f>SLOPE(J6:J62,I6:I62)</f>
        <v>0.42140191178414577</v>
      </c>
    </row>
    <row r="2" spans="1:13">
      <c r="A2" s="6"/>
      <c r="B2" s="77" t="s">
        <v>197</v>
      </c>
      <c r="C2" s="76">
        <f>SLOPE(K6:K62,I6:I62)</f>
        <v>1.3397610210600066</v>
      </c>
    </row>
    <row r="4" spans="1:13" ht="48" customHeight="1" thickBot="1">
      <c r="A4" s="108" t="s">
        <v>204</v>
      </c>
      <c r="B4" s="108" t="s">
        <v>214</v>
      </c>
      <c r="C4" s="108" t="s">
        <v>215</v>
      </c>
      <c r="D4" s="108" t="s">
        <v>205</v>
      </c>
      <c r="E4" s="108" t="s">
        <v>209</v>
      </c>
      <c r="F4" s="108" t="s">
        <v>206</v>
      </c>
      <c r="G4" s="108" t="s">
        <v>207</v>
      </c>
      <c r="H4" s="108" t="s">
        <v>208</v>
      </c>
      <c r="I4" s="108" t="s">
        <v>211</v>
      </c>
      <c r="J4" s="108" t="s">
        <v>213</v>
      </c>
      <c r="K4" s="108" t="s">
        <v>212</v>
      </c>
    </row>
    <row r="5" spans="1:13">
      <c r="A5" s="72">
        <v>42125</v>
      </c>
      <c r="B5" s="78">
        <v>1.83333333333333E-3</v>
      </c>
      <c r="C5" s="69">
        <v>191.06428500000001</v>
      </c>
      <c r="D5" s="69"/>
      <c r="E5" s="69">
        <v>250.800003</v>
      </c>
      <c r="F5" s="69"/>
      <c r="G5" s="70">
        <v>28.723859999999998</v>
      </c>
      <c r="H5" s="69"/>
      <c r="I5" s="74"/>
      <c r="J5" s="74"/>
      <c r="K5" s="74"/>
    </row>
    <row r="6" spans="1:13">
      <c r="A6" s="72">
        <v>42156</v>
      </c>
      <c r="B6" s="78">
        <v>1.9666666666666665E-3</v>
      </c>
      <c r="C6" s="69">
        <v>186.27726699999999</v>
      </c>
      <c r="D6" s="71">
        <f t="shared" ref="D6:D37" si="0">C6/C5-1</f>
        <v>-2.5054488859600377E-2</v>
      </c>
      <c r="E6" s="69">
        <v>268.26001000000002</v>
      </c>
      <c r="F6" s="71">
        <f t="shared" ref="F6:F37" si="1">E6/E5-1</f>
        <v>6.9617251958326465E-2</v>
      </c>
      <c r="G6" s="70">
        <v>26.615690000000001</v>
      </c>
      <c r="H6" s="71">
        <f t="shared" ref="H6:H37" si="2">G6/G5-1</f>
        <v>-7.3394383623927917E-2</v>
      </c>
      <c r="I6" s="75">
        <f>D6-B6</f>
        <v>-2.7021155526267042E-2</v>
      </c>
      <c r="J6" s="75">
        <f>F6-B6</f>
        <v>6.7650585291659793E-2</v>
      </c>
      <c r="K6" s="75">
        <f>H6-B6</f>
        <v>-7.5361050290594589E-2</v>
      </c>
    </row>
    <row r="7" spans="1:13">
      <c r="A7" s="72">
        <v>42186</v>
      </c>
      <c r="B7" s="78">
        <v>1.9333333333333331E-3</v>
      </c>
      <c r="C7" s="69">
        <v>191.41168200000001</v>
      </c>
      <c r="D7" s="71">
        <f t="shared" si="0"/>
        <v>2.7563293592878457E-2</v>
      </c>
      <c r="E7" s="69">
        <v>266.14999399999999</v>
      </c>
      <c r="F7" s="71">
        <f t="shared" si="1"/>
        <v>-7.8655629663177962E-3</v>
      </c>
      <c r="G7" s="70">
        <v>25.422927999999999</v>
      </c>
      <c r="H7" s="71">
        <f t="shared" si="2"/>
        <v>-4.4814243027327172E-2</v>
      </c>
      <c r="I7" s="75">
        <f t="shared" ref="I7:I62" si="3">D7-B7</f>
        <v>2.5629960259545125E-2</v>
      </c>
      <c r="J7" s="75">
        <f t="shared" ref="J7:J62" si="4">F7-B7</f>
        <v>-9.7988962996511299E-3</v>
      </c>
      <c r="K7" s="75">
        <f t="shared" ref="K7:K62" si="5">H7-B7</f>
        <v>-4.6747576360660507E-2</v>
      </c>
      <c r="M7" s="73"/>
    </row>
    <row r="8" spans="1:13">
      <c r="A8" s="72">
        <v>42217</v>
      </c>
      <c r="B8" s="78">
        <v>1.8083333333333332E-3</v>
      </c>
      <c r="C8" s="69">
        <v>181.100021</v>
      </c>
      <c r="D8" s="71">
        <f t="shared" si="0"/>
        <v>-5.3871638827143298E-2</v>
      </c>
      <c r="E8" s="69">
        <v>249.05999800000001</v>
      </c>
      <c r="F8" s="71">
        <f t="shared" si="1"/>
        <v>-6.4211896995195805E-2</v>
      </c>
      <c r="G8" s="70">
        <v>23.752806</v>
      </c>
      <c r="H8" s="71">
        <f t="shared" si="2"/>
        <v>-6.5693534592081604E-2</v>
      </c>
      <c r="I8" s="75">
        <f t="shared" si="3"/>
        <v>-5.5679972160476633E-2</v>
      </c>
      <c r="J8" s="75">
        <f t="shared" si="4"/>
        <v>-6.6020230328529134E-2</v>
      </c>
      <c r="K8" s="75">
        <f t="shared" si="5"/>
        <v>-6.7501867925414932E-2</v>
      </c>
      <c r="M8" s="66"/>
    </row>
    <row r="9" spans="1:13">
      <c r="A9" s="72">
        <v>42248</v>
      </c>
      <c r="B9" s="78">
        <v>1.8083333333333332E-3</v>
      </c>
      <c r="C9" s="69">
        <v>174.252869</v>
      </c>
      <c r="D9" s="71">
        <f t="shared" si="0"/>
        <v>-3.7808675902914368E-2</v>
      </c>
      <c r="E9" s="69">
        <v>248.39999399999999</v>
      </c>
      <c r="F9" s="71">
        <f t="shared" si="1"/>
        <v>-2.6499799457960771E-3</v>
      </c>
      <c r="G9" s="70">
        <v>24.220763999999999</v>
      </c>
      <c r="H9" s="71">
        <f t="shared" si="2"/>
        <v>1.9701167095794947E-2</v>
      </c>
      <c r="I9" s="75">
        <f t="shared" si="3"/>
        <v>-3.9617009236247704E-2</v>
      </c>
      <c r="J9" s="75">
        <f t="shared" si="4"/>
        <v>-4.4583132791294108E-3</v>
      </c>
      <c r="K9" s="75">
        <f t="shared" si="5"/>
        <v>1.7892833762461615E-2</v>
      </c>
    </row>
    <row r="10" spans="1:13">
      <c r="A10" s="72">
        <v>42278</v>
      </c>
      <c r="B10" s="78">
        <v>1.8000000000000002E-3</v>
      </c>
      <c r="C10" s="69">
        <v>190.935181</v>
      </c>
      <c r="D10" s="71">
        <f t="shared" si="0"/>
        <v>9.5736225726073876E-2</v>
      </c>
      <c r="E10" s="69">
        <v>206.929993</v>
      </c>
      <c r="F10" s="71">
        <f t="shared" si="1"/>
        <v>-0.16694847826767656</v>
      </c>
      <c r="G10" s="70">
        <v>28.512651000000002</v>
      </c>
      <c r="H10" s="71">
        <f t="shared" si="2"/>
        <v>0.17719866309749777</v>
      </c>
      <c r="I10" s="75">
        <f t="shared" si="3"/>
        <v>9.393622572607388E-2</v>
      </c>
      <c r="J10" s="75">
        <f t="shared" si="4"/>
        <v>-0.16874847826767655</v>
      </c>
      <c r="K10" s="75">
        <f t="shared" si="5"/>
        <v>0.17539866309749777</v>
      </c>
    </row>
    <row r="11" spans="1:13">
      <c r="A11" s="72">
        <v>42309</v>
      </c>
      <c r="B11" s="67">
        <v>1.8416666666666666E-3</v>
      </c>
      <c r="C11" s="69">
        <v>190.75235000000001</v>
      </c>
      <c r="D11" s="71">
        <f t="shared" si="0"/>
        <v>-9.5755532868502247E-4</v>
      </c>
      <c r="E11" s="69">
        <v>230.259995</v>
      </c>
      <c r="F11" s="71">
        <f t="shared" si="1"/>
        <v>0.11274345328953839</v>
      </c>
      <c r="G11" s="70">
        <v>29.566258999999999</v>
      </c>
      <c r="H11" s="71">
        <f t="shared" si="2"/>
        <v>3.6952298823423879E-2</v>
      </c>
      <c r="I11" s="75">
        <f t="shared" si="3"/>
        <v>-2.7992219953516893E-3</v>
      </c>
      <c r="J11" s="75">
        <f t="shared" si="4"/>
        <v>0.11090178662287171</v>
      </c>
      <c r="K11" s="75">
        <f t="shared" si="5"/>
        <v>3.5110632156757214E-2</v>
      </c>
      <c r="M11" s="73"/>
    </row>
    <row r="12" spans="1:13">
      <c r="A12" s="72">
        <v>42339</v>
      </c>
      <c r="B12" s="67">
        <v>1.8916666666666667E-3</v>
      </c>
      <c r="C12" s="69">
        <v>186.34667999999999</v>
      </c>
      <c r="D12" s="71">
        <f t="shared" si="0"/>
        <v>-2.3096281644760963E-2</v>
      </c>
      <c r="E12" s="69">
        <v>240.009995</v>
      </c>
      <c r="F12" s="71">
        <f t="shared" si="1"/>
        <v>4.2343438772332043E-2</v>
      </c>
      <c r="G12" s="70">
        <v>27.77759</v>
      </c>
      <c r="H12" s="71">
        <f t="shared" si="2"/>
        <v>-6.0496967167878668E-2</v>
      </c>
      <c r="I12" s="75">
        <f t="shared" si="3"/>
        <v>-2.498794831142763E-2</v>
      </c>
      <c r="J12" s="75">
        <f t="shared" si="4"/>
        <v>4.0451772105665376E-2</v>
      </c>
      <c r="K12" s="75">
        <f t="shared" si="5"/>
        <v>-6.2388633834545335E-2</v>
      </c>
      <c r="M12" s="66"/>
    </row>
    <row r="13" spans="1:13">
      <c r="A13" s="72">
        <v>42370</v>
      </c>
      <c r="B13" s="67">
        <v>1.6166666666666666E-3</v>
      </c>
      <c r="C13" s="69">
        <v>178.12292500000001</v>
      </c>
      <c r="D13" s="71">
        <f t="shared" si="0"/>
        <v>-4.4131481172618559E-2</v>
      </c>
      <c r="E13" s="69">
        <v>191.199997</v>
      </c>
      <c r="F13" s="71">
        <f t="shared" si="1"/>
        <v>-0.20336652229837349</v>
      </c>
      <c r="G13" s="70">
        <v>24.463374999999999</v>
      </c>
      <c r="H13" s="71">
        <f t="shared" si="2"/>
        <v>-0.11931254655281476</v>
      </c>
      <c r="I13" s="75">
        <f t="shared" si="3"/>
        <v>-4.5748147839285228E-2</v>
      </c>
      <c r="J13" s="75">
        <f t="shared" si="4"/>
        <v>-0.20498318896504014</v>
      </c>
      <c r="K13" s="75">
        <f t="shared" si="5"/>
        <v>-0.12092921321948143</v>
      </c>
    </row>
    <row r="14" spans="1:13">
      <c r="A14" s="72">
        <v>42401</v>
      </c>
      <c r="B14" s="67">
        <v>1.5333333333333334E-3</v>
      </c>
      <c r="C14" s="69">
        <v>177.97579999999999</v>
      </c>
      <c r="D14" s="71">
        <f t="shared" si="0"/>
        <v>-8.2597453415955702E-4</v>
      </c>
      <c r="E14" s="69">
        <v>191.929993</v>
      </c>
      <c r="F14" s="71">
        <f t="shared" si="1"/>
        <v>3.8179707712024946E-3</v>
      </c>
      <c r="G14" s="70">
        <v>24.298300000000001</v>
      </c>
      <c r="H14" s="71">
        <f t="shared" si="2"/>
        <v>-6.7478424379301405E-3</v>
      </c>
      <c r="I14" s="75">
        <f t="shared" si="3"/>
        <v>-2.3593078674928906E-3</v>
      </c>
      <c r="J14" s="75">
        <f t="shared" si="4"/>
        <v>2.284637437869161E-3</v>
      </c>
      <c r="K14" s="75">
        <f t="shared" si="5"/>
        <v>-8.2811757712634732E-3</v>
      </c>
    </row>
    <row r="15" spans="1:13">
      <c r="A15" s="72">
        <v>42430</v>
      </c>
      <c r="B15" s="67">
        <v>1.9750000000000002E-3</v>
      </c>
      <c r="C15" s="69">
        <v>188.97287</v>
      </c>
      <c r="D15" s="71">
        <f t="shared" si="0"/>
        <v>6.1789692755981562E-2</v>
      </c>
      <c r="E15" s="69">
        <v>229.770004</v>
      </c>
      <c r="F15" s="71">
        <f t="shared" si="1"/>
        <v>0.19715527734115024</v>
      </c>
      <c r="G15" s="70">
        <v>25.940750000000001</v>
      </c>
      <c r="H15" s="71">
        <f t="shared" si="2"/>
        <v>6.7595263866196298E-2</v>
      </c>
      <c r="I15" s="75">
        <f t="shared" si="3"/>
        <v>5.9814692755981565E-2</v>
      </c>
      <c r="J15" s="75">
        <f t="shared" si="4"/>
        <v>0.19518027734115023</v>
      </c>
      <c r="K15" s="75">
        <f t="shared" si="5"/>
        <v>6.5620263866196293E-2</v>
      </c>
    </row>
    <row r="16" spans="1:13">
      <c r="A16" s="72">
        <v>42461</v>
      </c>
      <c r="B16" s="67">
        <v>2.0416666666666669E-3</v>
      </c>
      <c r="C16" s="69">
        <v>190.69615200000001</v>
      </c>
      <c r="D16" s="71">
        <f t="shared" si="0"/>
        <v>9.119203195675718E-3</v>
      </c>
      <c r="E16" s="69">
        <v>240.759995</v>
      </c>
      <c r="F16" s="71">
        <f t="shared" si="1"/>
        <v>4.7830399132516854E-2</v>
      </c>
      <c r="G16" s="70">
        <v>26.575289000000001</v>
      </c>
      <c r="H16" s="71">
        <f t="shared" si="2"/>
        <v>2.4461089212918008E-2</v>
      </c>
      <c r="I16" s="75">
        <f t="shared" si="3"/>
        <v>7.0775365290090507E-3</v>
      </c>
      <c r="J16" s="75">
        <f t="shared" si="4"/>
        <v>4.578873246585019E-2</v>
      </c>
      <c r="K16" s="75">
        <f t="shared" si="5"/>
        <v>2.2419422546251341E-2</v>
      </c>
    </row>
    <row r="17" spans="1:11">
      <c r="A17" s="72">
        <v>42491</v>
      </c>
      <c r="B17" s="67">
        <v>1.4499999999999999E-3</v>
      </c>
      <c r="C17" s="69">
        <v>193.94023100000001</v>
      </c>
      <c r="D17" s="71">
        <f t="shared" si="0"/>
        <v>1.7011769592498061E-2</v>
      </c>
      <c r="E17" s="69">
        <v>223.229996</v>
      </c>
      <c r="F17" s="71">
        <f t="shared" si="1"/>
        <v>-7.2811095547663518E-2</v>
      </c>
      <c r="G17" s="70">
        <v>26.140723999999999</v>
      </c>
      <c r="H17" s="71">
        <f t="shared" si="2"/>
        <v>-1.635222104263867E-2</v>
      </c>
      <c r="I17" s="75">
        <f t="shared" si="3"/>
        <v>1.5561769592498061E-2</v>
      </c>
      <c r="J17" s="75">
        <f t="shared" si="4"/>
        <v>-7.4261095547663525E-2</v>
      </c>
      <c r="K17" s="75">
        <f t="shared" si="5"/>
        <v>-1.780222104263867E-2</v>
      </c>
    </row>
    <row r="18" spans="1:11">
      <c r="A18" s="72">
        <v>42522</v>
      </c>
      <c r="B18" s="67">
        <v>1.4833333333333332E-3</v>
      </c>
      <c r="C18" s="69">
        <v>193.60746800000001</v>
      </c>
      <c r="D18" s="71">
        <f t="shared" si="0"/>
        <v>-1.7158018131885333E-3</v>
      </c>
      <c r="E18" s="69">
        <v>212.279999</v>
      </c>
      <c r="F18" s="71">
        <f t="shared" si="1"/>
        <v>-4.9052534140617943E-2</v>
      </c>
      <c r="G18" s="70">
        <v>23.650337</v>
      </c>
      <c r="H18" s="71">
        <f t="shared" si="2"/>
        <v>-9.5268478409396673E-2</v>
      </c>
      <c r="I18" s="75">
        <f t="shared" si="3"/>
        <v>-3.1991351465218663E-3</v>
      </c>
      <c r="J18" s="75">
        <f t="shared" si="4"/>
        <v>-5.0535867473951279E-2</v>
      </c>
      <c r="K18" s="75">
        <f t="shared" si="5"/>
        <v>-9.675181174273001E-2</v>
      </c>
    </row>
    <row r="19" spans="1:11">
      <c r="A19" s="72">
        <v>42552</v>
      </c>
      <c r="B19" s="67">
        <v>1.5250000000000001E-3</v>
      </c>
      <c r="C19" s="69">
        <v>201.71211199999999</v>
      </c>
      <c r="D19" s="71">
        <f t="shared" si="0"/>
        <v>4.1861215808059571E-2</v>
      </c>
      <c r="E19" s="69">
        <v>234.78999300000001</v>
      </c>
      <c r="F19" s="71">
        <f t="shared" si="1"/>
        <v>0.10603916575296379</v>
      </c>
      <c r="G19" s="70">
        <v>26.693553999999999</v>
      </c>
      <c r="H19" s="71">
        <f t="shared" si="2"/>
        <v>0.1286754180289269</v>
      </c>
      <c r="I19" s="75">
        <f t="shared" si="3"/>
        <v>4.0336215808059572E-2</v>
      </c>
      <c r="J19" s="75">
        <f t="shared" si="4"/>
        <v>0.10451416575296379</v>
      </c>
      <c r="K19" s="75">
        <f t="shared" si="5"/>
        <v>0.1271504180289269</v>
      </c>
    </row>
    <row r="20" spans="1:11">
      <c r="A20" s="72">
        <v>42583</v>
      </c>
      <c r="B20" s="67">
        <v>1.5333333333333334E-3</v>
      </c>
      <c r="C20" s="69">
        <v>201.95368999999999</v>
      </c>
      <c r="D20" s="71">
        <f t="shared" si="0"/>
        <v>1.1976375518789606E-3</v>
      </c>
      <c r="E20" s="69">
        <v>212.009995</v>
      </c>
      <c r="F20" s="71">
        <f t="shared" si="1"/>
        <v>-9.702286587657083E-2</v>
      </c>
      <c r="G20" s="70">
        <v>27.015160000000002</v>
      </c>
      <c r="H20" s="71">
        <f t="shared" si="2"/>
        <v>1.204807722493606E-2</v>
      </c>
      <c r="I20" s="75">
        <f t="shared" si="3"/>
        <v>-3.3569578145437279E-4</v>
      </c>
      <c r="J20" s="75">
        <f t="shared" si="4"/>
        <v>-9.8556199209904161E-2</v>
      </c>
      <c r="K20" s="75">
        <f t="shared" si="5"/>
        <v>1.0514743891602727E-2</v>
      </c>
    </row>
    <row r="21" spans="1:11">
      <c r="A21" s="72">
        <v>42614</v>
      </c>
      <c r="B21" s="67">
        <v>1.2416666666666667E-3</v>
      </c>
      <c r="C21" s="69">
        <v>200.950333</v>
      </c>
      <c r="D21" s="71">
        <f t="shared" si="0"/>
        <v>-4.9682528702496009E-3</v>
      </c>
      <c r="E21" s="69">
        <v>204.029999</v>
      </c>
      <c r="F21" s="71">
        <f t="shared" si="1"/>
        <v>-3.7639715995465228E-2</v>
      </c>
      <c r="G21" s="70">
        <v>26.888207999999999</v>
      </c>
      <c r="H21" s="71">
        <f t="shared" si="2"/>
        <v>-4.699287363095439E-3</v>
      </c>
      <c r="I21" s="75">
        <f t="shared" si="3"/>
        <v>-6.2099195369162679E-3</v>
      </c>
      <c r="J21" s="75">
        <f t="shared" si="4"/>
        <v>-3.8881382662131897E-2</v>
      </c>
      <c r="K21" s="75">
        <f t="shared" si="5"/>
        <v>-5.940954029762106E-3</v>
      </c>
    </row>
    <row r="22" spans="1:11">
      <c r="A22" s="72">
        <v>42644</v>
      </c>
      <c r="B22" s="67">
        <v>1.2166666666666667E-3</v>
      </c>
      <c r="C22" s="69">
        <v>198.46391299999999</v>
      </c>
      <c r="D22" s="71">
        <f t="shared" si="0"/>
        <v>-1.2373306194023659E-2</v>
      </c>
      <c r="E22" s="69">
        <v>197.729996</v>
      </c>
      <c r="F22" s="71">
        <f t="shared" si="1"/>
        <v>-3.0877826941517528E-2</v>
      </c>
      <c r="G22" s="70">
        <v>27.064523999999999</v>
      </c>
      <c r="H22" s="71">
        <f t="shared" si="2"/>
        <v>6.5573726594201354E-3</v>
      </c>
      <c r="I22" s="75">
        <f t="shared" si="3"/>
        <v>-1.3589972860690325E-2</v>
      </c>
      <c r="J22" s="75">
        <f t="shared" si="4"/>
        <v>-3.2094493608184192E-2</v>
      </c>
      <c r="K22" s="75">
        <f t="shared" si="5"/>
        <v>5.3407059927534691E-3</v>
      </c>
    </row>
    <row r="23" spans="1:11">
      <c r="A23" s="72">
        <v>42675</v>
      </c>
      <c r="B23" s="67">
        <v>1.3166666666666667E-3</v>
      </c>
      <c r="C23" s="69">
        <v>205.775024</v>
      </c>
      <c r="D23" s="71">
        <f t="shared" si="0"/>
        <v>3.6838490632803422E-2</v>
      </c>
      <c r="E23" s="69">
        <v>189.39999399999999</v>
      </c>
      <c r="F23" s="71">
        <f t="shared" si="1"/>
        <v>-4.2128165521229333E-2</v>
      </c>
      <c r="G23" s="70">
        <v>29.573986000000001</v>
      </c>
      <c r="H23" s="71">
        <f t="shared" si="2"/>
        <v>9.2721453368254325E-2</v>
      </c>
      <c r="I23" s="75">
        <f t="shared" si="3"/>
        <v>3.5521823966136755E-2</v>
      </c>
      <c r="J23" s="75">
        <f t="shared" si="4"/>
        <v>-4.3444832187896E-2</v>
      </c>
      <c r="K23" s="75">
        <f t="shared" si="5"/>
        <v>9.1404786701587665E-2</v>
      </c>
    </row>
    <row r="24" spans="1:11">
      <c r="A24" s="72">
        <v>42705</v>
      </c>
      <c r="B24" s="67">
        <v>1.3333333333333335E-3</v>
      </c>
      <c r="C24" s="69">
        <v>208.716263</v>
      </c>
      <c r="D24" s="71">
        <f t="shared" si="0"/>
        <v>1.4293469357097521E-2</v>
      </c>
      <c r="E24" s="69">
        <v>213.69000199999999</v>
      </c>
      <c r="F24" s="71">
        <f t="shared" si="1"/>
        <v>0.12824714239431279</v>
      </c>
      <c r="G24" s="70">
        <v>29.839493000000001</v>
      </c>
      <c r="H24" s="71">
        <f t="shared" si="2"/>
        <v>8.9777211634576304E-3</v>
      </c>
      <c r="I24" s="75">
        <f t="shared" si="3"/>
        <v>1.2960136023764187E-2</v>
      </c>
      <c r="J24" s="75">
        <f t="shared" si="4"/>
        <v>0.12691380906097946</v>
      </c>
      <c r="K24" s="75">
        <f t="shared" si="5"/>
        <v>7.6443878301242964E-3</v>
      </c>
    </row>
    <row r="25" spans="1:11">
      <c r="A25" s="72">
        <v>42736</v>
      </c>
      <c r="B25" s="67">
        <v>2.0416666666666669E-3</v>
      </c>
      <c r="C25" s="69">
        <v>213.70339999999999</v>
      </c>
      <c r="D25" s="71">
        <f t="shared" si="0"/>
        <v>2.3894338315169961E-2</v>
      </c>
      <c r="E25" s="69">
        <v>251.929993</v>
      </c>
      <c r="F25" s="71">
        <f t="shared" si="1"/>
        <v>0.17895077281154226</v>
      </c>
      <c r="G25" s="70">
        <v>31.695585000000001</v>
      </c>
      <c r="H25" s="71">
        <f t="shared" si="2"/>
        <v>6.2202531390194826E-2</v>
      </c>
      <c r="I25" s="75">
        <f t="shared" si="3"/>
        <v>2.1852671648503293E-2</v>
      </c>
      <c r="J25" s="75">
        <f t="shared" si="4"/>
        <v>0.17690910614487559</v>
      </c>
      <c r="K25" s="75">
        <f t="shared" si="5"/>
        <v>6.0160864723528162E-2</v>
      </c>
    </row>
    <row r="26" spans="1:11">
      <c r="A26" s="72">
        <v>42767</v>
      </c>
      <c r="B26" s="67">
        <v>1.983333333333333E-3</v>
      </c>
      <c r="C26" s="69">
        <v>222.100098</v>
      </c>
      <c r="D26" s="71">
        <f t="shared" si="0"/>
        <v>3.9291363637639964E-2</v>
      </c>
      <c r="E26" s="69">
        <v>249.990005</v>
      </c>
      <c r="F26" s="71">
        <f t="shared" si="1"/>
        <v>-7.7005043222463376E-3</v>
      </c>
      <c r="G26" s="70">
        <v>31.894711000000001</v>
      </c>
      <c r="H26" s="71">
        <f t="shared" si="2"/>
        <v>6.2824522721383058E-3</v>
      </c>
      <c r="I26" s="75">
        <f t="shared" si="3"/>
        <v>3.7308030304306634E-2</v>
      </c>
      <c r="J26" s="75">
        <f t="shared" si="4"/>
        <v>-9.6838376555796711E-3</v>
      </c>
      <c r="K26" s="75">
        <f t="shared" si="5"/>
        <v>4.2991189388049723E-3</v>
      </c>
    </row>
    <row r="27" spans="1:11">
      <c r="A27" s="72">
        <v>42795</v>
      </c>
      <c r="B27" s="67">
        <f>2.42/1200</f>
        <v>2.0166666666666666E-3</v>
      </c>
      <c r="C27" s="69">
        <v>221.41447400000001</v>
      </c>
      <c r="D27" s="71">
        <f t="shared" si="0"/>
        <v>-3.0870044911011085E-3</v>
      </c>
      <c r="E27" s="69">
        <v>278.29998799999998</v>
      </c>
      <c r="F27" s="71">
        <f t="shared" si="1"/>
        <v>0.11324445951349138</v>
      </c>
      <c r="G27" s="70">
        <v>30.613384</v>
      </c>
      <c r="H27" s="71">
        <f t="shared" si="2"/>
        <v>-4.0173651361819829E-2</v>
      </c>
      <c r="I27" s="75">
        <f t="shared" si="3"/>
        <v>-5.1036711577677751E-3</v>
      </c>
      <c r="J27" s="75">
        <f t="shared" si="4"/>
        <v>0.11122779284682471</v>
      </c>
      <c r="K27" s="75">
        <f t="shared" si="5"/>
        <v>-4.2190318028486495E-2</v>
      </c>
    </row>
    <row r="28" spans="1:11">
      <c r="A28" s="72">
        <v>42826</v>
      </c>
      <c r="B28" s="67">
        <f>2.4/1200</f>
        <v>2E-3</v>
      </c>
      <c r="C28" s="69">
        <v>224.58509799999999</v>
      </c>
      <c r="D28" s="71">
        <f t="shared" si="0"/>
        <v>1.4319858782131822E-2</v>
      </c>
      <c r="E28" s="69">
        <v>314.07000699999998</v>
      </c>
      <c r="F28" s="71">
        <f t="shared" si="1"/>
        <v>0.1285304367314597</v>
      </c>
      <c r="G28" s="70">
        <v>30.296876999999999</v>
      </c>
      <c r="H28" s="71">
        <f t="shared" si="2"/>
        <v>-1.033884395139073E-2</v>
      </c>
      <c r="I28" s="75">
        <f t="shared" si="3"/>
        <v>1.2319858782131822E-2</v>
      </c>
      <c r="J28" s="75">
        <f t="shared" si="4"/>
        <v>0.12653043673145969</v>
      </c>
      <c r="K28" s="75">
        <f t="shared" si="5"/>
        <v>-1.233884395139073E-2</v>
      </c>
    </row>
    <row r="29" spans="1:11">
      <c r="A29" s="72">
        <v>42856</v>
      </c>
      <c r="B29" s="67">
        <v>1.9666666666666665E-3</v>
      </c>
      <c r="C29" s="69">
        <v>227.75462300000001</v>
      </c>
      <c r="D29" s="71">
        <f t="shared" si="0"/>
        <v>1.4112801909947015E-2</v>
      </c>
      <c r="E29" s="69">
        <v>341.01001000000002</v>
      </c>
      <c r="F29" s="71">
        <f t="shared" si="1"/>
        <v>8.5777063710512413E-2</v>
      </c>
      <c r="G29" s="70">
        <v>29.675901</v>
      </c>
      <c r="H29" s="71">
        <f t="shared" si="2"/>
        <v>-2.0496369972390238E-2</v>
      </c>
      <c r="I29" s="75">
        <f t="shared" si="3"/>
        <v>1.2146135243280348E-2</v>
      </c>
      <c r="J29" s="75">
        <f t="shared" si="4"/>
        <v>8.3810397043845741E-2</v>
      </c>
      <c r="K29" s="75">
        <f t="shared" si="5"/>
        <v>-2.2463036639056903E-2</v>
      </c>
    </row>
    <row r="30" spans="1:11">
      <c r="A30" s="72">
        <v>42887</v>
      </c>
      <c r="B30" s="67">
        <v>2E-3</v>
      </c>
      <c r="C30" s="69">
        <v>228.09420800000001</v>
      </c>
      <c r="D30" s="71">
        <f t="shared" si="0"/>
        <v>1.4910125446718769E-3</v>
      </c>
      <c r="E30" s="69">
        <v>361.60998499999999</v>
      </c>
      <c r="F30" s="71">
        <f t="shared" si="1"/>
        <v>6.0408710583011782E-2</v>
      </c>
      <c r="G30" s="70">
        <v>30.550519999999999</v>
      </c>
      <c r="H30" s="71">
        <f t="shared" si="2"/>
        <v>2.9472365472576589E-2</v>
      </c>
      <c r="I30" s="75">
        <f t="shared" si="3"/>
        <v>-5.089874553281231E-4</v>
      </c>
      <c r="J30" s="75">
        <f t="shared" si="4"/>
        <v>5.840871058301178E-2</v>
      </c>
      <c r="K30" s="75">
        <f t="shared" si="5"/>
        <v>2.7472365472576588E-2</v>
      </c>
    </row>
    <row r="31" spans="1:11">
      <c r="A31" s="72">
        <v>42917</v>
      </c>
      <c r="B31" s="67">
        <v>1.9083333333333333E-3</v>
      </c>
      <c r="C31" s="69">
        <v>233.917709</v>
      </c>
      <c r="D31" s="71">
        <f t="shared" si="0"/>
        <v>2.5531121772281118E-2</v>
      </c>
      <c r="E31" s="69">
        <v>323.47000100000002</v>
      </c>
      <c r="F31" s="71">
        <f t="shared" si="1"/>
        <v>-0.10547270701056544</v>
      </c>
      <c r="G31" s="70">
        <v>31.820066000000001</v>
      </c>
      <c r="H31" s="71">
        <f t="shared" si="2"/>
        <v>4.1555626549073521E-2</v>
      </c>
      <c r="I31" s="75">
        <f t="shared" si="3"/>
        <v>2.3622788438947783E-2</v>
      </c>
      <c r="J31" s="75">
        <f t="shared" si="4"/>
        <v>-0.10738104034389877</v>
      </c>
      <c r="K31" s="75">
        <f t="shared" si="5"/>
        <v>3.964729321574019E-2</v>
      </c>
    </row>
    <row r="32" spans="1:11">
      <c r="A32" s="72">
        <v>42948</v>
      </c>
      <c r="B32" s="67">
        <v>1.8416666666666666E-3</v>
      </c>
      <c r="C32" s="69">
        <v>234.60022000000001</v>
      </c>
      <c r="D32" s="71">
        <f t="shared" si="0"/>
        <v>2.9177397594981613E-3</v>
      </c>
      <c r="E32" s="69">
        <v>355.89999399999999</v>
      </c>
      <c r="F32" s="71">
        <f t="shared" si="1"/>
        <v>0.10025657062399418</v>
      </c>
      <c r="G32" s="70">
        <v>32.315322999999999</v>
      </c>
      <c r="H32" s="71">
        <f t="shared" si="2"/>
        <v>1.556429832672257E-2</v>
      </c>
      <c r="I32" s="75">
        <f t="shared" si="3"/>
        <v>1.0760730928314948E-3</v>
      </c>
      <c r="J32" s="75">
        <f t="shared" si="4"/>
        <v>9.8414903957327507E-2</v>
      </c>
      <c r="K32" s="75">
        <f t="shared" si="5"/>
        <v>1.3722631660055903E-2</v>
      </c>
    </row>
    <row r="33" spans="1:11">
      <c r="A33" s="72">
        <v>42979</v>
      </c>
      <c r="B33" s="67">
        <v>1.9250000000000001E-3</v>
      </c>
      <c r="C33" s="69">
        <v>238.14541600000001</v>
      </c>
      <c r="D33" s="71">
        <f t="shared" si="0"/>
        <v>1.5111648232895902E-2</v>
      </c>
      <c r="E33" s="69">
        <v>341.10000600000001</v>
      </c>
      <c r="F33" s="71">
        <f t="shared" si="1"/>
        <v>-4.1584681791256184E-2</v>
      </c>
      <c r="G33" s="70">
        <v>35.711345999999999</v>
      </c>
      <c r="H33" s="71">
        <f t="shared" si="2"/>
        <v>0.10509017657041531</v>
      </c>
      <c r="I33" s="75">
        <f t="shared" si="3"/>
        <v>1.3186648232895903E-2</v>
      </c>
      <c r="J33" s="75">
        <f t="shared" si="4"/>
        <v>-4.3509681791256187E-2</v>
      </c>
      <c r="K33" s="75">
        <f t="shared" si="5"/>
        <v>0.10316517657041531</v>
      </c>
    </row>
    <row r="34" spans="1:11">
      <c r="A34" s="72">
        <v>43009</v>
      </c>
      <c r="B34" s="67">
        <v>1.9166666666666666E-3</v>
      </c>
      <c r="C34" s="69">
        <v>244.96675099999999</v>
      </c>
      <c r="D34" s="71">
        <f t="shared" si="0"/>
        <v>2.8643570447730138E-2</v>
      </c>
      <c r="E34" s="69">
        <v>331.52999899999998</v>
      </c>
      <c r="F34" s="71">
        <f t="shared" si="1"/>
        <v>-2.8056308506778649E-2</v>
      </c>
      <c r="G34" s="70">
        <v>38.794047999999997</v>
      </c>
      <c r="H34" s="71">
        <f t="shared" si="2"/>
        <v>8.6322761399136194E-2</v>
      </c>
      <c r="I34" s="75">
        <f t="shared" si="3"/>
        <v>2.6726903781063471E-2</v>
      </c>
      <c r="J34" s="75">
        <f t="shared" si="4"/>
        <v>-2.9972975173445316E-2</v>
      </c>
      <c r="K34" s="75">
        <f t="shared" si="5"/>
        <v>8.440609473246953E-2</v>
      </c>
    </row>
    <row r="35" spans="1:11">
      <c r="A35" s="72">
        <v>43040</v>
      </c>
      <c r="B35" s="67">
        <v>1.7666666666666668E-3</v>
      </c>
      <c r="C35" s="69">
        <v>252.45442199999999</v>
      </c>
      <c r="D35" s="71">
        <f t="shared" si="0"/>
        <v>3.0566070576655502E-2</v>
      </c>
      <c r="E35" s="69">
        <v>308.85000600000001</v>
      </c>
      <c r="F35" s="71">
        <f t="shared" si="1"/>
        <v>-6.841007772572627E-2</v>
      </c>
      <c r="G35" s="70">
        <v>38.893332999999998</v>
      </c>
      <c r="H35" s="71">
        <f t="shared" si="2"/>
        <v>2.5592843520738651E-3</v>
      </c>
      <c r="I35" s="75">
        <f t="shared" si="3"/>
        <v>2.8799403909988835E-2</v>
      </c>
      <c r="J35" s="75">
        <f t="shared" si="4"/>
        <v>-7.0176744392392937E-2</v>
      </c>
      <c r="K35" s="75">
        <f t="shared" si="5"/>
        <v>7.9261768540719825E-4</v>
      </c>
    </row>
    <row r="36" spans="1:11">
      <c r="A36" s="72">
        <v>43070</v>
      </c>
      <c r="B36" s="67">
        <v>1.9416666666666666E-3</v>
      </c>
      <c r="C36" s="69">
        <v>254.21676600000001</v>
      </c>
      <c r="D36" s="71">
        <f t="shared" si="0"/>
        <v>6.9808402880739973E-3</v>
      </c>
      <c r="E36" s="69">
        <v>311.35000600000001</v>
      </c>
      <c r="F36" s="71">
        <f t="shared" si="1"/>
        <v>8.0945441199051782E-3</v>
      </c>
      <c r="G36" s="70">
        <v>36.997860000000003</v>
      </c>
      <c r="H36" s="71">
        <f t="shared" si="2"/>
        <v>-4.8735164970304723E-2</v>
      </c>
      <c r="I36" s="75">
        <f t="shared" si="3"/>
        <v>5.0391736214073311E-3</v>
      </c>
      <c r="J36" s="75">
        <f t="shared" si="4"/>
        <v>6.152877453238512E-3</v>
      </c>
      <c r="K36" s="75">
        <f t="shared" si="5"/>
        <v>-5.0676831636971391E-2</v>
      </c>
    </row>
    <row r="37" spans="1:11">
      <c r="A37" s="72">
        <v>43101</v>
      </c>
      <c r="B37" s="67">
        <f xml:space="preserve"> 2.72/1200</f>
        <v>2.2666666666666668E-3</v>
      </c>
      <c r="C37" s="69">
        <v>269.91677900000002</v>
      </c>
      <c r="D37" s="71">
        <f t="shared" si="0"/>
        <v>6.1758369626966347E-2</v>
      </c>
      <c r="E37" s="69">
        <v>354.30999800000001</v>
      </c>
      <c r="F37" s="71">
        <f t="shared" si="1"/>
        <v>0.13797973718362488</v>
      </c>
      <c r="G37" s="70">
        <v>38.627808000000002</v>
      </c>
      <c r="H37" s="71">
        <f t="shared" si="2"/>
        <v>4.4055196705971689E-2</v>
      </c>
      <c r="I37" s="75">
        <f t="shared" si="3"/>
        <v>5.9491702960299681E-2</v>
      </c>
      <c r="J37" s="75">
        <f t="shared" si="4"/>
        <v>0.13571307051695822</v>
      </c>
      <c r="K37" s="75">
        <f t="shared" si="5"/>
        <v>4.1788530039305022E-2</v>
      </c>
    </row>
    <row r="38" spans="1:11">
      <c r="A38" s="72">
        <v>43132</v>
      </c>
      <c r="B38" s="67">
        <v>2.3999999999999998E-3</v>
      </c>
      <c r="C38" s="69">
        <v>260.10253899999998</v>
      </c>
      <c r="D38" s="71">
        <f t="shared" ref="D38:D69" si="6">C38/C37-1</f>
        <v>-3.6360244206974812E-2</v>
      </c>
      <c r="E38" s="69">
        <v>343.05999800000001</v>
      </c>
      <c r="F38" s="71">
        <f t="shared" ref="F38:F69" si="7">E38/E37-1</f>
        <v>-3.1751855898799697E-2</v>
      </c>
      <c r="G38" s="70">
        <v>35.840702</v>
      </c>
      <c r="H38" s="71">
        <f t="shared" ref="H38:H69" si="8">G38/G37-1</f>
        <v>-7.2152838701072586E-2</v>
      </c>
      <c r="I38" s="75">
        <f t="shared" si="3"/>
        <v>-3.8760244206974812E-2</v>
      </c>
      <c r="J38" s="75">
        <f t="shared" si="4"/>
        <v>-3.4151855898799696E-2</v>
      </c>
      <c r="K38" s="75">
        <f t="shared" si="5"/>
        <v>-7.4552838701072585E-2</v>
      </c>
    </row>
    <row r="39" spans="1:11">
      <c r="A39" s="72">
        <v>43160</v>
      </c>
      <c r="B39" s="67">
        <v>2.5000000000000001E-3</v>
      </c>
      <c r="C39" s="69">
        <v>251.963898</v>
      </c>
      <c r="D39" s="71">
        <f t="shared" si="6"/>
        <v>-3.129012516098495E-2</v>
      </c>
      <c r="E39" s="69">
        <v>266.13000499999998</v>
      </c>
      <c r="F39" s="71">
        <f t="shared" si="7"/>
        <v>-0.22424646839763585</v>
      </c>
      <c r="G39" s="70">
        <v>33.099139999999998</v>
      </c>
      <c r="H39" s="71">
        <f t="shared" si="8"/>
        <v>-7.6492977174386856E-2</v>
      </c>
      <c r="I39" s="75">
        <f t="shared" si="3"/>
        <v>-3.3790125160984952E-2</v>
      </c>
      <c r="J39" s="75">
        <f t="shared" si="4"/>
        <v>-0.22674646839763585</v>
      </c>
      <c r="K39" s="75">
        <f t="shared" si="5"/>
        <v>-7.8992977174386858E-2</v>
      </c>
    </row>
    <row r="40" spans="1:11">
      <c r="A40" s="72">
        <v>43191</v>
      </c>
      <c r="B40" s="67">
        <v>2.5000000000000001E-3</v>
      </c>
      <c r="C40" s="69">
        <v>254.28042600000001</v>
      </c>
      <c r="D40" s="71">
        <f t="shared" si="6"/>
        <v>9.1938885625590938E-3</v>
      </c>
      <c r="E40" s="69">
        <v>293.89999399999999</v>
      </c>
      <c r="F40" s="71">
        <f t="shared" si="7"/>
        <v>0.10434745604878337</v>
      </c>
      <c r="G40" s="70">
        <v>33.803837000000001</v>
      </c>
      <c r="H40" s="71">
        <f t="shared" si="8"/>
        <v>2.1290492743920364E-2</v>
      </c>
      <c r="I40" s="75">
        <f t="shared" si="3"/>
        <v>6.6938885625590933E-3</v>
      </c>
      <c r="J40" s="75">
        <f t="shared" si="4"/>
        <v>0.10184745604878337</v>
      </c>
      <c r="K40" s="75">
        <f t="shared" si="5"/>
        <v>1.8790492743920365E-2</v>
      </c>
    </row>
    <row r="41" spans="1:11">
      <c r="A41" s="72">
        <v>43221</v>
      </c>
      <c r="B41" s="67">
        <f>2.87/1200</f>
        <v>2.3916666666666669E-3</v>
      </c>
      <c r="C41" s="69">
        <v>260.46173099999999</v>
      </c>
      <c r="D41" s="71">
        <f t="shared" si="6"/>
        <v>2.4309008354421957E-2</v>
      </c>
      <c r="E41" s="69">
        <v>284.73001099999999</v>
      </c>
      <c r="F41" s="71">
        <f t="shared" si="7"/>
        <v>-3.1201031599884965E-2</v>
      </c>
      <c r="G41" s="70">
        <v>39.287520999999998</v>
      </c>
      <c r="H41" s="71">
        <f t="shared" si="8"/>
        <v>0.16222075618220488</v>
      </c>
      <c r="I41" s="75">
        <f t="shared" si="3"/>
        <v>2.191734168775529E-2</v>
      </c>
      <c r="J41" s="75">
        <f t="shared" si="4"/>
        <v>-3.3592698266551632E-2</v>
      </c>
      <c r="K41" s="75">
        <f t="shared" si="5"/>
        <v>0.1598290895155382</v>
      </c>
    </row>
    <row r="42" spans="1:11">
      <c r="A42" s="72">
        <v>43252</v>
      </c>
      <c r="B42" s="67">
        <f>2.74/1200</f>
        <v>2.2833333333333334E-3</v>
      </c>
      <c r="C42" s="69">
        <v>260.78860500000002</v>
      </c>
      <c r="D42" s="71">
        <f t="shared" si="6"/>
        <v>1.2549789896008079E-3</v>
      </c>
      <c r="E42" s="69">
        <v>342.95001200000002</v>
      </c>
      <c r="F42" s="71">
        <f t="shared" si="7"/>
        <v>0.20447440997008215</v>
      </c>
      <c r="G42" s="70">
        <v>36.251255</v>
      </c>
      <c r="H42" s="71">
        <f t="shared" si="8"/>
        <v>-7.7283216724211123E-2</v>
      </c>
      <c r="I42" s="75">
        <f t="shared" si="3"/>
        <v>-1.0283543437325255E-3</v>
      </c>
      <c r="J42" s="75">
        <f t="shared" si="4"/>
        <v>0.20219107663674882</v>
      </c>
      <c r="K42" s="75">
        <f t="shared" si="5"/>
        <v>-7.9566550057544455E-2</v>
      </c>
    </row>
    <row r="43" spans="1:11">
      <c r="A43" s="72">
        <v>43282</v>
      </c>
      <c r="B43" s="67">
        <f>2.95/1200</f>
        <v>2.4583333333333336E-3</v>
      </c>
      <c r="C43" s="69">
        <v>271.66433699999999</v>
      </c>
      <c r="D43" s="71">
        <f t="shared" si="6"/>
        <v>4.1703248498913492E-2</v>
      </c>
      <c r="E43" s="69">
        <v>298.14001500000001</v>
      </c>
      <c r="F43" s="71">
        <f t="shared" si="7"/>
        <v>-0.13066043280966555</v>
      </c>
      <c r="G43" s="70">
        <v>35.184685000000002</v>
      </c>
      <c r="H43" s="71">
        <f t="shared" si="8"/>
        <v>-2.9421602093499866E-2</v>
      </c>
      <c r="I43" s="75">
        <f t="shared" si="3"/>
        <v>3.9244915165580159E-2</v>
      </c>
      <c r="J43" s="75">
        <f t="shared" si="4"/>
        <v>-0.13311876614299889</v>
      </c>
      <c r="K43" s="75">
        <f t="shared" si="5"/>
        <v>-3.1879935426833199E-2</v>
      </c>
    </row>
    <row r="44" spans="1:11">
      <c r="A44" s="72">
        <v>43313</v>
      </c>
      <c r="B44" s="67">
        <f>2.83/1200</f>
        <v>2.3583333333333334E-3</v>
      </c>
      <c r="C44" s="69">
        <v>280.33578499999999</v>
      </c>
      <c r="D44" s="71">
        <f t="shared" si="6"/>
        <v>3.191971421703399E-2</v>
      </c>
      <c r="E44" s="69">
        <v>301.66000400000001</v>
      </c>
      <c r="F44" s="71">
        <f t="shared" si="7"/>
        <v>1.1806496353734985E-2</v>
      </c>
      <c r="G44" s="70">
        <v>33.458393000000001</v>
      </c>
      <c r="H44" s="71">
        <f t="shared" si="8"/>
        <v>-4.9063733269176679E-2</v>
      </c>
      <c r="I44" s="75">
        <f t="shared" si="3"/>
        <v>2.9561380883700656E-2</v>
      </c>
      <c r="J44" s="75">
        <f t="shared" si="4"/>
        <v>9.4481630204016516E-3</v>
      </c>
      <c r="K44" s="75">
        <f t="shared" si="5"/>
        <v>-5.142206660251001E-2</v>
      </c>
    </row>
    <row r="45" spans="1:11">
      <c r="A45" s="72">
        <v>43344</v>
      </c>
      <c r="B45" s="67">
        <f>2.85/1200</f>
        <v>2.3749999999999999E-3</v>
      </c>
      <c r="C45" s="69">
        <v>280.73174999999998</v>
      </c>
      <c r="D45" s="71">
        <f t="shared" si="6"/>
        <v>1.4124668386521488E-3</v>
      </c>
      <c r="E45" s="69">
        <v>264.76998900000001</v>
      </c>
      <c r="F45" s="71">
        <f t="shared" si="7"/>
        <v>-0.12229004346230798</v>
      </c>
      <c r="G45" s="70">
        <v>31.249489000000001</v>
      </c>
      <c r="H45" s="71">
        <f t="shared" si="8"/>
        <v>-6.6019428966597404E-2</v>
      </c>
      <c r="I45" s="75">
        <f t="shared" si="3"/>
        <v>-9.625331613478511E-4</v>
      </c>
      <c r="J45" s="75">
        <f t="shared" si="4"/>
        <v>-0.12466504346230799</v>
      </c>
      <c r="K45" s="75">
        <f t="shared" si="5"/>
        <v>-6.8394428966597406E-2</v>
      </c>
    </row>
    <row r="46" spans="1:11">
      <c r="A46" s="72">
        <v>43374</v>
      </c>
      <c r="B46" s="67">
        <f>2.96/1200</f>
        <v>2.4666666666666665E-3</v>
      </c>
      <c r="C46" s="69">
        <v>262.51498400000003</v>
      </c>
      <c r="D46" s="71">
        <f t="shared" si="6"/>
        <v>-6.4890294738660481E-2</v>
      </c>
      <c r="E46" s="69">
        <v>337.32000699999998</v>
      </c>
      <c r="F46" s="71">
        <f t="shared" si="7"/>
        <v>0.27401148549354648</v>
      </c>
      <c r="G46" s="70">
        <v>34.329227000000003</v>
      </c>
      <c r="H46" s="71">
        <f t="shared" si="8"/>
        <v>9.8553227542376831E-2</v>
      </c>
      <c r="I46" s="75">
        <f t="shared" si="3"/>
        <v>-6.7356961405327154E-2</v>
      </c>
      <c r="J46" s="75">
        <f t="shared" si="4"/>
        <v>0.27154481882687981</v>
      </c>
      <c r="K46" s="75">
        <f t="shared" si="5"/>
        <v>9.6086560875710159E-2</v>
      </c>
    </row>
    <row r="47" spans="1:11">
      <c r="A47" s="72">
        <v>43405</v>
      </c>
      <c r="B47" s="67">
        <v>2.3999999999999998E-3</v>
      </c>
      <c r="C47" s="69">
        <v>267.38443000000001</v>
      </c>
      <c r="D47" s="71">
        <f t="shared" si="6"/>
        <v>1.8549211651857522E-2</v>
      </c>
      <c r="E47" s="69">
        <v>350.48001099999999</v>
      </c>
      <c r="F47" s="71">
        <f t="shared" si="7"/>
        <v>3.90134107876976E-2</v>
      </c>
      <c r="G47" s="70">
        <v>35.605201999999998</v>
      </c>
      <c r="H47" s="71">
        <f t="shared" si="8"/>
        <v>3.7168765844916685E-2</v>
      </c>
      <c r="I47" s="75">
        <f t="shared" si="3"/>
        <v>1.6149211651857523E-2</v>
      </c>
      <c r="J47" s="75">
        <f t="shared" si="4"/>
        <v>3.6613410787697601E-2</v>
      </c>
      <c r="K47" s="75">
        <f t="shared" si="5"/>
        <v>3.4768765844916685E-2</v>
      </c>
    </row>
    <row r="48" spans="1:11">
      <c r="A48" s="72">
        <v>43435</v>
      </c>
      <c r="B48" s="67">
        <v>2.3999999999999998E-3</v>
      </c>
      <c r="C48" s="69">
        <v>242.425949</v>
      </c>
      <c r="D48" s="71">
        <f t="shared" si="6"/>
        <v>-9.3343060401834155E-2</v>
      </c>
      <c r="E48" s="69">
        <v>332.79998799999998</v>
      </c>
      <c r="F48" s="71">
        <f t="shared" si="7"/>
        <v>-5.0445167898605203E-2</v>
      </c>
      <c r="G48" s="70">
        <v>31.383244000000001</v>
      </c>
      <c r="H48" s="71">
        <f t="shared" si="8"/>
        <v>-0.11857699894526641</v>
      </c>
      <c r="I48" s="75">
        <f t="shared" si="3"/>
        <v>-9.5743060401834154E-2</v>
      </c>
      <c r="J48" s="75">
        <f t="shared" si="4"/>
        <v>-5.2845167898605203E-2</v>
      </c>
      <c r="K48" s="75">
        <f t="shared" si="5"/>
        <v>-0.12097699894526641</v>
      </c>
    </row>
    <row r="49" spans="1:12">
      <c r="A49" s="72">
        <v>43466</v>
      </c>
      <c r="B49" s="67">
        <v>2.2583333333333331E-3</v>
      </c>
      <c r="C49" s="69">
        <v>263.36498999999998</v>
      </c>
      <c r="D49" s="71">
        <f t="shared" si="6"/>
        <v>8.637293609191965E-2</v>
      </c>
      <c r="E49" s="69">
        <v>307.01998900000001</v>
      </c>
      <c r="F49" s="71">
        <f t="shared" si="7"/>
        <v>-7.746394209605556E-2</v>
      </c>
      <c r="G49" s="70">
        <v>36.994022000000001</v>
      </c>
      <c r="H49" s="71">
        <f t="shared" si="8"/>
        <v>0.1787826013142555</v>
      </c>
      <c r="I49" s="75">
        <f t="shared" si="3"/>
        <v>8.4114602758586315E-2</v>
      </c>
      <c r="J49" s="75">
        <f t="shared" si="4"/>
        <v>-7.9722275429388895E-2</v>
      </c>
      <c r="K49" s="75">
        <f t="shared" si="5"/>
        <v>0.17652426798092216</v>
      </c>
    </row>
    <row r="50" spans="1:12">
      <c r="A50" s="72">
        <v>43497</v>
      </c>
      <c r="B50" s="67">
        <v>1.3975409693907093E-3</v>
      </c>
      <c r="C50" s="69">
        <v>271.90213</v>
      </c>
      <c r="D50" s="71">
        <f t="shared" si="6"/>
        <v>3.2415622137171862E-2</v>
      </c>
      <c r="E50" s="69">
        <v>319.88000499999998</v>
      </c>
      <c r="F50" s="71">
        <f t="shared" si="7"/>
        <v>4.188657566527354E-2</v>
      </c>
      <c r="G50" s="70">
        <v>37.430137999999999</v>
      </c>
      <c r="H50" s="71">
        <f t="shared" si="8"/>
        <v>1.1788823610474175E-2</v>
      </c>
      <c r="I50" s="75">
        <f t="shared" si="3"/>
        <v>3.1018081167781153E-2</v>
      </c>
      <c r="J50" s="75">
        <f t="shared" si="4"/>
        <v>4.0489034695882831E-2</v>
      </c>
      <c r="K50" s="75">
        <f t="shared" si="5"/>
        <v>1.0391282641083466E-2</v>
      </c>
    </row>
    <row r="51" spans="1:12">
      <c r="A51" s="72">
        <v>43525</v>
      </c>
      <c r="B51" s="67">
        <v>1.4833333333333332E-3</v>
      </c>
      <c r="C51" s="69">
        <v>275.60977200000002</v>
      </c>
      <c r="D51" s="71">
        <f t="shared" si="6"/>
        <v>1.3635943197649825E-2</v>
      </c>
      <c r="E51" s="69">
        <v>279.85998499999999</v>
      </c>
      <c r="F51" s="71">
        <f t="shared" si="7"/>
        <v>-0.12510947659888894</v>
      </c>
      <c r="G51" s="70">
        <v>35.17371</v>
      </c>
      <c r="H51" s="71">
        <f t="shared" si="8"/>
        <v>-6.0283721101963339E-2</v>
      </c>
      <c r="I51" s="75">
        <f t="shared" si="3"/>
        <v>1.2152609864316492E-2</v>
      </c>
      <c r="J51" s="75">
        <f t="shared" si="4"/>
        <v>-0.12659280993222227</v>
      </c>
      <c r="K51" s="75">
        <f t="shared" si="5"/>
        <v>-6.1767054435296675E-2</v>
      </c>
    </row>
    <row r="52" spans="1:12">
      <c r="A52" s="72">
        <v>43556</v>
      </c>
      <c r="B52" s="67">
        <v>1.5999999999999999E-3</v>
      </c>
      <c r="C52" s="69">
        <v>288.13265999999999</v>
      </c>
      <c r="D52" s="71">
        <f t="shared" si="6"/>
        <v>4.543702463496091E-2</v>
      </c>
      <c r="E52" s="69">
        <v>238.69000199999999</v>
      </c>
      <c r="F52" s="71">
        <f t="shared" si="7"/>
        <v>-0.14710921606030958</v>
      </c>
      <c r="G52" s="70">
        <v>37.294139999999999</v>
      </c>
      <c r="H52" s="71">
        <f t="shared" si="8"/>
        <v>6.0284513632482772E-2</v>
      </c>
      <c r="I52" s="75">
        <f t="shared" si="3"/>
        <v>4.3837024634960912E-2</v>
      </c>
      <c r="J52" s="75">
        <f t="shared" si="4"/>
        <v>-0.14870921606030957</v>
      </c>
      <c r="K52" s="75">
        <f t="shared" si="5"/>
        <v>5.8684513632482775E-2</v>
      </c>
    </row>
    <row r="53" spans="1:12">
      <c r="A53" s="72">
        <v>43586</v>
      </c>
      <c r="B53" s="67">
        <v>2.2333333333333333E-3</v>
      </c>
      <c r="C53" s="69">
        <v>269.75808699999999</v>
      </c>
      <c r="D53" s="71">
        <f t="shared" si="6"/>
        <v>-6.3771226073434328E-2</v>
      </c>
      <c r="E53" s="69">
        <v>185.16000399999999</v>
      </c>
      <c r="F53" s="71">
        <f t="shared" si="7"/>
        <v>-0.22426577381318225</v>
      </c>
      <c r="G53" s="70">
        <v>31.922632</v>
      </c>
      <c r="H53" s="71">
        <f t="shared" si="8"/>
        <v>-0.1440308852811728</v>
      </c>
      <c r="I53" s="75">
        <f t="shared" si="3"/>
        <v>-6.6004559406767666E-2</v>
      </c>
      <c r="J53" s="75">
        <f t="shared" si="4"/>
        <v>-0.22649910714651558</v>
      </c>
      <c r="K53" s="75">
        <f t="shared" si="5"/>
        <v>-0.14626421861450614</v>
      </c>
    </row>
    <row r="54" spans="1:12">
      <c r="A54" s="72">
        <v>43617</v>
      </c>
      <c r="B54" s="67">
        <v>2.1416666666666667E-3</v>
      </c>
      <c r="C54" s="69">
        <v>287.13308699999999</v>
      </c>
      <c r="D54" s="71">
        <f t="shared" si="6"/>
        <v>6.4409561148763617E-2</v>
      </c>
      <c r="E54" s="69">
        <v>223.46000699999999</v>
      </c>
      <c r="F54" s="71">
        <f t="shared" si="7"/>
        <v>0.20684814307953903</v>
      </c>
      <c r="G54" s="70">
        <v>36.891990999999997</v>
      </c>
      <c r="H54" s="71">
        <f t="shared" si="8"/>
        <v>0.15566883708085211</v>
      </c>
      <c r="I54" s="75">
        <f t="shared" si="3"/>
        <v>6.226789448209695E-2</v>
      </c>
      <c r="J54" s="75">
        <f t="shared" si="4"/>
        <v>0.20470647641287237</v>
      </c>
      <c r="K54" s="75">
        <f t="shared" si="5"/>
        <v>0.15352717041418545</v>
      </c>
    </row>
    <row r="55" spans="1:12">
      <c r="A55" s="72">
        <v>43647</v>
      </c>
      <c r="B55" s="67">
        <v>2.1083333333333332E-3</v>
      </c>
      <c r="C55" s="69">
        <v>292.89202899999998</v>
      </c>
      <c r="D55" s="71">
        <f t="shared" si="6"/>
        <v>2.0056699352102081E-2</v>
      </c>
      <c r="E55" s="69">
        <v>241.61000100000001</v>
      </c>
      <c r="F55" s="71">
        <f t="shared" si="7"/>
        <v>8.1222560777956199E-2</v>
      </c>
      <c r="G55" s="70">
        <v>39.038960000000003</v>
      </c>
      <c r="H55" s="71">
        <f t="shared" si="8"/>
        <v>5.8196072963370371E-2</v>
      </c>
      <c r="I55" s="75">
        <f t="shared" si="3"/>
        <v>1.7948366018768747E-2</v>
      </c>
      <c r="J55" s="75">
        <f t="shared" si="4"/>
        <v>7.9114227444622862E-2</v>
      </c>
      <c r="K55" s="75">
        <f t="shared" si="5"/>
        <v>5.6087739630037041E-2</v>
      </c>
    </row>
    <row r="56" spans="1:12">
      <c r="A56" s="72">
        <v>43678</v>
      </c>
      <c r="B56" s="67">
        <v>2E-3</v>
      </c>
      <c r="C56" s="69">
        <v>287.98803700000002</v>
      </c>
      <c r="D56" s="71">
        <f t="shared" si="6"/>
        <v>-1.6743344012274064E-2</v>
      </c>
      <c r="E56" s="69">
        <v>225.61000100000001</v>
      </c>
      <c r="F56" s="71">
        <f t="shared" si="7"/>
        <v>-6.622242429443137E-2</v>
      </c>
      <c r="G56" s="70">
        <v>35.89378</v>
      </c>
      <c r="H56" s="71">
        <f t="shared" si="8"/>
        <v>-8.0565158498074774E-2</v>
      </c>
      <c r="I56" s="75">
        <f t="shared" si="3"/>
        <v>-1.8743344012274066E-2</v>
      </c>
      <c r="J56" s="75">
        <f t="shared" si="4"/>
        <v>-6.8222424294431372E-2</v>
      </c>
      <c r="K56" s="75">
        <f t="shared" si="5"/>
        <v>-8.2565158498074775E-2</v>
      </c>
    </row>
    <row r="57" spans="1:12">
      <c r="A57" s="72">
        <v>43709</v>
      </c>
      <c r="B57" s="67">
        <v>1.725E-3</v>
      </c>
      <c r="C57" s="69">
        <v>292.24206500000003</v>
      </c>
      <c r="D57" s="71">
        <f t="shared" si="6"/>
        <v>1.4771544138828308E-2</v>
      </c>
      <c r="E57" s="69">
        <v>240.86999499999999</v>
      </c>
      <c r="F57" s="71">
        <f t="shared" si="7"/>
        <v>6.7638818901472275E-2</v>
      </c>
      <c r="G57" s="70">
        <v>36.271202000000002</v>
      </c>
      <c r="H57" s="71">
        <f t="shared" si="8"/>
        <v>1.0514969445959865E-2</v>
      </c>
      <c r="I57" s="75">
        <f t="shared" si="3"/>
        <v>1.3046544138828307E-2</v>
      </c>
      <c r="J57" s="75">
        <f t="shared" si="4"/>
        <v>6.5913818901472271E-2</v>
      </c>
      <c r="K57" s="75">
        <f t="shared" si="5"/>
        <v>8.7899694459598644E-3</v>
      </c>
    </row>
    <row r="58" spans="1:12">
      <c r="A58" s="72">
        <v>43739</v>
      </c>
      <c r="B58" s="67">
        <v>1.6166666666666699E-3</v>
      </c>
      <c r="C58" s="69">
        <v>300.08142099999998</v>
      </c>
      <c r="D58" s="71">
        <f t="shared" si="6"/>
        <v>2.6824872045712933E-2</v>
      </c>
      <c r="E58" s="69">
        <v>314.92001299999998</v>
      </c>
      <c r="F58" s="71">
        <f t="shared" si="7"/>
        <v>0.30742732402182349</v>
      </c>
      <c r="G58" s="70">
        <v>36.322463999999997</v>
      </c>
      <c r="H58" s="71">
        <f t="shared" si="8"/>
        <v>1.4132975245759738E-3</v>
      </c>
      <c r="I58" s="75">
        <f t="shared" si="3"/>
        <v>2.5208205379046264E-2</v>
      </c>
      <c r="J58" s="75">
        <f t="shared" si="4"/>
        <v>0.30581065735515683</v>
      </c>
      <c r="K58" s="75">
        <f t="shared" si="5"/>
        <v>-2.033691420906961E-4</v>
      </c>
    </row>
    <row r="59" spans="1:12">
      <c r="A59" s="72">
        <v>43770</v>
      </c>
      <c r="B59" s="67">
        <v>1.6216666666666599E-3</v>
      </c>
      <c r="C59" s="69">
        <v>310.94381700000002</v>
      </c>
      <c r="D59" s="71">
        <f t="shared" si="6"/>
        <v>3.6198162364740494E-2</v>
      </c>
      <c r="E59" s="69">
        <v>329.94000199999999</v>
      </c>
      <c r="F59" s="71">
        <f t="shared" si="7"/>
        <v>4.7694615711831645E-2</v>
      </c>
      <c r="G59" s="70">
        <v>35.188609999999997</v>
      </c>
      <c r="H59" s="71">
        <f t="shared" si="8"/>
        <v>-3.1216329376773544E-2</v>
      </c>
      <c r="I59" s="75">
        <f t="shared" si="3"/>
        <v>3.4576495698073834E-2</v>
      </c>
      <c r="J59" s="75">
        <f t="shared" si="4"/>
        <v>4.6072949045164985E-2</v>
      </c>
      <c r="K59" s="75">
        <f t="shared" si="5"/>
        <v>-3.2837996043440204E-2</v>
      </c>
    </row>
    <row r="60" spans="1:12">
      <c r="A60" s="72">
        <v>43800</v>
      </c>
      <c r="B60" s="67">
        <v>1.5166666666666701E-3</v>
      </c>
      <c r="C60" s="69">
        <v>318.41293300000001</v>
      </c>
      <c r="D60" s="71">
        <f t="shared" si="6"/>
        <v>2.4020789582061441E-2</v>
      </c>
      <c r="E60" s="69">
        <v>418.32998700000002</v>
      </c>
      <c r="F60" s="71">
        <f t="shared" si="7"/>
        <v>0.26789714634238271</v>
      </c>
      <c r="G60" s="70">
        <v>35.775084999999997</v>
      </c>
      <c r="H60" s="71">
        <f t="shared" si="8"/>
        <v>1.6666614566474891E-2</v>
      </c>
      <c r="I60" s="75">
        <f t="shared" si="3"/>
        <v>2.2504122915394772E-2</v>
      </c>
      <c r="J60" s="75">
        <f t="shared" si="4"/>
        <v>0.26638047967571604</v>
      </c>
      <c r="K60" s="75">
        <f t="shared" si="5"/>
        <v>1.5149947899808221E-2</v>
      </c>
    </row>
    <row r="61" spans="1:12">
      <c r="A61" s="72">
        <v>43831</v>
      </c>
      <c r="B61" s="67">
        <v>1.2583333333333333E-3</v>
      </c>
      <c r="C61" s="69">
        <v>319.84921300000002</v>
      </c>
      <c r="D61" s="71">
        <f t="shared" si="6"/>
        <v>4.5107464275013776E-3</v>
      </c>
      <c r="E61" s="69">
        <v>650.57000700000003</v>
      </c>
      <c r="F61" s="71">
        <f t="shared" si="7"/>
        <v>0.55515986713139931</v>
      </c>
      <c r="G61" s="70">
        <v>32.987583000000001</v>
      </c>
      <c r="H61" s="71">
        <f t="shared" si="8"/>
        <v>-7.7917410957933364E-2</v>
      </c>
      <c r="I61" s="75">
        <f t="shared" si="3"/>
        <v>3.252413094168044E-3</v>
      </c>
      <c r="J61" s="75">
        <f t="shared" si="4"/>
        <v>0.55390153379806595</v>
      </c>
      <c r="K61" s="75">
        <f t="shared" si="5"/>
        <v>-7.9175744291266698E-2</v>
      </c>
    </row>
    <row r="62" spans="1:12">
      <c r="A62" s="72">
        <v>43862</v>
      </c>
      <c r="B62" s="67">
        <v>9.4166666666666661E-4</v>
      </c>
      <c r="C62" s="69">
        <v>294.52810699999998</v>
      </c>
      <c r="D62" s="71">
        <f t="shared" si="6"/>
        <v>-7.9165759898243149E-2</v>
      </c>
      <c r="E62" s="69">
        <v>667.98999000000003</v>
      </c>
      <c r="F62" s="71">
        <f t="shared" si="7"/>
        <v>2.6776492633482363E-2</v>
      </c>
      <c r="G62" s="70">
        <v>30.132414000000001</v>
      </c>
      <c r="H62" s="71">
        <f t="shared" si="8"/>
        <v>-8.655284020050813E-2</v>
      </c>
      <c r="I62" s="75">
        <f t="shared" si="3"/>
        <v>-8.0107426564909809E-2</v>
      </c>
      <c r="J62" s="75">
        <f t="shared" si="4"/>
        <v>2.5834825966815696E-2</v>
      </c>
      <c r="K62" s="75">
        <f t="shared" si="5"/>
        <v>-8.749450686717479E-2</v>
      </c>
    </row>
    <row r="63" spans="1:12">
      <c r="A63" s="72"/>
      <c r="C63" s="71"/>
      <c r="D63" s="69"/>
      <c r="E63" s="71"/>
      <c r="F63" s="69"/>
      <c r="G63" s="71"/>
      <c r="H63" s="70"/>
      <c r="I63" s="71"/>
      <c r="J63" s="75"/>
      <c r="K63" s="75"/>
      <c r="L63" s="75"/>
    </row>
    <row r="64" spans="1:12">
      <c r="A64" s="72"/>
      <c r="B64" s="69"/>
      <c r="C64" s="71"/>
      <c r="D64" s="69"/>
      <c r="E64" s="71"/>
      <c r="F64" s="69"/>
      <c r="G64" s="71"/>
      <c r="H64" s="70"/>
      <c r="I64" s="71"/>
      <c r="J64" s="75"/>
      <c r="K64" s="75"/>
      <c r="L64" s="75"/>
    </row>
    <row r="65" spans="1:8">
      <c r="A65" s="69"/>
      <c r="B65" s="69"/>
      <c r="C65" s="69"/>
      <c r="D65" s="69"/>
      <c r="E65" s="69"/>
      <c r="F65" s="69"/>
      <c r="G65" s="69"/>
      <c r="H65" s="6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0549-2A0E-3748-AC59-684A55D78414}">
  <dimension ref="A1:J42"/>
  <sheetViews>
    <sheetView zoomScale="180" zoomScaleNormal="180" workbookViewId="0">
      <selection activeCell="A40" sqref="A40"/>
    </sheetView>
  </sheetViews>
  <sheetFormatPr baseColWidth="10" defaultRowHeight="15"/>
  <cols>
    <col min="1" max="1" width="38.83203125" customWidth="1"/>
    <col min="2" max="2" width="16.83203125" bestFit="1" customWidth="1"/>
    <col min="3" max="3" width="15.6640625" bestFit="1" customWidth="1"/>
    <col min="5" max="6" width="16.83203125" bestFit="1" customWidth="1"/>
  </cols>
  <sheetData>
    <row r="1" spans="1:10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ht="16" thickBot="1">
      <c r="A3" s="6"/>
      <c r="B3" s="119" t="s">
        <v>196</v>
      </c>
      <c r="C3" s="119"/>
      <c r="D3" s="6"/>
      <c r="E3" s="119" t="s">
        <v>197</v>
      </c>
      <c r="F3" s="119"/>
      <c r="G3" s="6"/>
      <c r="H3" s="119" t="s">
        <v>195</v>
      </c>
      <c r="I3" s="119"/>
      <c r="J3" s="6"/>
    </row>
    <row r="4" spans="1:10">
      <c r="A4" s="6"/>
      <c r="B4" s="6">
        <v>2019</v>
      </c>
      <c r="C4" s="6">
        <v>2018</v>
      </c>
      <c r="D4" s="6"/>
      <c r="E4" s="6">
        <v>2019</v>
      </c>
      <c r="F4" s="6">
        <v>2018</v>
      </c>
      <c r="G4" s="6"/>
      <c r="H4" s="6">
        <v>2019</v>
      </c>
      <c r="I4" s="6">
        <v>2018</v>
      </c>
      <c r="J4" s="6"/>
    </row>
    <row r="5" spans="1:10">
      <c r="A5" s="37" t="s">
        <v>169</v>
      </c>
      <c r="B5" s="37"/>
      <c r="C5" s="37"/>
      <c r="D5" s="37"/>
      <c r="E5" s="37"/>
      <c r="F5" s="37"/>
      <c r="G5" s="37"/>
      <c r="H5" s="37"/>
      <c r="I5" s="37"/>
      <c r="J5" s="6"/>
    </row>
    <row r="6" spans="1:10">
      <c r="A6" s="6" t="s">
        <v>170</v>
      </c>
      <c r="B6" s="62">
        <f>'Balance Sheet Page'!C27/'Balance Sheet Page'!C58</f>
        <v>1.1346207931002157</v>
      </c>
      <c r="C6" s="62">
        <f>'Balance Sheet Page'!D27/'Balance Sheet Page'!D58</f>
        <v>0.83128452214821746</v>
      </c>
      <c r="D6" s="62"/>
      <c r="E6" s="62">
        <f>'Balance Sheet Page'!I26/'Balance Sheet Page'!I61</f>
        <v>0.88324598080207295</v>
      </c>
      <c r="F6" s="62">
        <f>'Balance Sheet Page'!J26/'Balance Sheet Page'!J61</f>
        <v>0.91556112212264551</v>
      </c>
      <c r="G6" s="6"/>
      <c r="H6" s="6" t="str">
        <f>IF(B6&gt;E6,"Tesla", "GM")</f>
        <v>Tesla</v>
      </c>
      <c r="I6" s="6" t="str">
        <f>IF(C6&gt;F6,"Tesla", "GM")</f>
        <v>GM</v>
      </c>
      <c r="J6" s="6"/>
    </row>
    <row r="7" spans="1:10">
      <c r="A7" s="6" t="s">
        <v>171</v>
      </c>
      <c r="B7" s="62">
        <f>('Balance Sheet Page'!C27-'Balance Sheet Page'!C18)/'Balance Sheet Page'!C58</f>
        <v>0.80163119902503044</v>
      </c>
      <c r="C7" s="62">
        <f>('Balance Sheet Page'!D27-'Balance Sheet Page'!D18)/'Balance Sheet Page'!D58</f>
        <v>0.51969488805997044</v>
      </c>
      <c r="D7" s="62"/>
      <c r="E7" s="62">
        <f>('Balance Sheet Page'!I26-'Balance Sheet Page'!I16)/'Balance Sheet Page'!I61</f>
        <v>0.76077969495318298</v>
      </c>
      <c r="F7" s="62">
        <f>('Balance Sheet Page'!J26-'Balance Sheet Page'!J16)/'Balance Sheet Page'!J61</f>
        <v>0.79619879129832072</v>
      </c>
      <c r="G7" s="6"/>
      <c r="H7" s="6" t="str">
        <f t="shared" ref="H7:H27" si="0">IF(B7&gt;E7,"Tesla", "GM")</f>
        <v>Tesla</v>
      </c>
      <c r="I7" s="6" t="str">
        <f t="shared" ref="I7:I27" si="1">IF(C7&gt;F7,"Tesla", "GM")</f>
        <v>GM</v>
      </c>
      <c r="J7" s="6"/>
    </row>
    <row r="8" spans="1:10">
      <c r="A8" s="6" t="s">
        <v>172</v>
      </c>
      <c r="B8" s="62">
        <f>'Balance Sheet Page'!C12/'Balance Sheet Page'!C58</f>
        <v>0.58760663729258455</v>
      </c>
      <c r="C8" s="62">
        <f>'Balance Sheet Page'!D12/'Balance Sheet Page'!D58</f>
        <v>0.36885186510671991</v>
      </c>
      <c r="D8" s="62"/>
      <c r="E8" s="62">
        <f>'Balance Sheet Page'!I12/'Balance Sheet Page'!I61</f>
        <v>0.27375301807902952</v>
      </c>
      <c r="F8" s="62">
        <f>'Balance Sheet Page'!J12/'Balance Sheet Page'!J61</f>
        <v>0.3260089740627698</v>
      </c>
      <c r="G8" s="6"/>
      <c r="H8" s="6" t="str">
        <f t="shared" si="0"/>
        <v>Tesla</v>
      </c>
      <c r="I8" s="6" t="str">
        <f t="shared" si="1"/>
        <v>Tesla</v>
      </c>
      <c r="J8" s="6"/>
    </row>
    <row r="9" spans="1:10">
      <c r="A9" s="6" t="s">
        <v>173</v>
      </c>
      <c r="B9" s="62">
        <f>SUM('Balance Sheet Page'!C12+'Balance Sheet Page'!C15+'Balance Sheet Page'!C23)/(('Income Statement Page'!C16+'Income Statement Page'!C12)/365)</f>
        <v>128.16668035479631</v>
      </c>
      <c r="C9" s="62">
        <f>SUM('Balance Sheet Page'!D12+'Balance Sheet Page'!D15+'Balance Sheet Page'!D23)/(('Income Statement Page'!D16+'Income Statement Page'!D12)/365)</f>
        <v>87.942137027822952</v>
      </c>
      <c r="D9" s="62"/>
      <c r="E9" s="62">
        <f>('Balance Sheet Page'!I12+'Balance Sheet Page'!I15+'Balance Sheet Page'!I21)/(('Income Statement Page'!I13+'Income Statement Page'!I18)/365)</f>
        <v>181.59055724573497</v>
      </c>
      <c r="F9" s="62">
        <f>('Balance Sheet Page'!J12+'Balance Sheet Page'!J15+'Balance Sheet Page'!J21)/(('Income Statement Page'!J13+'Income Statement Page'!J18)/365)</f>
        <v>171.72351478745725</v>
      </c>
      <c r="G9" s="6"/>
      <c r="H9" s="6" t="str">
        <f t="shared" si="0"/>
        <v>GM</v>
      </c>
      <c r="I9" s="6" t="str">
        <f t="shared" si="1"/>
        <v>GM</v>
      </c>
      <c r="J9" s="6"/>
    </row>
    <row r="10" spans="1:10">
      <c r="A10" s="47" t="s">
        <v>174</v>
      </c>
      <c r="B10" s="113"/>
      <c r="C10" s="113"/>
      <c r="D10" s="113"/>
      <c r="E10" s="113"/>
      <c r="F10" s="113"/>
      <c r="G10" s="47"/>
      <c r="H10" s="47"/>
      <c r="I10" s="47"/>
      <c r="J10" s="6"/>
    </row>
    <row r="11" spans="1:10">
      <c r="A11" s="1" t="s">
        <v>175</v>
      </c>
      <c r="B11" s="62">
        <f>'Income Statement Page'!C12/(('Balance Sheet Page'!C18+'Balance Sheet Page'!D18)/2)</f>
        <v>6.1538267656807966</v>
      </c>
      <c r="C11" s="62">
        <f>'Income Statement Page'!D12/(('Balance Sheet Page'!D18+'Balance Sheet Page'!E18)/2)</f>
        <v>6.4791899100294712</v>
      </c>
      <c r="D11" s="62"/>
      <c r="E11" s="62">
        <f>'Income Statement Page'!I13/AVERAGE('Balance Sheet Page'!I16:J16)</f>
        <v>10.947956861581082</v>
      </c>
      <c r="F11" s="62">
        <f>'Income Statement Page'!J13/AVERAGE('Balance Sheet Page'!J16:K16)</f>
        <v>11.783387860735388</v>
      </c>
      <c r="G11" s="6"/>
      <c r="H11" s="6" t="str">
        <f t="shared" si="0"/>
        <v>GM</v>
      </c>
      <c r="I11" s="6" t="str">
        <f t="shared" si="1"/>
        <v>GM</v>
      </c>
      <c r="J11" s="6"/>
    </row>
    <row r="12" spans="1:10">
      <c r="A12" s="1" t="s">
        <v>176</v>
      </c>
      <c r="B12" s="62">
        <f>'Income Statement Page'!C9/AVERAGE('Balance Sheet Page'!C15:D15)</f>
        <v>21.625835561644365</v>
      </c>
      <c r="C12" s="62">
        <f>'Income Statement Page'!D9/AVERAGE('Balance Sheet Page'!D15:E15)</f>
        <v>29.310603706766511</v>
      </c>
      <c r="D12" s="62"/>
      <c r="E12" s="62">
        <f>'Income Statement Page'!I9/AVERAGE('Balance Sheet Page'!I15:J15)</f>
        <v>4.1090767549440841</v>
      </c>
      <c r="F12" s="62">
        <f>'Income Statement Page'!J9/AVERAGE('Balance Sheet Page'!J15:K15)</f>
        <v>4.737098125120804</v>
      </c>
      <c r="G12" s="6"/>
      <c r="H12" s="6" t="str">
        <f t="shared" si="0"/>
        <v>Tesla</v>
      </c>
      <c r="I12" s="6" t="str">
        <f t="shared" si="1"/>
        <v>Tesla</v>
      </c>
      <c r="J12" s="6"/>
    </row>
    <row r="13" spans="1:10">
      <c r="A13" s="1" t="s">
        <v>177</v>
      </c>
      <c r="B13" s="62">
        <f>AVERAGE('Balance Sheet Page'!C15:D15)/('Income Statement Page'!C9/365)</f>
        <v>16.877960574497518</v>
      </c>
      <c r="C13" s="62">
        <f>AVERAGE('Balance Sheet Page'!D15:E15)/('Income Statement Page'!D9/365)</f>
        <v>12.452831188725662</v>
      </c>
      <c r="D13" s="62"/>
      <c r="E13" s="62">
        <f>AVERAGE('Balance Sheet Page'!I15:J15)/('Income Statement Page'!I9/365)</f>
        <v>88.827739603751169</v>
      </c>
      <c r="F13" s="62">
        <f>AVERAGE('Balance Sheet Page'!J15:K15)/('Income Statement Page'!J9/365)</f>
        <v>77.051391032920989</v>
      </c>
      <c r="G13" s="6"/>
      <c r="H13" s="6" t="str">
        <f t="shared" si="0"/>
        <v>GM</v>
      </c>
      <c r="I13" s="6" t="str">
        <f t="shared" si="1"/>
        <v>GM</v>
      </c>
      <c r="J13" s="6"/>
    </row>
    <row r="14" spans="1:10">
      <c r="A14" s="1" t="s">
        <v>178</v>
      </c>
      <c r="B14" s="62">
        <f>'Income Statement Page'!C9/AVERAGE('Balance Sheet Page'!C28:D28)</f>
        <v>2.1424265617658103</v>
      </c>
      <c r="C14" s="62">
        <f>'Income Statement Page'!D9/AVERAGE('Balance Sheet Page'!D28:E28)</f>
        <v>2.0097079264387347</v>
      </c>
      <c r="D14" s="62"/>
      <c r="E14" s="62">
        <f>'Income Statement Page'!I9/AVERAGE('Balance Sheet Page'!I27:J27)</f>
        <v>3.5412344532177324</v>
      </c>
      <c r="F14" s="62">
        <f>'Income Statement Page'!J9/AVERAGE('Balance Sheet Page'!J27:K27)</f>
        <v>3.9207316260281826</v>
      </c>
      <c r="G14" s="6"/>
      <c r="H14" s="6" t="str">
        <f t="shared" si="0"/>
        <v>GM</v>
      </c>
      <c r="I14" s="6" t="str">
        <f t="shared" si="1"/>
        <v>GM</v>
      </c>
      <c r="J14" s="6"/>
    </row>
    <row r="15" spans="1:10">
      <c r="A15" s="3" t="s">
        <v>179</v>
      </c>
      <c r="B15" s="62">
        <f>'Income Statement Page'!C9/AVERAGE('Balance Sheet Page'!C40:D40)</f>
        <v>0.76747952734777369</v>
      </c>
      <c r="C15" s="62">
        <f>'Income Statement Page'!D9/AVERAGE('Balance Sheet Page'!D40:E40)</f>
        <v>0.73503803905355847</v>
      </c>
      <c r="D15" s="62"/>
      <c r="E15" s="62">
        <f>'Income Statement Page'!I9/AVERAGE('Balance Sheet Page'!I42:J42)</f>
        <v>0.6027414707845824</v>
      </c>
      <c r="F15" s="62">
        <f>'Income Statement Page'!J9/AVERAGE('Balance Sheet Page'!J42:K42)</f>
        <v>0.6686765752431103</v>
      </c>
      <c r="G15" s="6"/>
      <c r="H15" s="6" t="str">
        <f t="shared" si="0"/>
        <v>Tesla</v>
      </c>
      <c r="I15" s="6" t="str">
        <f t="shared" si="1"/>
        <v>Tesla</v>
      </c>
      <c r="J15" s="6"/>
    </row>
    <row r="16" spans="1:10">
      <c r="A16" s="47" t="s">
        <v>180</v>
      </c>
      <c r="B16" s="47"/>
      <c r="C16" s="47"/>
      <c r="D16" s="47"/>
      <c r="E16" s="47"/>
      <c r="F16" s="47"/>
      <c r="G16" s="47"/>
      <c r="H16" s="47"/>
      <c r="I16" s="47"/>
      <c r="J16" s="6"/>
    </row>
    <row r="17" spans="1:10">
      <c r="A17" s="2" t="s">
        <v>181</v>
      </c>
      <c r="B17" s="48">
        <f>'Balance Sheet Page'!C73/'Balance Sheet Page'!C40</f>
        <v>0.76361887551371366</v>
      </c>
      <c r="C17" s="48">
        <f>'Balance Sheet Page'!D73/'Balance Sheet Page'!D40</f>
        <v>0.78770390227660658</v>
      </c>
      <c r="D17" s="48"/>
      <c r="E17" s="48">
        <f>'Balance Sheet Page'!I75/'Balance Sheet Page'!I42</f>
        <v>0.79846691545670223</v>
      </c>
      <c r="F17" s="48">
        <f>'Balance Sheet Page'!J75/'Balance Sheet Page'!J42</f>
        <v>0.81183606860239554</v>
      </c>
      <c r="G17" s="6"/>
      <c r="H17" s="6" t="str">
        <f t="shared" si="0"/>
        <v>GM</v>
      </c>
      <c r="I17" s="6" t="str">
        <f t="shared" si="1"/>
        <v>GM</v>
      </c>
      <c r="J17" s="6"/>
    </row>
    <row r="18" spans="1:10">
      <c r="A18" s="2" t="s">
        <v>182</v>
      </c>
      <c r="B18" s="48">
        <f>'Balance Sheet Page'!C59/'Balance Sheet Page'!C40</f>
        <v>0.36695910693986999</v>
      </c>
      <c r="C18" s="48">
        <f>'Balance Sheet Page'!D59/'Balance Sheet Page'!D40</f>
        <v>0.31620020353996525</v>
      </c>
      <c r="D18" s="48"/>
      <c r="E18" s="48">
        <f>'Balance Sheet Page'!I62/'Balance Sheet Page'!I42</f>
        <v>0.29347868986173298</v>
      </c>
      <c r="F18" s="48">
        <f>'Balance Sheet Page'!J62/'Balance Sheet Page'!J42</f>
        <v>0.32137028842389559</v>
      </c>
      <c r="G18" s="6"/>
      <c r="H18" s="6" t="str">
        <f t="shared" si="0"/>
        <v>Tesla</v>
      </c>
      <c r="I18" s="6" t="str">
        <f t="shared" si="1"/>
        <v>GM</v>
      </c>
      <c r="J18" s="6"/>
    </row>
    <row r="19" spans="1:10">
      <c r="A19" s="2" t="s">
        <v>183</v>
      </c>
      <c r="B19" s="48">
        <f>'Balance Sheet Page'!C59/('Balance Sheet Page'!C59+'Balance Sheet Page'!C83)</f>
        <v>0.60821256038647342</v>
      </c>
      <c r="C19" s="48">
        <f>'Balance Sheet Page'!D59/('Balance Sheet Page'!D59+'Balance Sheet Page'!D83)</f>
        <v>0.59830163954619109</v>
      </c>
      <c r="D19" s="48"/>
      <c r="E19" s="48">
        <f>'Balance Sheet Page'!I62/('Balance Sheet Page'!I62+'Balance Sheet Page'!I85)</f>
        <v>0.59287213968692698</v>
      </c>
      <c r="F19" s="48">
        <f>'Balance Sheet Page'!J62/('Balance Sheet Page'!J62+'Balance Sheet Page'!J85)</f>
        <v>0.63071384790697271</v>
      </c>
      <c r="G19" s="6"/>
      <c r="H19" s="6" t="str">
        <f t="shared" si="0"/>
        <v>Tesla</v>
      </c>
      <c r="I19" s="6" t="str">
        <f t="shared" si="1"/>
        <v>GM</v>
      </c>
      <c r="J19" s="6"/>
    </row>
    <row r="20" spans="1:10">
      <c r="A20" s="4" t="s">
        <v>184</v>
      </c>
      <c r="B20" s="48">
        <f>'Balance Sheet Page'!C73/'Balance Sheet Page'!C83</f>
        <v>3.2304562268803947</v>
      </c>
      <c r="C20" s="48">
        <f>'Balance Sheet Page'!D73/'Balance Sheet Page'!D83</f>
        <v>3.710402172831873</v>
      </c>
      <c r="D20" s="48"/>
      <c r="E20" s="48">
        <f>'Balance Sheet Page'!I75/'Balance Sheet Page'!I85</f>
        <v>3.9619644450246971</v>
      </c>
      <c r="F20" s="48">
        <f>'Balance Sheet Page'!J75/'Balance Sheet Page'!J85</f>
        <v>4.31451480936017</v>
      </c>
      <c r="G20" s="6"/>
      <c r="H20" s="6" t="str">
        <f t="shared" si="0"/>
        <v>GM</v>
      </c>
      <c r="I20" s="6" t="str">
        <f t="shared" si="1"/>
        <v>GM</v>
      </c>
      <c r="J20" s="6"/>
    </row>
    <row r="21" spans="1:10">
      <c r="A21" s="6"/>
      <c r="B21" s="6"/>
      <c r="C21" s="6"/>
      <c r="D21" s="6"/>
      <c r="E21" s="6"/>
      <c r="F21" s="6"/>
      <c r="G21" s="6"/>
      <c r="H21" s="6" t="str">
        <f t="shared" si="0"/>
        <v>GM</v>
      </c>
      <c r="I21" s="6" t="str">
        <f t="shared" si="1"/>
        <v>GM</v>
      </c>
      <c r="J21" s="6"/>
    </row>
    <row r="22" spans="1:10">
      <c r="A22" s="37" t="s">
        <v>185</v>
      </c>
      <c r="B22" s="37"/>
      <c r="C22" s="37"/>
      <c r="D22" s="37"/>
      <c r="E22" s="37"/>
      <c r="F22" s="37"/>
      <c r="G22" s="47"/>
      <c r="H22" s="47"/>
      <c r="I22" s="47"/>
      <c r="J22" s="6"/>
    </row>
    <row r="23" spans="1:10">
      <c r="A23" s="2" t="s">
        <v>186</v>
      </c>
      <c r="B23" s="48">
        <f>'Income Statement Page'!C14/'Income Statement Page'!C9</f>
        <v>0.1655545609895028</v>
      </c>
      <c r="C23" s="48">
        <f>'Income Statement Page'!D14/'Income Statement Page'!D9</f>
        <v>0.18834026954977684</v>
      </c>
      <c r="D23" s="48"/>
      <c r="E23" s="48">
        <f>'Income Statement Page'!I16/'Income Statement Page'!I9</f>
        <v>0.19372326704897366</v>
      </c>
      <c r="F23" s="48">
        <f>'Income Statement Page'!J16/'Income Statement Page'!J9</f>
        <v>0.17948438955722243</v>
      </c>
      <c r="G23" s="6"/>
      <c r="H23" s="6" t="str">
        <f t="shared" si="0"/>
        <v>GM</v>
      </c>
      <c r="I23" s="6" t="str">
        <f t="shared" si="1"/>
        <v>Tesla</v>
      </c>
      <c r="J23" s="6"/>
    </row>
    <row r="24" spans="1:10">
      <c r="A24" s="2" t="s">
        <v>187</v>
      </c>
      <c r="B24" s="48">
        <f>'Income Statement Page'!C20/'Income Statement Page'!C9</f>
        <v>9.1952152331353249E-3</v>
      </c>
      <c r="C24" s="48">
        <f>'Income Statement Page'!D20/'Income Statement Page'!D9</f>
        <v>-4.2625160824607379E-3</v>
      </c>
      <c r="D24" s="48"/>
      <c r="E24" s="48">
        <f>'Income Statement Page'!I22/'Income Statement Page'!I9</f>
        <v>5.3935891924189544E-2</v>
      </c>
      <c r="F24" s="48">
        <f>'Income Statement Page'!J22/'Income Statement Page'!J9</f>
        <v>5.3567178287509606E-2</v>
      </c>
      <c r="G24" s="6"/>
      <c r="H24" s="6" t="str">
        <f t="shared" si="0"/>
        <v>GM</v>
      </c>
      <c r="I24" s="6" t="str">
        <f t="shared" si="1"/>
        <v>GM</v>
      </c>
      <c r="J24" s="6"/>
    </row>
    <row r="25" spans="1:10">
      <c r="A25" s="2" t="s">
        <v>188</v>
      </c>
      <c r="B25" s="48">
        <f>'Income Statement Page'!C49/'Income Statement Page'!C9</f>
        <v>-3.5072015623728539E-2</v>
      </c>
      <c r="C25" s="48">
        <f>'Income Statement Page'!D49/'Income Statement Page'!D9</f>
        <v>-4.5481515817238756E-2</v>
      </c>
      <c r="D25" s="48"/>
      <c r="E25" s="48">
        <f>'Income Statement Page'!I58/'Income Statement Page'!I9</f>
        <v>4.7953540226032342E-2</v>
      </c>
      <c r="F25" s="48">
        <f>'Income Statement Page'!J58/'Income Statement Page'!J9</f>
        <v>5.3832396004053068E-2</v>
      </c>
      <c r="G25" s="6"/>
      <c r="H25" s="6" t="str">
        <f t="shared" si="0"/>
        <v>GM</v>
      </c>
      <c r="I25" s="6" t="str">
        <f t="shared" si="1"/>
        <v>GM</v>
      </c>
      <c r="J25" s="6"/>
    </row>
    <row r="26" spans="1:10">
      <c r="A26" s="2" t="s">
        <v>189</v>
      </c>
      <c r="B26" s="48">
        <f>'Income Statement Page'!C49/AVERAGE('Balance Sheet Page'!C40:D40)</f>
        <v>-2.691705397403291E-2</v>
      </c>
      <c r="C26" s="48">
        <f>'Income Statement Page'!D49/AVERAGE('Balance Sheet Page'!D40:E40)</f>
        <v>-3.3430644199486576E-2</v>
      </c>
      <c r="D26" s="48"/>
      <c r="E26" s="48">
        <f>'Income Statement Page'!I58/AVERAGE('Balance Sheet Page'!I42:J42)</f>
        <v>2.8903587365166367E-2</v>
      </c>
      <c r="F26" s="48">
        <f>'Income Statement Page'!J58/AVERAGE('Balance Sheet Page'!J42:K42)</f>
        <v>3.5996462197121104E-2</v>
      </c>
      <c r="G26" s="6"/>
      <c r="H26" s="6" t="str">
        <f t="shared" si="0"/>
        <v>GM</v>
      </c>
      <c r="I26" s="6" t="str">
        <f t="shared" si="1"/>
        <v>GM</v>
      </c>
      <c r="J26" s="6"/>
    </row>
    <row r="27" spans="1:10">
      <c r="A27" s="4" t="s">
        <v>190</v>
      </c>
      <c r="B27" s="48">
        <f>'Income Statement Page'!C49/AVERAGE('Balance Sheet Page'!C83:D83)</f>
        <v>-0.11952629869760707</v>
      </c>
      <c r="C27" s="48">
        <f>'Income Statement Page'!D49/AVERAGE('Balance Sheet Page'!D83:E83)</f>
        <v>-0.16341726550050747</v>
      </c>
      <c r="D27" s="48"/>
      <c r="E27" s="48">
        <f>'Income Statement Page'!I58/AVERAGE('Balance Sheet Page'!I85:J85)</f>
        <v>0.14833096670949128</v>
      </c>
      <c r="F27" s="48">
        <f>'Income Statement Page'!J58/AVERAGE('Balance Sheet Page'!J85:K85)</f>
        <v>0.20046342606075188</v>
      </c>
      <c r="G27" s="6"/>
      <c r="H27" s="6" t="str">
        <f t="shared" si="0"/>
        <v>GM</v>
      </c>
      <c r="I27" s="6" t="str">
        <f t="shared" si="1"/>
        <v>GM</v>
      </c>
      <c r="J27" s="6"/>
    </row>
    <row r="28" spans="1:10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47" t="s">
        <v>191</v>
      </c>
      <c r="B29" s="47"/>
      <c r="C29" s="47"/>
      <c r="D29" s="47"/>
      <c r="E29" s="47"/>
      <c r="F29" s="47"/>
      <c r="G29" s="47"/>
      <c r="H29" s="47"/>
      <c r="I29" s="47"/>
      <c r="J29" s="6"/>
    </row>
    <row r="30" spans="1:10">
      <c r="A30" s="2" t="s">
        <v>179</v>
      </c>
      <c r="B30" s="62">
        <f>'Income Statement Page'!C9/AVERAGE('Balance Sheet Page'!C40:D40)</f>
        <v>0.76747952734777369</v>
      </c>
      <c r="C30" s="62">
        <f>'Income Statement Page'!D9/AVERAGE('Balance Sheet Page'!D40:E40)</f>
        <v>0.73503803905355847</v>
      </c>
      <c r="D30" s="6"/>
      <c r="E30" s="62">
        <f>'Income Statement Page'!I9/AVERAGE('Balance Sheet Page'!I42:J42)</f>
        <v>0.6027414707845824</v>
      </c>
      <c r="F30" s="62">
        <f>'Income Statement Page'!J9/AVERAGE('Balance Sheet Page'!J42:K42)</f>
        <v>0.6686765752431103</v>
      </c>
      <c r="G30" s="6"/>
      <c r="H30" s="6"/>
      <c r="I30" s="6"/>
      <c r="J30" s="6"/>
    </row>
    <row r="31" spans="1:10">
      <c r="A31" s="4" t="s">
        <v>188</v>
      </c>
      <c r="B31" s="62">
        <f>'Income Statement Page'!C46/'Income Statement Page'!C9</f>
        <v>-3.5072015623728539E-2</v>
      </c>
      <c r="C31" s="62">
        <f>'Income Statement Page'!D46/'Income Statement Page'!D9</f>
        <v>-4.5481515817238756E-2</v>
      </c>
      <c r="D31" s="6"/>
      <c r="E31" s="62">
        <f>'Income Statement Page'!I55/'Income Statement Page'!I9</f>
        <v>4.9053826591954064E-2</v>
      </c>
      <c r="F31" s="62">
        <f>'Income Statement Page'!J55/'Income Statement Page'!J9</f>
        <v>5.4498840522546908E-2</v>
      </c>
      <c r="G31" s="6"/>
      <c r="H31" s="6"/>
      <c r="I31" s="6"/>
      <c r="J31" s="6"/>
    </row>
    <row r="32" spans="1:10">
      <c r="A32" s="5" t="s">
        <v>192</v>
      </c>
      <c r="B32" s="114">
        <f>B30*B31</f>
        <v>-2.6917053974032913E-2</v>
      </c>
      <c r="C32" s="114">
        <f>C30*C31</f>
        <v>-3.3430644199486576E-2</v>
      </c>
      <c r="D32" s="6"/>
      <c r="E32" s="114">
        <f>E30*E31</f>
        <v>2.9566775587646251E-2</v>
      </c>
      <c r="F32" s="114">
        <f>F30*F31</f>
        <v>3.6442098035337107E-2</v>
      </c>
      <c r="G32" s="6"/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2" t="s">
        <v>193</v>
      </c>
      <c r="B34" s="62" cm="1">
        <f t="array" ref="B34">AVERAGE('Balance Sheet Page'!C73:D73/AVERAGE('Balance Sheet Page'!C83:D83))</f>
        <v>3.4405416288467157</v>
      </c>
      <c r="C34" s="62" cm="1">
        <f t="array" ref="C34">AVERAGE('Balance Sheet Page'!D73:E73/AVERAGE('Balance Sheet Page'!D83:E83))</f>
        <v>3.8882475768449951</v>
      </c>
      <c r="D34" s="62"/>
      <c r="E34" s="62">
        <f>AVERAGE('Balance Sheet Page'!I74:J74)/AVERAGE('Balance Sheet Page'!I85:J85)</f>
        <v>2.2482926499425249</v>
      </c>
      <c r="F34" s="62">
        <f>AVERAGE('Balance Sheet Page'!J74:K74)/AVERAGE('Balance Sheet Page'!J85:K85)</f>
        <v>2.554123352368411</v>
      </c>
      <c r="G34" s="6"/>
      <c r="H34" s="6"/>
      <c r="I34" s="6"/>
      <c r="J34" s="6"/>
    </row>
    <row r="35" spans="1:10">
      <c r="A35" s="2" t="s">
        <v>179</v>
      </c>
      <c r="B35" s="62">
        <f>B30</f>
        <v>0.76747952734777369</v>
      </c>
      <c r="C35" s="62">
        <f>C30</f>
        <v>0.73503803905355847</v>
      </c>
      <c r="D35" s="6"/>
      <c r="E35" s="62">
        <f>E30</f>
        <v>0.6027414707845824</v>
      </c>
      <c r="F35" s="62">
        <f>F30</f>
        <v>0.6686765752431103</v>
      </c>
      <c r="G35" s="6"/>
      <c r="H35" s="6"/>
      <c r="I35" s="6"/>
      <c r="J35" s="6"/>
    </row>
    <row r="36" spans="1:10">
      <c r="A36" s="4" t="s">
        <v>188</v>
      </c>
      <c r="B36" s="48">
        <f>B31</f>
        <v>-3.5072015623728539E-2</v>
      </c>
      <c r="C36" s="48">
        <f t="shared" ref="C36:F36" si="2">C31</f>
        <v>-4.5481515817238756E-2</v>
      </c>
      <c r="D36" s="48"/>
      <c r="E36" s="48">
        <f t="shared" si="2"/>
        <v>4.9053826591954064E-2</v>
      </c>
      <c r="F36" s="48">
        <f t="shared" si="2"/>
        <v>5.4498840522546908E-2</v>
      </c>
      <c r="G36" s="6"/>
      <c r="H36" s="6"/>
      <c r="I36" s="6"/>
      <c r="J36" s="6"/>
    </row>
    <row r="37" spans="1:10">
      <c r="A37" s="5" t="s">
        <v>194</v>
      </c>
      <c r="B37" s="48">
        <f>B34*B35*B36</f>
        <v>-9.2609244723574166E-2</v>
      </c>
      <c r="C37" s="48">
        <f t="shared" ref="C37:F37" si="3">C34*C35*C36</f>
        <v>-0.12998662130102087</v>
      </c>
      <c r="D37" s="48"/>
      <c r="E37" s="48">
        <f t="shared" si="3"/>
        <v>6.6474764236205144E-2</v>
      </c>
      <c r="F37" s="48">
        <f t="shared" si="3"/>
        <v>9.3077613601353498E-2</v>
      </c>
      <c r="G37" s="6"/>
      <c r="H37" s="6"/>
      <c r="I37" s="6"/>
      <c r="J37" s="6"/>
    </row>
    <row r="38" spans="1:10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</sheetData>
  <mergeCells count="3">
    <mergeCell ref="B3:C3"/>
    <mergeCell ref="E3:F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Income Statement Page</vt:lpstr>
      <vt:lpstr>Balance Sheet Page</vt:lpstr>
      <vt:lpstr>Cash Flow Page</vt:lpstr>
      <vt:lpstr>Valuations</vt:lpstr>
      <vt:lpstr>Beta Calcuations</vt:lpstr>
      <vt:lpstr>Ratio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Alec Westaway</cp:lastModifiedBy>
  <dcterms:created xsi:type="dcterms:W3CDTF">2013-04-03T15:49:21Z</dcterms:created>
  <dcterms:modified xsi:type="dcterms:W3CDTF">2020-07-03T17:21:11Z</dcterms:modified>
</cp:coreProperties>
</file>