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ables/table4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932DI" sheetId="1" state="visible" r:id="rId2"/>
    <sheet name="RX" sheetId="2" state="visible" r:id="rId3"/>
    <sheet name="d932DI_ref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<sst xmlns="http://schemas.openxmlformats.org/spreadsheetml/2006/main" count="255" uniqueCount="62">
  <si>
    <t xml:space="preserve">DI margin, %</t>
  </si>
  <si>
    <t xml:space="preserve">Linear summation of PLL 2.5% with RSS of MC clktree+lcdl</t>
  </si>
  <si>
    <t xml:space="preserve">PCLK</t>
  </si>
  <si>
    <t xml:space="preserve">TXCLK</t>
  </si>
  <si>
    <t xml:space="preserve">Project</t>
  </si>
  <si>
    <t xml:space="preserve">Period of operation,ps</t>
  </si>
  <si>
    <t xml:space="preserve">Corner</t>
  </si>
  <si>
    <t xml:space="preserve">Total pulse width degradation allowed, ps</t>
  </si>
  <si>
    <t xml:space="preserve">PLL 2.5% + RSS( PLL 2.5% + Clocktree monte), ps</t>
  </si>
  <si>
    <t xml:space="preserve">Aging PWD Budget limit, ps</t>
  </si>
  <si>
    <t xml:space="preserve">Minimum PW at Input, ps</t>
  </si>
  <si>
    <t xml:space="preserve">% DCD budget for Aging clktree</t>
  </si>
  <si>
    <t xml:space="preserve">% DCD budget for Aging clktree+lcdl( add 2% DI margin)</t>
  </si>
  <si>
    <t xml:space="preserve">Positive Pulse Margin, ps</t>
  </si>
  <si>
    <t xml:space="preserve">DI Corner</t>
  </si>
  <si>
    <t xml:space="preserve">PLL 2.5% + RSS (Clocktree+LCDL monte+2.5% PLL), ps</t>
  </si>
  <si>
    <t xml:space="preserve">% DCD budget for Aging clktree+lcdl</t>
  </si>
  <si>
    <t xml:space="preserve">Positive Pulse Margin,ps</t>
  </si>
  <si>
    <t xml:space="preserve">D9320p75 Low</t>
  </si>
  <si>
    <t xml:space="preserve">ssg0p675v125c_cworst_CCworst_max</t>
  </si>
  <si>
    <t xml:space="preserve">ssg0p675v125c_rcworst_CCworst_max</t>
  </si>
  <si>
    <t xml:space="preserve">ssg0p675vn40c_rcbest_CCbest_min</t>
  </si>
  <si>
    <t xml:space="preserve">ssg0p675vn40c_cbest_CCbest_max</t>
  </si>
  <si>
    <t xml:space="preserve">D9320p75 High</t>
  </si>
  <si>
    <t xml:space="preserve">ssg0p675v125c_rcbest_CCbest_min</t>
  </si>
  <si>
    <t xml:space="preserve">ssg0p675vn40c_cworst_CCworst_max</t>
  </si>
  <si>
    <t xml:space="preserve">ssg0p675vn40c_cworst_CCworst_min</t>
  </si>
  <si>
    <t xml:space="preserve">3733MHz scaled from </t>
  </si>
  <si>
    <t xml:space="preserve">D9320p65 Low</t>
  </si>
  <si>
    <t xml:space="preserve">ssgnp0p585v125c_cbest_CCbest_max</t>
  </si>
  <si>
    <t xml:space="preserve">ssgnp0p585v125c_cbest_CCbest_min</t>
  </si>
  <si>
    <t xml:space="preserve">4267MHz</t>
  </si>
  <si>
    <t xml:space="preserve">ssgnp0p585vn40c_rcworst_CCworst_min</t>
  </si>
  <si>
    <t xml:space="preserve">ssgnp0p585vn40c_rcbest_CCbest_max</t>
  </si>
  <si>
    <t xml:space="preserve">add DI SLACK by 26.7pS</t>
  </si>
  <si>
    <t xml:space="preserve">D9320p65 High</t>
  </si>
  <si>
    <t xml:space="preserve">ssgnp0p585v125c_cworst_CCworst_max</t>
  </si>
  <si>
    <t xml:space="preserve">ssgnp0p585v125c_rcworst_CCworst_min</t>
  </si>
  <si>
    <t xml:space="preserve">ssgnp0p585vn40c_cworst_CCworst_min</t>
  </si>
  <si>
    <t xml:space="preserve">ssgnp0p585vn40c_cworst_CCworst_max</t>
  </si>
  <si>
    <t xml:space="preserve">D9320p6 Low</t>
  </si>
  <si>
    <t xml:space="preserve">ssgnp0p54v125c_cworst_CCworst_min</t>
  </si>
  <si>
    <t xml:space="preserve">ssgnp0p54v125c_cbest_CCbest_max</t>
  </si>
  <si>
    <t xml:space="preserve">ssgnp0p54vn40c_rcworst_CCworst_min</t>
  </si>
  <si>
    <t xml:space="preserve">ssgnp0p54vn40c_cworst_CCworst_max</t>
  </si>
  <si>
    <t xml:space="preserve">D9320p6 High</t>
  </si>
  <si>
    <t xml:space="preserve">ssgnp0p54v125c_cworst_CCworst_max</t>
  </si>
  <si>
    <t xml:space="preserve">ssgnp0p54vn40c_rcbest_CCbest_max</t>
  </si>
  <si>
    <t xml:space="preserve">Linear summation of DRAM 5% with RSS of MC rxclk</t>
  </si>
  <si>
    <t xml:space="preserve">rxclk_outdi</t>
  </si>
  <si>
    <t xml:space="preserve">rxclk_dqrxflop</t>
  </si>
  <si>
    <t xml:space="preserve">DRAM 7% + RSS( DRAM 7% + rxclk_outdi monte), ps</t>
  </si>
  <si>
    <t xml:space="preserve">DRAM 7% + RSS (rxclk_dqrxflop monte+7% DRAM), ps</t>
  </si>
  <si>
    <t xml:space="preserve">D932rx0p75 Low</t>
  </si>
  <si>
    <t xml:space="preserve">D932rx0p75 High</t>
  </si>
  <si>
    <t xml:space="preserve">ssg0p675v125c_cbest_CCbest_min</t>
  </si>
  <si>
    <t xml:space="preserve">Add 26.7ps to DI SLACK</t>
  </si>
  <si>
    <t xml:space="preserve">ssgnp0p585v125c_cworst_CCworst_min</t>
  </si>
  <si>
    <t xml:space="preserve">ssgnp0p585vn40c_rcbest_CCbest_min</t>
  </si>
  <si>
    <t xml:space="preserve">ssgnp0p585v125c_rcbest_CCbest_min</t>
  </si>
  <si>
    <t xml:space="preserve">ssgnp0p54v125c_cbest_CCbest_min</t>
  </si>
  <si>
    <t xml:space="preserve">ssgnp0p54vn40c_cworst_CCworst_min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</si>
</sst>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9D18E"/>
        <bgColor rgb="FF99CCFF"/>
      </patternFill>
    </fill>
    <fill>
      <patternFill patternType="solid">
        <fgColor rgb="FFDAE3F3"/>
        <bgColor rgb="FFCCFF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PCLK_DDR5410" displayName="PCLK_DDR5410" ref="E9:N26" headerRowCount="1" totalsRowCount="0" totalsRowShown="0">
  <autoFilter ref="E9:N26"/>
  <tableColumns count="10">
    <tableColumn id="1" name="Project"/>
    <tableColumn id="2" name="Period of operation,ps"/>
    <tableColumn id="3" name="Corner"/>
    <tableColumn id="4" name="Total pulse width degradation allowed, ps"/>
    <tableColumn id="5" name="PLL 2.5% + RSS( PLL 2.5% + Clocktree monte), ps"/>
    <tableColumn id="6" name="Aging PWD Budget limit, ps"/>
    <tableColumn id="7" name="Minimum PW at Input, ps"/>
    <tableColumn id="8" name="% DCD budget for Aging clktree"/>
    <tableColumn id="9" name="% DCD budget for Aging clktree+lcdl( add 2% DI margin)"/>
    <tableColumn id="10" name="Positive Pulse Margin, ps"/>
  </tableColumns>
</table>
</file>

<file path=xl/tables/table2.xml><?xml version="1.0" encoding="utf-8"?>
<table xmlns="http://schemas.openxmlformats.org/spreadsheetml/2006/main" id="2" name="PCLK_DDR54106" displayName="PCLK_DDR54106" ref="E9:N22" headerRowCount="1" totalsRowCount="0" totalsRowShown="0">
  <autoFilter ref="E9:N22"/>
  <tableColumns count="10">
    <tableColumn id="1" name="Project"/>
    <tableColumn id="2" name="Period of operation,ps"/>
    <tableColumn id="3" name="Corner"/>
    <tableColumn id="4" name="Total pulse width degradation allowed, ps"/>
    <tableColumn id="5" name="DRAM 7% + RSS( DRAM 7% + rxclk_outdi monte), ps"/>
    <tableColumn id="6" name="Aging PWD Budget limit, ps"/>
    <tableColumn id="7" name="Minimum PW at Input, ps"/>
    <tableColumn id="8" name="% DCD budget for Aging clktree"/>
    <tableColumn id="9" name="% DCD budget for Aging clktree+lcdl( add 2% DI margin)"/>
    <tableColumn id="10" name="Positive Pulse Margin, ps"/>
  </tableColumns>
</table>
</file>

<file path=xl/tables/table3.xml><?xml version="1.0" encoding="utf-8"?>
<table xmlns="http://schemas.openxmlformats.org/spreadsheetml/2006/main" id="3" name="TXCLK_DDR5411" displayName="TXCLK_DDR5411" ref="O9:X26" headerRowCount="1" totalsRowCount="0" totalsRowShown="0">
  <autoFilter ref="O9:X26"/>
  <tableColumns count="10">
    <tableColumn id="1" name="Project"/>
    <tableColumn id="2" name="Period of operation,ps"/>
    <tableColumn id="3" name="DI Corner"/>
    <tableColumn id="4" name="Total pulse width degradation allowed, ps"/>
    <tableColumn id="5" name="PLL 2.5% + RSS (Clocktree+LCDL monte+2.5% PLL), ps"/>
    <tableColumn id="6" name="Aging PWD Budget limit, ps"/>
    <tableColumn id="7" name="Minimum PW at Input, ps"/>
    <tableColumn id="8" name="% DCD budget for Aging clktree+lcdl"/>
    <tableColumn id="9" name="% DCD budget for Aging clktree+lcdl( add 2% DI margin)"/>
    <tableColumn id="10" name="Positive Pulse Margin,ps"/>
  </tableColumns>
</table>
</file>

<file path=xl/tables/table4.xml><?xml version="1.0" encoding="utf-8"?>
<table xmlns="http://schemas.openxmlformats.org/spreadsheetml/2006/main" id="4" name="TXCLK_DDR54117" displayName="TXCLK_DDR54117" ref="O9:X22" headerRowCount="1" totalsRowCount="0" totalsRowShown="0">
  <autoFilter ref="O9:X22"/>
  <tableColumns count="10">
    <tableColumn id="1" name="Project"/>
    <tableColumn id="2" name="Period of operation,ps"/>
    <tableColumn id="3" name="DI Corner"/>
    <tableColumn id="4" name="Total pulse width degradation allowed, ps"/>
    <tableColumn id="5" name="DRAM 7% + RSS (rxclk_dqrxflop monte+7% DRAM), ps"/>
    <tableColumn id="6" name="Aging PWD Budget limit, ps"/>
    <tableColumn id="7" name="Minimum PW at Input, ps"/>
    <tableColumn id="8" name="% DCD budget for Aging clktree+lcdl"/>
    <tableColumn id="9" name="% DCD budget for Aging clktree+lcdl( add 2% DI margin)"/>
    <tableColumn id="10" name="Positive Pulse Margin,p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B1:Y1048576"/>
  <sheetViews>
    <sheetView showFormulas="false" showGridLines="true" showRowColHeaders="true" showZeros="true" rightToLeft="false" tabSelected="true" showOutlineSymbols="true" defaultGridColor="true" view="normal" topLeftCell="A4" colorId="64" zoomScale="80" zoomScaleNormal="80" zoomScalePageLayoutView="100" workbookViewId="0">
      <selection pane="topLeft" activeCell="A27" activeCellId="0" sqref="A27"/>
    </sheetView>
  </sheetViews>
  <sheetFormatPr defaultRowHeight="15" zeroHeight="false" outlineLevelRow="0" outlineLevelCol="0"/>
  <cols>
    <col collapsed="false" customWidth="true" hidden="false" outlineLevel="0" max="4" min="1" style="1" width="9"/>
    <col collapsed="false" customWidth="true" hidden="false" outlineLevel="0" max="5" min="5" style="1" width="14.57"/>
    <col collapsed="false" customWidth="true" hidden="false" outlineLevel="0" max="6" min="6" style="1" width="22.01"/>
    <col collapsed="false" customWidth="true" hidden="false" outlineLevel="0" max="7" min="7" style="1" width="34.71"/>
    <col collapsed="false" customWidth="true" hidden="false" outlineLevel="0" max="8" min="8" style="1" width="38.57"/>
    <col collapsed="false" customWidth="true" hidden="false" outlineLevel="0" max="9" min="9" style="1" width="44"/>
    <col collapsed="false" customWidth="true" hidden="false" outlineLevel="0" max="10" min="10" style="1" width="26.13"/>
    <col collapsed="false" customWidth="true" hidden="false" outlineLevel="0" max="11" min="11" style="1" width="25"/>
    <col collapsed="false" customWidth="true" hidden="false" outlineLevel="0" max="12" min="12" style="1" width="31.01"/>
    <col collapsed="false" customWidth="true" hidden="false" outlineLevel="0" max="13" min="13" style="1" width="52.58"/>
    <col collapsed="false" customWidth="true" hidden="false" outlineLevel="0" max="14" min="14" style="1" width="21.14"/>
    <col collapsed="false" customWidth="true" hidden="false" outlineLevel="0" max="15" min="15" style="1" width="14.57"/>
    <col collapsed="false" customWidth="true" hidden="false" outlineLevel="0" max="16" min="16" style="1" width="22.01"/>
    <col collapsed="false" customWidth="true" hidden="false" outlineLevel="0" max="17" min="17" style="1" width="36.14"/>
    <col collapsed="false" customWidth="true" hidden="false" outlineLevel="0" max="18" min="18" style="1" width="38.57"/>
    <col collapsed="false" customWidth="true" hidden="false" outlineLevel="0" max="19" min="19" style="1" width="48.15"/>
    <col collapsed="false" customWidth="true" hidden="false" outlineLevel="0" max="20" min="20" style="1" width="26.13"/>
    <col collapsed="false" customWidth="true" hidden="false" outlineLevel="0" max="21" min="21" style="1" width="25"/>
    <col collapsed="false" customWidth="true" hidden="false" outlineLevel="0" max="22" min="22" style="1" width="35.29"/>
    <col collapsed="false" customWidth="true" hidden="false" outlineLevel="0" max="23" min="23" style="1" width="52.58"/>
    <col collapsed="false" customWidth="true" hidden="false" outlineLevel="0" max="24" min="24" style="1" width="25"/>
    <col collapsed="false" customWidth="true" hidden="false" outlineLevel="0" max="26" min="25" style="1" width="9"/>
    <col collapsed="false" customWidth="true" hidden="false" outlineLevel="0" max="1025" min="27" style="1" width="8.67"/>
  </cols>
  <sheetData>
    <row r="1" customFormat="false" ht="15" hidden="false" customHeight="true" outlineLevel="0" collapsed="false">
      <c r="H1" s="2" t="s">
        <v>0</v>
      </c>
      <c r="I1" s="2" t="n">
        <v>2</v>
      </c>
    </row>
    <row r="2" customFormat="false" ht="15" hidden="false" customHeight="true" outlineLevel="0" collapsed="false">
      <c r="S2" s="1" t="s">
        <v>1</v>
      </c>
    </row>
    <row r="8" customFormat="false" ht="15" hidden="false" customHeight="true" outlineLevel="0" collapsed="false">
      <c r="E8" s="3" t="s">
        <v>2</v>
      </c>
      <c r="O8" s="3" t="s">
        <v>3</v>
      </c>
    </row>
    <row r="9" customFormat="false" ht="61.9" hidden="false" customHeight="true" outlineLevel="0" collapsed="false">
      <c r="E9" s="4" t="s">
        <v>4</v>
      </c>
      <c r="F9" s="5" t="s">
        <v>5</v>
      </c>
      <c r="G9" s="5" t="s">
        <v>6</v>
      </c>
      <c r="H9" s="5" t="s">
        <v>7</v>
      </c>
      <c r="I9" s="5" t="s">
        <v>8</v>
      </c>
      <c r="J9" s="6" t="s">
        <v>9</v>
      </c>
      <c r="K9" s="6" t="s">
        <v>10</v>
      </c>
      <c r="L9" s="7" t="s">
        <v>11</v>
      </c>
      <c r="M9" s="8" t="s">
        <v>12</v>
      </c>
      <c r="N9" s="9" t="s">
        <v>13</v>
      </c>
      <c r="O9" s="4" t="s">
        <v>4</v>
      </c>
      <c r="P9" s="5" t="s">
        <v>5</v>
      </c>
      <c r="Q9" s="5" t="s">
        <v>14</v>
      </c>
      <c r="R9" s="5" t="s">
        <v>7</v>
      </c>
      <c r="S9" s="5" t="s">
        <v>15</v>
      </c>
      <c r="T9" s="6" t="s">
        <v>9</v>
      </c>
      <c r="U9" s="6" t="s">
        <v>10</v>
      </c>
      <c r="V9" s="7" t="s">
        <v>16</v>
      </c>
      <c r="W9" s="8" t="s">
        <v>12</v>
      </c>
      <c r="X9" s="9" t="s">
        <v>17</v>
      </c>
    </row>
    <row r="10" customFormat="false" ht="15.6" hidden="false" customHeight="true" outlineLevel="0" collapsed="false">
      <c r="D10" s="3"/>
      <c r="E10" s="10"/>
      <c r="F10" s="11"/>
      <c r="G10" s="11"/>
      <c r="H10" s="11"/>
      <c r="I10" s="12"/>
      <c r="J10" s="13"/>
      <c r="K10" s="13"/>
      <c r="L10" s="13"/>
      <c r="M10" s="14"/>
      <c r="N10" s="12"/>
      <c r="O10" s="15"/>
      <c r="P10" s="16"/>
      <c r="Q10" s="16"/>
      <c r="R10" s="16"/>
      <c r="S10" s="17"/>
      <c r="T10" s="17"/>
      <c r="U10" s="17"/>
      <c r="V10" s="17"/>
      <c r="W10" s="18"/>
      <c r="X10" s="14"/>
      <c r="Y10" s="19"/>
    </row>
    <row r="11" customFormat="false" ht="15.6" hidden="false" customHeight="true" outlineLevel="0" collapsed="false">
      <c r="E11" s="20" t="s">
        <v>18</v>
      </c>
      <c r="F11" s="1" t="n">
        <v>234</v>
      </c>
      <c r="G11" s="1" t="s">
        <v>19</v>
      </c>
      <c r="H11" s="1" t="n">
        <v>69.2199999999999</v>
      </c>
      <c r="I11" s="21" t="n">
        <v>13.19</v>
      </c>
      <c r="J11" s="19" t="n">
        <v>56.03</v>
      </c>
      <c r="K11" s="19" t="n">
        <v>103.81</v>
      </c>
      <c r="L11" s="19" t="n">
        <v>23.95</v>
      </c>
      <c r="M11" s="19" t="n">
        <v>21.95</v>
      </c>
      <c r="N11" s="19"/>
      <c r="O11" s="22" t="s">
        <v>18</v>
      </c>
      <c r="P11" s="1" t="n">
        <v>233.999999999999</v>
      </c>
      <c r="Q11" s="1" t="s">
        <v>20</v>
      </c>
      <c r="R11" s="1" t="n">
        <v>86.74</v>
      </c>
      <c r="S11" s="19" t="n">
        <v>18.96</v>
      </c>
      <c r="T11" s="19" t="n">
        <v>67.78</v>
      </c>
      <c r="U11" s="19" t="n">
        <v>98.04</v>
      </c>
      <c r="V11" s="19" t="n">
        <v>28.97</v>
      </c>
      <c r="W11" s="19" t="n">
        <v>26.97</v>
      </c>
      <c r="X11" s="19"/>
    </row>
    <row r="12" customFormat="false" ht="14.45" hidden="false" customHeight="true" outlineLevel="0" collapsed="false">
      <c r="E12" s="20" t="s">
        <v>18</v>
      </c>
      <c r="F12" s="1" t="n">
        <v>234</v>
      </c>
      <c r="G12" s="1" t="s">
        <v>21</v>
      </c>
      <c r="H12" s="1" t="n">
        <v>69.45</v>
      </c>
      <c r="I12" s="21" t="n">
        <v>13.4</v>
      </c>
      <c r="J12" s="19" t="n">
        <v>56.05</v>
      </c>
      <c r="K12" s="19" t="n">
        <v>103.6</v>
      </c>
      <c r="L12" s="19" t="n">
        <v>23.95</v>
      </c>
      <c r="M12" s="19" t="n">
        <v>21.95</v>
      </c>
      <c r="N12" s="19"/>
      <c r="O12" s="22" t="s">
        <v>18</v>
      </c>
      <c r="P12" s="1" t="n">
        <v>233.999999999999</v>
      </c>
      <c r="Q12" s="1" t="s">
        <v>22</v>
      </c>
      <c r="R12" s="1" t="n">
        <v>85.4</v>
      </c>
      <c r="S12" s="21" t="n">
        <v>19.94</v>
      </c>
      <c r="T12" s="19" t="n">
        <v>65.46</v>
      </c>
      <c r="U12" s="19" t="n">
        <v>97.06</v>
      </c>
      <c r="V12" s="19" t="n">
        <v>27.97</v>
      </c>
      <c r="W12" s="19" t="n">
        <v>25.97</v>
      </c>
      <c r="X12" s="19"/>
    </row>
    <row r="13" customFormat="false" ht="14.45" hidden="false" customHeight="true" outlineLevel="0" collapsed="false">
      <c r="E13" s="20" t="s">
        <v>23</v>
      </c>
      <c r="F13" s="1" t="n">
        <v>233.999999999999</v>
      </c>
      <c r="G13" s="1" t="s">
        <v>24</v>
      </c>
      <c r="H13" s="1" t="n">
        <v>82.32</v>
      </c>
      <c r="I13" s="21" t="n">
        <v>13.19</v>
      </c>
      <c r="J13" s="19" t="n">
        <v>69.13</v>
      </c>
      <c r="K13" s="19" t="n">
        <v>103.81</v>
      </c>
      <c r="L13" s="19" t="n">
        <v>29.54</v>
      </c>
      <c r="M13" s="19" t="n">
        <v>27.54</v>
      </c>
      <c r="N13" s="19" t="n">
        <v>61.72</v>
      </c>
      <c r="O13" s="22" t="s">
        <v>23</v>
      </c>
      <c r="P13" s="1" t="n">
        <v>234</v>
      </c>
      <c r="Q13" s="1" t="s">
        <v>20</v>
      </c>
      <c r="R13" s="1" t="n">
        <v>89.82</v>
      </c>
      <c r="S13" s="21" t="n">
        <v>18.96</v>
      </c>
      <c r="T13" s="19" t="n">
        <v>70.86</v>
      </c>
      <c r="U13" s="19" t="n">
        <v>98.04</v>
      </c>
      <c r="V13" s="19" t="n">
        <v>30.28</v>
      </c>
      <c r="W13" s="19" t="n">
        <v>28.28</v>
      </c>
      <c r="X13" s="19" t="n">
        <v>60.66</v>
      </c>
    </row>
    <row r="14" customFormat="false" ht="14.45" hidden="false" customHeight="true" outlineLevel="0" collapsed="false">
      <c r="E14" s="20" t="s">
        <v>23</v>
      </c>
      <c r="F14" s="1" t="n">
        <v>234</v>
      </c>
      <c r="G14" s="1" t="s">
        <v>25</v>
      </c>
      <c r="H14" s="1" t="n">
        <v>75.1899999999999</v>
      </c>
      <c r="I14" s="21" t="n">
        <v>13.4</v>
      </c>
      <c r="J14" s="19" t="n">
        <v>61.79</v>
      </c>
      <c r="K14" s="19" t="n">
        <v>103.6</v>
      </c>
      <c r="L14" s="19" t="n">
        <v>26.4</v>
      </c>
      <c r="M14" s="19" t="n">
        <v>24.4</v>
      </c>
      <c r="N14" s="19" t="n">
        <v>55.1</v>
      </c>
      <c r="O14" s="22" t="s">
        <v>23</v>
      </c>
      <c r="P14" s="1" t="n">
        <v>233.999999999999</v>
      </c>
      <c r="Q14" s="1" t="s">
        <v>26</v>
      </c>
      <c r="R14" s="1" t="n">
        <v>95.67</v>
      </c>
      <c r="S14" s="21" t="n">
        <v>19.94</v>
      </c>
      <c r="T14" s="19" t="n">
        <v>75.73</v>
      </c>
      <c r="U14" s="19" t="n">
        <v>97.06</v>
      </c>
      <c r="V14" s="19" t="n">
        <v>32.36</v>
      </c>
      <c r="W14" s="19" t="n">
        <v>30.36</v>
      </c>
      <c r="X14" s="19" t="n">
        <v>65.54</v>
      </c>
    </row>
    <row r="15" customFormat="false" ht="14.45" hidden="false" customHeight="true" outlineLevel="0" collapsed="false">
      <c r="B15" s="1" t="s">
        <v>27</v>
      </c>
      <c r="E15" s="22" t="s">
        <v>28</v>
      </c>
      <c r="F15" s="1" t="n">
        <v>534</v>
      </c>
      <c r="G15" s="1" t="s">
        <v>29</v>
      </c>
      <c r="H15" s="1" t="n">
        <f aca="false">174.989999999999+26.7</f>
        <v>201.689999999999</v>
      </c>
      <c r="I15" s="23" t="n">
        <f aca="false">2.5*F15/100+SQRT(6.55*6.55+((2.5*F15/100)*(2.5*F15/100)))</f>
        <v>28.220272357963</v>
      </c>
      <c r="J15" s="24" t="n">
        <f aca="false">H15-I15</f>
        <v>173.469727642036</v>
      </c>
      <c r="K15" s="24" t="n">
        <f aca="false">F15/2-I15</f>
        <v>238.779727642037</v>
      </c>
      <c r="L15" s="24" t="n">
        <f aca="false">(H15-I15)*100/F15</f>
        <v>32.4849677232277</v>
      </c>
      <c r="M15" s="24" t="n">
        <f aca="false">L15-$I$1</f>
        <v>30.4849677232277</v>
      </c>
      <c r="N15" s="19"/>
      <c r="O15" s="22" t="s">
        <v>28</v>
      </c>
      <c r="P15" s="1" t="n">
        <v>534</v>
      </c>
      <c r="Q15" s="1" t="s">
        <v>30</v>
      </c>
      <c r="R15" s="1" t="n">
        <f aca="false">192.77+26.7</f>
        <v>219.47</v>
      </c>
      <c r="S15" s="23" t="n">
        <f aca="false">(2.5*P15/100)+SQRT((29.84*29.84)+((2.5*P15/100)*(2.5*P15/100)))</f>
        <v>46.0401835418524</v>
      </c>
      <c r="T15" s="24" t="n">
        <f aca="false">R15-S15</f>
        <v>173.429816458148</v>
      </c>
      <c r="U15" s="24" t="n">
        <f aca="false">P15/2-S15</f>
        <v>220.959816458148</v>
      </c>
      <c r="V15" s="24" t="n">
        <f aca="false">(R15-S15)*100/P15</f>
        <v>32.4774937187542</v>
      </c>
      <c r="W15" s="24" t="n">
        <f aca="false">V15-$I$1</f>
        <v>30.4774937187542</v>
      </c>
      <c r="X15" s="19"/>
    </row>
    <row r="16" customFormat="false" ht="14.45" hidden="false" customHeight="true" outlineLevel="0" collapsed="false">
      <c r="B16" s="1" t="s">
        <v>31</v>
      </c>
      <c r="E16" s="22" t="s">
        <v>28</v>
      </c>
      <c r="F16" s="1" t="n">
        <v>534</v>
      </c>
      <c r="G16" s="1" t="s">
        <v>32</v>
      </c>
      <c r="H16" s="1" t="n">
        <f aca="false">162.67+26.7</f>
        <v>189.37</v>
      </c>
      <c r="I16" s="23" t="n">
        <f aca="false">2.5*F16/100+SQRT(8.66*8.66+((2.5*F16/100)*(2.5*F16/100)))</f>
        <v>29.2628281584387</v>
      </c>
      <c r="J16" s="24" t="n">
        <f aca="false">H16-I16</f>
        <v>160.107171841561</v>
      </c>
      <c r="K16" s="24" t="n">
        <f aca="false">F16/2-I16</f>
        <v>237.737171841561</v>
      </c>
      <c r="L16" s="24" t="n">
        <f aca="false">(H16-I16)*100/F16</f>
        <v>29.9826164497306</v>
      </c>
      <c r="M16" s="24" t="n">
        <f aca="false">L16-$I$1</f>
        <v>27.9826164497306</v>
      </c>
      <c r="N16" s="21"/>
      <c r="O16" s="22" t="s">
        <v>28</v>
      </c>
      <c r="P16" s="1" t="n">
        <v>534</v>
      </c>
      <c r="Q16" s="1" t="s">
        <v>33</v>
      </c>
      <c r="R16" s="1" t="n">
        <f aca="false">186.409999999999+26.7</f>
        <v>213.109999999999</v>
      </c>
      <c r="S16" s="23" t="n">
        <f aca="false">(2.5*P16/100)+SQRT((21.61*21.61)+((2.5*P16/100)*(2.5*P16/100)))</f>
        <v>38.7510747804104</v>
      </c>
      <c r="T16" s="24" t="n">
        <f aca="false">R16-S16</f>
        <v>174.358925219589</v>
      </c>
      <c r="U16" s="24" t="n">
        <f aca="false">P16/2-S16</f>
        <v>228.24892521959</v>
      </c>
      <c r="V16" s="24" t="n">
        <f aca="false">(R16-S16)*100/P16</f>
        <v>32.6514841235185</v>
      </c>
      <c r="W16" s="24" t="n">
        <f aca="false">V16-$I$1</f>
        <v>30.6514841235185</v>
      </c>
      <c r="X16" s="19"/>
    </row>
    <row r="17" customFormat="false" ht="14.45" hidden="false" customHeight="true" outlineLevel="0" collapsed="false">
      <c r="B17" s="1" t="s">
        <v>34</v>
      </c>
      <c r="E17" s="22" t="s">
        <v>35</v>
      </c>
      <c r="F17" s="1" t="n">
        <v>534</v>
      </c>
      <c r="G17" s="1" t="s">
        <v>36</v>
      </c>
      <c r="H17" s="1" t="n">
        <f aca="false">177.029999999999+26.7</f>
        <v>203.729999999999</v>
      </c>
      <c r="I17" s="23" t="n">
        <f aca="false">2.5*F17/100+SQRT(6.55*6.55+((2.5*F17/100)*(2.5*F17/100)))</f>
        <v>28.220272357963</v>
      </c>
      <c r="J17" s="24" t="n">
        <f aca="false">H17-I17</f>
        <v>175.509727642036</v>
      </c>
      <c r="K17" s="24" t="n">
        <f aca="false">F17/2-I17</f>
        <v>238.779727642037</v>
      </c>
      <c r="L17" s="24" t="n">
        <f aca="false">(H17-I17)*100/F17</f>
        <v>32.8669901951378</v>
      </c>
      <c r="M17" s="24" t="n">
        <f aca="false">L17-$I$1</f>
        <v>30.8669901951378</v>
      </c>
      <c r="N17" s="25" t="n">
        <f aca="false">229.1-(F17/2-H17)</f>
        <v>165.829999999999</v>
      </c>
      <c r="O17" s="22" t="s">
        <v>35</v>
      </c>
      <c r="P17" s="1" t="n">
        <v>534</v>
      </c>
      <c r="Q17" s="1" t="s">
        <v>37</v>
      </c>
      <c r="R17" s="1" t="n">
        <f aca="false">210.18+26.7</f>
        <v>236.88</v>
      </c>
      <c r="S17" s="23" t="n">
        <f aca="false">(2.5*P17/100)+SQRT((29.84*29.84)+((2.5*P17/100)*(2.5*P17/100)))</f>
        <v>46.0401835418524</v>
      </c>
      <c r="T17" s="24" t="n">
        <f aca="false">R17-S17</f>
        <v>190.839816458148</v>
      </c>
      <c r="U17" s="24" t="n">
        <f aca="false">P17/2-S17</f>
        <v>220.959816458148</v>
      </c>
      <c r="V17" s="24" t="n">
        <f aca="false">(R17-S17)*100/P17</f>
        <v>35.7377933442224</v>
      </c>
      <c r="W17" s="24" t="n">
        <f aca="false">V17-$I$1</f>
        <v>33.7377933442224</v>
      </c>
      <c r="X17" s="25" t="n">
        <f aca="false">209-(P17/2-R17)</f>
        <v>178.88</v>
      </c>
    </row>
    <row r="18" customFormat="false" ht="15.6" hidden="false" customHeight="true" outlineLevel="0" collapsed="false">
      <c r="E18" s="22" t="s">
        <v>35</v>
      </c>
      <c r="F18" s="1" t="n">
        <v>534</v>
      </c>
      <c r="G18" s="1" t="s">
        <v>38</v>
      </c>
      <c r="H18" s="1" t="n">
        <f aca="false">158.23+26.7</f>
        <v>184.93</v>
      </c>
      <c r="I18" s="23" t="n">
        <f aca="false">2.5*F18/100+SQRT(8.66*8.66+((2.5*F18/100)*(2.5*F18/100)))</f>
        <v>29.2628281584387</v>
      </c>
      <c r="J18" s="24" t="n">
        <f aca="false">H18-I18</f>
        <v>155.667171841561</v>
      </c>
      <c r="K18" s="24" t="n">
        <f aca="false">F18/2-I18</f>
        <v>237.737171841561</v>
      </c>
      <c r="L18" s="24" t="n">
        <f aca="false">(H18-I18)*100/F18</f>
        <v>29.1511557755733</v>
      </c>
      <c r="M18" s="24" t="n">
        <f aca="false">L18-$I$1</f>
        <v>27.1511557755733</v>
      </c>
      <c r="N18" s="25" t="n">
        <f aca="false">221.7-(F18/2-H18)</f>
        <v>139.63</v>
      </c>
      <c r="O18" s="22" t="s">
        <v>35</v>
      </c>
      <c r="P18" s="1" t="n">
        <v>534</v>
      </c>
      <c r="Q18" s="1" t="s">
        <v>39</v>
      </c>
      <c r="R18" s="1" t="n">
        <f aca="false">206.63+26.7</f>
        <v>233.33</v>
      </c>
      <c r="S18" s="23" t="n">
        <f aca="false">(2.5*P18/100)+SQRT((21.61*21.61)+((2.5*P18/100)*(2.5*P18/100)))</f>
        <v>38.7510747804104</v>
      </c>
      <c r="T18" s="24" t="n">
        <f aca="false">R18-S18</f>
        <v>194.57892521959</v>
      </c>
      <c r="U18" s="24" t="n">
        <f aca="false">P18/2-S18</f>
        <v>228.24892521959</v>
      </c>
      <c r="V18" s="24" t="n">
        <f aca="false">(R18-S18)*100/P18</f>
        <v>36.4380009774512</v>
      </c>
      <c r="W18" s="24" t="n">
        <f aca="false">V18-$I$1</f>
        <v>34.4380009774512</v>
      </c>
      <c r="X18" s="25" t="n">
        <f aca="false">199.7-(P18/2-R18)</f>
        <v>166.03</v>
      </c>
    </row>
    <row r="19" customFormat="false" ht="15.6" hidden="false" customHeight="true" outlineLevel="0" collapsed="false">
      <c r="E19" s="22" t="s">
        <v>40</v>
      </c>
      <c r="F19" s="1" t="n">
        <v>936</v>
      </c>
      <c r="G19" s="1" t="s">
        <v>41</v>
      </c>
      <c r="H19" s="1" t="n">
        <v>416.609999999999</v>
      </c>
      <c r="I19" s="21" t="n">
        <v>48.28</v>
      </c>
      <c r="J19" s="19" t="n">
        <v>368.33</v>
      </c>
      <c r="K19" s="19" t="n">
        <v>419.72</v>
      </c>
      <c r="L19" s="19" t="n">
        <v>39.35</v>
      </c>
      <c r="M19" s="19" t="n">
        <v>37.35</v>
      </c>
      <c r="N19" s="19"/>
      <c r="O19" s="22" t="s">
        <v>40</v>
      </c>
      <c r="P19" s="1" t="n">
        <v>935.999999999999</v>
      </c>
      <c r="Q19" s="1" t="s">
        <v>42</v>
      </c>
      <c r="R19" s="1" t="n">
        <v>416.73</v>
      </c>
      <c r="S19" s="21" t="n">
        <v>62.36</v>
      </c>
      <c r="T19" s="19" t="n">
        <v>354.37</v>
      </c>
      <c r="U19" s="19" t="n">
        <v>405.64</v>
      </c>
      <c r="V19" s="19" t="n">
        <v>37.86</v>
      </c>
      <c r="W19" s="19" t="n">
        <v>35.86</v>
      </c>
      <c r="X19" s="19"/>
    </row>
    <row r="20" customFormat="false" ht="14.25" hidden="false" customHeight="true" outlineLevel="0" collapsed="false">
      <c r="D20" s="3"/>
      <c r="E20" s="22" t="s">
        <v>40</v>
      </c>
      <c r="F20" s="1" t="n">
        <v>935.999999999999</v>
      </c>
      <c r="G20" s="1" t="s">
        <v>43</v>
      </c>
      <c r="H20" s="1" t="n">
        <v>353.8</v>
      </c>
      <c r="I20" s="21" t="n">
        <v>50.32</v>
      </c>
      <c r="J20" s="19" t="n">
        <v>303.48</v>
      </c>
      <c r="K20" s="19" t="n">
        <v>417.68</v>
      </c>
      <c r="L20" s="19" t="n">
        <v>32.42</v>
      </c>
      <c r="M20" s="19" t="n">
        <v>30.42</v>
      </c>
      <c r="N20" s="21"/>
      <c r="O20" s="26" t="s">
        <v>40</v>
      </c>
      <c r="P20" s="1" t="n">
        <v>935.999999999999</v>
      </c>
      <c r="Q20" s="1" t="s">
        <v>44</v>
      </c>
      <c r="R20" s="1" t="n">
        <v>396.81</v>
      </c>
      <c r="S20" s="21" t="n">
        <v>80.57</v>
      </c>
      <c r="T20" s="19" t="n">
        <v>316.24</v>
      </c>
      <c r="U20" s="19" t="n">
        <v>387.43</v>
      </c>
      <c r="V20" s="19" t="n">
        <v>33.79</v>
      </c>
      <c r="W20" s="19" t="n">
        <v>31.79</v>
      </c>
      <c r="X20" s="19"/>
    </row>
    <row r="21" customFormat="false" ht="14.25" hidden="false" customHeight="true" outlineLevel="0" collapsed="false">
      <c r="E21" s="22" t="s">
        <v>45</v>
      </c>
      <c r="F21" s="27" t="n">
        <v>935.999999999999</v>
      </c>
      <c r="G21" s="1" t="s">
        <v>41</v>
      </c>
      <c r="H21" s="1" t="n">
        <v>402.66</v>
      </c>
      <c r="I21" s="21" t="n">
        <v>48.28</v>
      </c>
      <c r="J21" s="19" t="n">
        <v>354.38</v>
      </c>
      <c r="K21" s="19" t="n">
        <v>419.72</v>
      </c>
      <c r="L21" s="19" t="n">
        <v>37.86</v>
      </c>
      <c r="M21" s="19" t="n">
        <v>35.86</v>
      </c>
      <c r="N21" s="19" t="n">
        <v>342.17</v>
      </c>
      <c r="O21" s="26" t="s">
        <v>45</v>
      </c>
      <c r="P21" s="1" t="n">
        <v>936</v>
      </c>
      <c r="Q21" s="1" t="s">
        <v>46</v>
      </c>
      <c r="R21" s="1" t="n">
        <v>439.6</v>
      </c>
      <c r="S21" s="21" t="n">
        <v>62.36</v>
      </c>
      <c r="T21" s="19" t="n">
        <v>377.24</v>
      </c>
      <c r="U21" s="19" t="n">
        <v>405.64</v>
      </c>
      <c r="V21" s="19" t="n">
        <v>40.3</v>
      </c>
      <c r="W21" s="19" t="n">
        <v>38.3</v>
      </c>
      <c r="X21" s="19" t="n">
        <v>350.8</v>
      </c>
    </row>
    <row r="22" customFormat="false" ht="14.25" hidden="false" customHeight="true" outlineLevel="0" collapsed="false">
      <c r="E22" s="22" t="s">
        <v>45</v>
      </c>
      <c r="F22" s="27" t="n">
        <v>935.999999999999</v>
      </c>
      <c r="G22" s="1" t="s">
        <v>44</v>
      </c>
      <c r="H22" s="1" t="n">
        <v>346.7</v>
      </c>
      <c r="I22" s="21" t="n">
        <v>50.32</v>
      </c>
      <c r="J22" s="19" t="n">
        <v>296.38</v>
      </c>
      <c r="K22" s="19" t="n">
        <v>417.68</v>
      </c>
      <c r="L22" s="19" t="n">
        <v>31.66</v>
      </c>
      <c r="M22" s="19" t="n">
        <v>29.66</v>
      </c>
      <c r="N22" s="19" t="n">
        <v>282.61</v>
      </c>
      <c r="O22" s="22" t="s">
        <v>45</v>
      </c>
      <c r="P22" s="1" t="n">
        <v>936</v>
      </c>
      <c r="Q22" s="1" t="s">
        <v>47</v>
      </c>
      <c r="R22" s="1" t="n">
        <v>435.8</v>
      </c>
      <c r="S22" s="21" t="n">
        <v>80.57</v>
      </c>
      <c r="T22" s="19" t="n">
        <v>355.23</v>
      </c>
      <c r="U22" s="19" t="n">
        <v>387.43</v>
      </c>
      <c r="V22" s="19" t="n">
        <v>37.95</v>
      </c>
      <c r="W22" s="19" t="n">
        <v>35.95</v>
      </c>
      <c r="X22" s="19" t="n">
        <v>322.88</v>
      </c>
    </row>
    <row r="23" customFormat="false" ht="14.25" hidden="false" customHeight="true" outlineLevel="0" collapsed="false">
      <c r="E23" s="22" t="s">
        <v>28</v>
      </c>
      <c r="F23" s="1" t="n">
        <v>468</v>
      </c>
      <c r="G23" s="1" t="s">
        <v>29</v>
      </c>
      <c r="H23" s="1" t="n">
        <v>174.989999999999</v>
      </c>
      <c r="I23" s="23" t="n">
        <v>25.11</v>
      </c>
      <c r="J23" s="24" t="n">
        <v>149.88</v>
      </c>
      <c r="K23" s="24" t="n">
        <v>208.89</v>
      </c>
      <c r="L23" s="24" t="n">
        <v>32.03</v>
      </c>
      <c r="M23" s="24" t="n">
        <v>30.03</v>
      </c>
      <c r="N23" s="19"/>
      <c r="O23" s="22" t="s">
        <v>28</v>
      </c>
      <c r="P23" s="1" t="n">
        <v>467.999999999999</v>
      </c>
      <c r="Q23" s="1" t="s">
        <v>30</v>
      </c>
      <c r="R23" s="1" t="n">
        <v>192.77</v>
      </c>
      <c r="S23" s="23" t="n">
        <v>36.27</v>
      </c>
      <c r="T23" s="28" t="n">
        <v>156.5</v>
      </c>
      <c r="U23" s="28" t="n">
        <v>197.73</v>
      </c>
      <c r="V23" s="24" t="n">
        <v>33.44</v>
      </c>
      <c r="W23" s="24" t="n">
        <v>31.44</v>
      </c>
      <c r="X23" s="19"/>
    </row>
    <row r="24" customFormat="false" ht="14.25" hidden="false" customHeight="true" outlineLevel="0" collapsed="false">
      <c r="E24" s="22" t="s">
        <v>28</v>
      </c>
      <c r="F24" s="1" t="n">
        <v>467.999999999999</v>
      </c>
      <c r="G24" s="1" t="s">
        <v>32</v>
      </c>
      <c r="H24" s="1" t="n">
        <v>162.67</v>
      </c>
      <c r="I24" s="23" t="n">
        <v>26.26</v>
      </c>
      <c r="J24" s="24" t="n">
        <v>136.41</v>
      </c>
      <c r="K24" s="24" t="n">
        <v>207.74</v>
      </c>
      <c r="L24" s="24" t="n">
        <v>29.15</v>
      </c>
      <c r="M24" s="24" t="n">
        <v>27.15</v>
      </c>
      <c r="N24" s="21"/>
      <c r="O24" s="22" t="s">
        <v>28</v>
      </c>
      <c r="P24" s="1" t="n">
        <v>467.999999999999</v>
      </c>
      <c r="Q24" s="1" t="s">
        <v>33</v>
      </c>
      <c r="R24" s="1" t="n">
        <v>186.409999999999</v>
      </c>
      <c r="S24" s="23" t="n">
        <v>43.75</v>
      </c>
      <c r="T24" s="28" t="n">
        <v>142.66</v>
      </c>
      <c r="U24" s="28" t="n">
        <v>190.25</v>
      </c>
      <c r="V24" s="24" t="n">
        <v>30.48</v>
      </c>
      <c r="W24" s="24" t="n">
        <v>28.48</v>
      </c>
      <c r="X24" s="19"/>
    </row>
    <row r="25" customFormat="false" ht="14.25" hidden="false" customHeight="true" outlineLevel="0" collapsed="false">
      <c r="E25" s="22" t="s">
        <v>35</v>
      </c>
      <c r="F25" s="1" t="n">
        <v>468</v>
      </c>
      <c r="G25" s="1" t="s">
        <v>36</v>
      </c>
      <c r="H25" s="1" t="n">
        <v>177.029999999999</v>
      </c>
      <c r="I25" s="23" t="n">
        <v>25.11</v>
      </c>
      <c r="J25" s="24" t="n">
        <v>151.92</v>
      </c>
      <c r="K25" s="24" t="n">
        <v>208.89</v>
      </c>
      <c r="L25" s="24" t="n">
        <v>32.46</v>
      </c>
      <c r="M25" s="24" t="n">
        <v>30.46</v>
      </c>
      <c r="N25" s="25" t="n">
        <v>172.18</v>
      </c>
      <c r="O25" s="22" t="s">
        <v>35</v>
      </c>
      <c r="P25" s="1" t="n">
        <v>467.999999999999</v>
      </c>
      <c r="Q25" s="1" t="s">
        <v>37</v>
      </c>
      <c r="R25" s="1" t="n">
        <v>210.18</v>
      </c>
      <c r="S25" s="23" t="n">
        <v>36.27</v>
      </c>
      <c r="T25" s="28" t="n">
        <v>173.91</v>
      </c>
      <c r="U25" s="28" t="n">
        <v>197.73</v>
      </c>
      <c r="V25" s="24" t="n">
        <v>37.16</v>
      </c>
      <c r="W25" s="24" t="n">
        <v>35.16</v>
      </c>
      <c r="X25" s="25" t="n">
        <v>185.22</v>
      </c>
    </row>
    <row r="26" customFormat="false" ht="14.25" hidden="false" customHeight="true" outlineLevel="0" collapsed="false">
      <c r="E26" s="22" t="s">
        <v>35</v>
      </c>
      <c r="F26" s="1" t="n">
        <v>467.999999999999</v>
      </c>
      <c r="G26" s="1" t="s">
        <v>38</v>
      </c>
      <c r="H26" s="1" t="n">
        <v>158.23</v>
      </c>
      <c r="I26" s="23" t="n">
        <v>26.26</v>
      </c>
      <c r="J26" s="24" t="n">
        <v>131.97</v>
      </c>
      <c r="K26" s="24" t="n">
        <v>207.74</v>
      </c>
      <c r="L26" s="24" t="n">
        <v>28.2</v>
      </c>
      <c r="M26" s="24" t="n">
        <v>26.2</v>
      </c>
      <c r="N26" s="29" t="n">
        <v>151.95</v>
      </c>
      <c r="O26" s="22" t="s">
        <v>35</v>
      </c>
      <c r="P26" s="1" t="n">
        <v>468</v>
      </c>
      <c r="Q26" s="1" t="s">
        <v>39</v>
      </c>
      <c r="R26" s="1" t="n">
        <v>206.63</v>
      </c>
      <c r="S26" s="23" t="n">
        <v>43.75</v>
      </c>
      <c r="T26" s="28" t="n">
        <v>162.88</v>
      </c>
      <c r="U26" s="28" t="n">
        <v>190.25</v>
      </c>
      <c r="V26" s="24" t="n">
        <v>34.8</v>
      </c>
      <c r="W26" s="24" t="n">
        <v>32.8</v>
      </c>
      <c r="X26" s="29" t="n">
        <v>172.34</v>
      </c>
    </row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B1:Y1048576"/>
  <sheetViews>
    <sheetView showFormulas="false" showGridLines="true" showRowColHeaders="true" showZeros="true" rightToLeft="false" tabSelected="false" showOutlineSymbols="true" defaultGridColor="true" view="normal" topLeftCell="A4" colorId="64" zoomScale="80" zoomScaleNormal="80" zoomScalePageLayoutView="100" workbookViewId="0">
      <selection pane="topLeft" activeCell="A23" activeCellId="0" sqref="A23"/>
    </sheetView>
  </sheetViews>
  <sheetFormatPr defaultRowHeight="15" zeroHeight="false" outlineLevelRow="0" outlineLevelCol="0"/>
  <cols>
    <col collapsed="false" customWidth="true" hidden="false" outlineLevel="0" max="4" min="1" style="1" width="9"/>
    <col collapsed="false" customWidth="true" hidden="false" outlineLevel="0" max="5" min="5" style="1" width="24.71"/>
    <col collapsed="false" customWidth="true" hidden="false" outlineLevel="0" max="6" min="6" style="1" width="22.01"/>
    <col collapsed="false" customWidth="true" hidden="false" outlineLevel="0" max="7" min="7" style="1" width="38.29"/>
    <col collapsed="false" customWidth="true" hidden="false" outlineLevel="0" max="8" min="8" style="1" width="38.57"/>
    <col collapsed="false" customWidth="true" hidden="false" outlineLevel="0" max="9" min="9" style="1" width="44"/>
    <col collapsed="false" customWidth="true" hidden="false" outlineLevel="0" max="10" min="10" style="1" width="26.13"/>
    <col collapsed="false" customWidth="true" hidden="false" outlineLevel="0" max="11" min="11" style="1" width="25"/>
    <col collapsed="false" customWidth="true" hidden="false" outlineLevel="0" max="12" min="12" style="1" width="31.01"/>
    <col collapsed="false" customWidth="true" hidden="false" outlineLevel="0" max="13" min="13" style="1" width="52.58"/>
    <col collapsed="false" customWidth="true" hidden="false" outlineLevel="0" max="14" min="14" style="1" width="21.14"/>
    <col collapsed="false" customWidth="true" hidden="false" outlineLevel="0" max="15" min="15" style="1" width="15.71"/>
    <col collapsed="false" customWidth="true" hidden="false" outlineLevel="0" max="16" min="16" style="1" width="22.01"/>
    <col collapsed="false" customWidth="true" hidden="false" outlineLevel="0" max="17" min="17" style="1" width="36.14"/>
    <col collapsed="false" customWidth="true" hidden="false" outlineLevel="0" max="18" min="18" style="1" width="38.57"/>
    <col collapsed="false" customWidth="true" hidden="false" outlineLevel="0" max="19" min="19" style="1" width="48.15"/>
    <col collapsed="false" customWidth="true" hidden="false" outlineLevel="0" max="20" min="20" style="1" width="26.13"/>
    <col collapsed="false" customWidth="true" hidden="false" outlineLevel="0" max="21" min="21" style="1" width="38.29"/>
    <col collapsed="false" customWidth="true" hidden="false" outlineLevel="0" max="22" min="22" style="1" width="35.29"/>
    <col collapsed="false" customWidth="true" hidden="false" outlineLevel="0" max="23" min="23" style="1" width="52.58"/>
    <col collapsed="false" customWidth="true" hidden="false" outlineLevel="0" max="24" min="24" style="1" width="25"/>
    <col collapsed="false" customWidth="true" hidden="false" outlineLevel="0" max="1025" min="25" style="1" width="9"/>
  </cols>
  <sheetData>
    <row r="1" customFormat="false" ht="15" hidden="false" customHeight="true" outlineLevel="0" collapsed="false">
      <c r="H1" s="2" t="s">
        <v>0</v>
      </c>
      <c r="I1" s="2" t="n">
        <v>2</v>
      </c>
    </row>
    <row r="2" customFormat="false" ht="15" hidden="false" customHeight="true" outlineLevel="0" collapsed="false">
      <c r="S2" s="1" t="s">
        <v>48</v>
      </c>
    </row>
    <row r="8" customFormat="false" ht="15" hidden="false" customHeight="true" outlineLevel="0" collapsed="false">
      <c r="E8" s="3" t="s">
        <v>49</v>
      </c>
      <c r="O8" s="3" t="s">
        <v>50</v>
      </c>
    </row>
    <row r="9" customFormat="false" ht="61.9" hidden="false" customHeight="true" outlineLevel="0" collapsed="false">
      <c r="E9" s="4" t="s">
        <v>4</v>
      </c>
      <c r="F9" s="5" t="s">
        <v>5</v>
      </c>
      <c r="G9" s="5" t="s">
        <v>6</v>
      </c>
      <c r="H9" s="5" t="s">
        <v>7</v>
      </c>
      <c r="I9" s="5" t="s">
        <v>51</v>
      </c>
      <c r="J9" s="6" t="s">
        <v>9</v>
      </c>
      <c r="K9" s="6" t="s">
        <v>10</v>
      </c>
      <c r="L9" s="7" t="s">
        <v>11</v>
      </c>
      <c r="M9" s="8" t="s">
        <v>12</v>
      </c>
      <c r="N9" s="9" t="s">
        <v>13</v>
      </c>
      <c r="O9" s="4" t="s">
        <v>4</v>
      </c>
      <c r="P9" s="5" t="s">
        <v>5</v>
      </c>
      <c r="Q9" s="5" t="s">
        <v>14</v>
      </c>
      <c r="R9" s="5" t="s">
        <v>7</v>
      </c>
      <c r="S9" s="5" t="s">
        <v>52</v>
      </c>
      <c r="T9" s="6" t="s">
        <v>9</v>
      </c>
      <c r="U9" s="6" t="s">
        <v>10</v>
      </c>
      <c r="V9" s="7" t="s">
        <v>16</v>
      </c>
      <c r="W9" s="8" t="s">
        <v>12</v>
      </c>
      <c r="X9" s="9" t="s">
        <v>17</v>
      </c>
    </row>
    <row r="10" customFormat="false" ht="15.6" hidden="false" customHeight="true" outlineLevel="0" collapsed="false">
      <c r="D10" s="3"/>
      <c r="E10" s="15"/>
      <c r="F10" s="16"/>
      <c r="G10" s="16"/>
      <c r="H10" s="16"/>
      <c r="I10" s="17"/>
      <c r="J10" s="17"/>
      <c r="K10" s="17"/>
      <c r="L10" s="17"/>
      <c r="M10" s="18"/>
      <c r="N10" s="12"/>
      <c r="O10" s="15"/>
      <c r="P10" s="16"/>
      <c r="Q10" s="16"/>
      <c r="R10" s="16"/>
      <c r="S10" s="17"/>
      <c r="T10" s="17"/>
      <c r="U10" s="17"/>
      <c r="V10" s="17"/>
      <c r="W10" s="18"/>
      <c r="X10" s="14"/>
      <c r="Y10" s="19"/>
    </row>
    <row r="11" customFormat="false" ht="15.6" hidden="false" customHeight="true" outlineLevel="0" collapsed="false">
      <c r="E11" s="22" t="s">
        <v>53</v>
      </c>
      <c r="F11" s="1" t="n">
        <v>234</v>
      </c>
      <c r="G11" s="1" t="s">
        <v>19</v>
      </c>
      <c r="H11" s="1" t="n">
        <v>69.2199999999999</v>
      </c>
      <c r="I11" s="23" t="n">
        <f aca="false">7*F11/100+SQRT(3*8.07*3*8.07+((7*F11/100)*(7*F11/100)))</f>
        <v>45.6106089570505</v>
      </c>
      <c r="J11" s="24" t="n">
        <f aca="false">H11-I11</f>
        <v>23.6093910429494</v>
      </c>
      <c r="K11" s="24" t="n">
        <f aca="false">F11/2-I11</f>
        <v>71.3893910429495</v>
      </c>
      <c r="L11" s="24" t="n">
        <f aca="false">(H11-I11)*100/F11</f>
        <v>10.0894833516878</v>
      </c>
      <c r="M11" s="24" t="n">
        <f aca="false">L11-$I$1</f>
        <v>8.08948335168778</v>
      </c>
      <c r="N11" s="19"/>
      <c r="O11" s="22" t="s">
        <v>53</v>
      </c>
      <c r="P11" s="1" t="n">
        <v>234</v>
      </c>
      <c r="Q11" s="1" t="s">
        <v>19</v>
      </c>
      <c r="R11" s="1" t="n">
        <v>69.2199999999999</v>
      </c>
      <c r="S11" s="23" t="n">
        <f aca="false">(7*P11/100)+SQRT((3*6.25*3*6.25)+((7*P11/100)*(7*P11/100)))</f>
        <v>41.2771263402024</v>
      </c>
      <c r="T11" s="24" t="n">
        <f aca="false">R11-S11</f>
        <v>27.9428736597975</v>
      </c>
      <c r="U11" s="24" t="n">
        <f aca="false">P11/2-S11</f>
        <v>75.7228736597976</v>
      </c>
      <c r="V11" s="24" t="n">
        <f aca="false">(R11-S11)*100/P11</f>
        <v>11.9413989999135</v>
      </c>
      <c r="W11" s="24" t="n">
        <f aca="false">V11-$I$1</f>
        <v>9.94139899991346</v>
      </c>
      <c r="X11" s="19"/>
    </row>
    <row r="12" customFormat="false" ht="14.45" hidden="false" customHeight="true" outlineLevel="0" collapsed="false">
      <c r="E12" s="22" t="s">
        <v>53</v>
      </c>
      <c r="F12" s="1" t="n">
        <v>234</v>
      </c>
      <c r="G12" s="30" t="s">
        <v>21</v>
      </c>
      <c r="H12" s="1" t="n">
        <v>69.45</v>
      </c>
      <c r="I12" s="23" t="n">
        <f aca="false">7*F12/100+SQRT(3*8.07*3*8.07+((7*F12/100)*(7*F12/100)))</f>
        <v>45.6106089570505</v>
      </c>
      <c r="J12" s="19" t="n">
        <f aca="false">H12-I12</f>
        <v>23.8393910429495</v>
      </c>
      <c r="K12" s="19" t="n">
        <f aca="false">F12/2-I12</f>
        <v>71.3893910429495</v>
      </c>
      <c r="L12" s="19" t="n">
        <f aca="false">(H12-I12)*100/F12</f>
        <v>10.1877739499784</v>
      </c>
      <c r="M12" s="19" t="n">
        <f aca="false">L12-$I$1</f>
        <v>8.18777394997843</v>
      </c>
      <c r="N12" s="19"/>
      <c r="O12" s="22" t="s">
        <v>53</v>
      </c>
      <c r="P12" s="1" t="n">
        <v>234</v>
      </c>
      <c r="Q12" s="1" t="s">
        <v>21</v>
      </c>
      <c r="R12" s="1" t="n">
        <v>69.45</v>
      </c>
      <c r="S12" s="23" t="n">
        <f aca="false">(7*P12/100)+SQRT((3*5.99*3*5.99)+((7*P12/100)*(7*P12/100)))</f>
        <v>40.6951249225662</v>
      </c>
      <c r="T12" s="24" t="n">
        <f aca="false">R12-S12</f>
        <v>28.7548750774338</v>
      </c>
      <c r="U12" s="19" t="n">
        <f aca="false">P12/2-S12</f>
        <v>76.3048750774338</v>
      </c>
      <c r="V12" s="24" t="n">
        <f aca="false">(R12-S12)*100/P12</f>
        <v>12.2884081527495</v>
      </c>
      <c r="W12" s="24" t="n">
        <f aca="false">V12-$I$1</f>
        <v>10.2884081527495</v>
      </c>
      <c r="X12" s="19"/>
    </row>
    <row r="13" customFormat="false" ht="14.45" hidden="false" customHeight="true" outlineLevel="0" collapsed="false">
      <c r="E13" s="22" t="s">
        <v>54</v>
      </c>
      <c r="F13" s="1" t="n">
        <v>233.999999999999</v>
      </c>
      <c r="G13" s="1" t="s">
        <v>55</v>
      </c>
      <c r="H13" s="1" t="n">
        <v>86.27</v>
      </c>
      <c r="I13" s="23" t="n">
        <f aca="false">7*F13/100+SQRT(3*8.07*3*8.07+((7*F13/100)*(7*F13/100)))</f>
        <v>45.6106089570504</v>
      </c>
      <c r="J13" s="19" t="n">
        <f aca="false">H13-I13</f>
        <v>40.6593910429496</v>
      </c>
      <c r="K13" s="19" t="n">
        <f aca="false">F13/2-I13</f>
        <v>71.3893910429491</v>
      </c>
      <c r="L13" s="19" t="n">
        <f aca="false">(H13-I13)*100/F13</f>
        <v>17.3758081380127</v>
      </c>
      <c r="M13" s="31" t="n">
        <f aca="false">L13-$I$1</f>
        <v>15.3758081380127</v>
      </c>
      <c r="N13" s="25" t="n">
        <f aca="false">73.98-(F13/2-H13)</f>
        <v>43.2500000000005</v>
      </c>
      <c r="O13" s="22" t="s">
        <v>54</v>
      </c>
      <c r="P13" s="1" t="n">
        <v>233.999999999999</v>
      </c>
      <c r="Q13" s="2" t="s">
        <v>55</v>
      </c>
      <c r="R13" s="2" t="n">
        <v>86.27</v>
      </c>
      <c r="S13" s="23" t="n">
        <f aca="false">(7*P13/100)+SQRT((3*6.25*3*6.25)+((7*P13/100)*(7*P13/100)))</f>
        <v>41.2771263402023</v>
      </c>
      <c r="T13" s="19" t="n">
        <f aca="false">R13-S13</f>
        <v>44.9928736597977</v>
      </c>
      <c r="U13" s="19" t="n">
        <f aca="false">P13/2-S13</f>
        <v>75.7228736597972</v>
      </c>
      <c r="V13" s="24" t="n">
        <f aca="false">(R13-S13)*100/P13</f>
        <v>19.2277237862384</v>
      </c>
      <c r="W13" s="24" t="n">
        <f aca="false">V13-$I$1</f>
        <v>17.2277237862384</v>
      </c>
      <c r="X13" s="25" t="n">
        <f aca="false">76.2-(P13/2-R13)</f>
        <v>45.4700000000005</v>
      </c>
    </row>
    <row r="14" customFormat="false" ht="14.45" hidden="false" customHeight="true" outlineLevel="0" collapsed="false">
      <c r="E14" s="22" t="s">
        <v>54</v>
      </c>
      <c r="F14" s="1" t="n">
        <v>233.999999999999</v>
      </c>
      <c r="G14" s="1" t="s">
        <v>21</v>
      </c>
      <c r="H14" s="1" t="n">
        <v>86.5</v>
      </c>
      <c r="I14" s="23" t="n">
        <f aca="false">7*F14/100+SQRT(3*8.07*3*8.07+((7*F14/100)*(7*F14/100)))</f>
        <v>45.6106089570504</v>
      </c>
      <c r="J14" s="19" t="n">
        <f aca="false">H14-I14</f>
        <v>40.8893910429496</v>
      </c>
      <c r="K14" s="19" t="n">
        <f aca="false">F14/2-I14</f>
        <v>71.3893910429491</v>
      </c>
      <c r="L14" s="19" t="n">
        <f aca="false">(H14-I14)*100/F14</f>
        <v>17.4740987363033</v>
      </c>
      <c r="M14" s="31" t="n">
        <f aca="false">L14-$I$1</f>
        <v>15.4740987363033</v>
      </c>
      <c r="N14" s="25" t="n">
        <f aca="false">75.37-(F14/2-H14)</f>
        <v>44.8700000000005</v>
      </c>
      <c r="O14" s="22" t="s">
        <v>54</v>
      </c>
      <c r="P14" s="1" t="n">
        <v>233.999999999999</v>
      </c>
      <c r="Q14" s="1" t="s">
        <v>21</v>
      </c>
      <c r="R14" s="1" t="n">
        <v>86.5</v>
      </c>
      <c r="S14" s="23" t="n">
        <f aca="false">(7*P14/100)+SQRT((3*5.99*3*5.99)+((7*P14/100)*(7*P14/100)))</f>
        <v>40.6951249225661</v>
      </c>
      <c r="T14" s="19" t="n">
        <f aca="false">R14-S14</f>
        <v>45.8048750774339</v>
      </c>
      <c r="U14" s="19" t="n">
        <f aca="false">P14/2-S14</f>
        <v>76.3048750774334</v>
      </c>
      <c r="V14" s="24" t="n">
        <f aca="false">(R14-S14)*100/P14</f>
        <v>19.5747329390744</v>
      </c>
      <c r="W14" s="24" t="n">
        <f aca="false">V14-$I$1</f>
        <v>17.5747329390744</v>
      </c>
      <c r="X14" s="25" t="n">
        <f aca="false">75.12-(P14/2-R14)</f>
        <v>44.6200000000005</v>
      </c>
    </row>
    <row r="15" customFormat="false" ht="15.6" hidden="false" customHeight="true" outlineLevel="0" collapsed="false">
      <c r="B15" s="1" t="s">
        <v>56</v>
      </c>
      <c r="E15" s="22" t="s">
        <v>28</v>
      </c>
      <c r="F15" s="1" t="n">
        <v>534</v>
      </c>
      <c r="G15" s="1" t="s">
        <v>57</v>
      </c>
      <c r="H15" s="1" t="n">
        <f aca="false">174.87+26.7</f>
        <v>201.57</v>
      </c>
      <c r="I15" s="21" t="n">
        <f aca="false">7*F15/100+SQRT(3*11.75*3*11.75+((7*F15/100)*(7*F15/100)))</f>
        <v>88.7592458099572</v>
      </c>
      <c r="J15" s="19" t="n">
        <f aca="false">H15-I15</f>
        <v>112.810754190043</v>
      </c>
      <c r="K15" s="19" t="n">
        <f aca="false">F15/2-I15</f>
        <v>178.240754190043</v>
      </c>
      <c r="L15" s="19" t="n">
        <f aca="false">(H15-I15)*100/F15</f>
        <v>21.1256093988844</v>
      </c>
      <c r="M15" s="31" t="n">
        <f aca="false">L15-$I$1</f>
        <v>19.1256093988844</v>
      </c>
      <c r="N15" s="25"/>
      <c r="O15" s="22" t="s">
        <v>28</v>
      </c>
      <c r="P15" s="1" t="n">
        <v>534</v>
      </c>
      <c r="Q15" s="1" t="s">
        <v>57</v>
      </c>
      <c r="R15" s="1" t="n">
        <f aca="false">174.87+26.7</f>
        <v>201.57</v>
      </c>
      <c r="S15" s="23" t="n">
        <f aca="false">(7*P15/100)+SQRT((3*9.79*3*9.79)+((7*P15/100)*(7*P15/100)))</f>
        <v>84.9179984854222</v>
      </c>
      <c r="T15" s="19" t="n">
        <f aca="false">R15-S15</f>
        <v>116.652001514578</v>
      </c>
      <c r="U15" s="19" t="n">
        <f aca="false">P15/2-S15</f>
        <v>182.082001514578</v>
      </c>
      <c r="V15" s="24" t="n">
        <f aca="false">(R15-S15)*100/P15</f>
        <v>21.8449441038535</v>
      </c>
      <c r="W15" s="24" t="n">
        <f aca="false">V15-$I$1</f>
        <v>19.8449441038535</v>
      </c>
      <c r="X15" s="25"/>
    </row>
    <row r="16" customFormat="false" ht="14.45" hidden="false" customHeight="true" outlineLevel="0" collapsed="false">
      <c r="E16" s="22" t="s">
        <v>28</v>
      </c>
      <c r="F16" s="1" t="n">
        <v>534</v>
      </c>
      <c r="G16" s="1" t="s">
        <v>58</v>
      </c>
      <c r="H16" s="1" t="n">
        <f aca="false">173.04+26.7</f>
        <v>199.74</v>
      </c>
      <c r="I16" s="21" t="n">
        <f aca="false">7*F16/100+SQRT(3*11.75*3*11.75+((7*F16/100)*(7*F16/100)))</f>
        <v>88.7592458099572</v>
      </c>
      <c r="J16" s="19" t="n">
        <f aca="false">H16-I16</f>
        <v>110.980754190043</v>
      </c>
      <c r="K16" s="19" t="n">
        <f aca="false">F16/2-I16</f>
        <v>178.240754190043</v>
      </c>
      <c r="L16" s="19" t="n">
        <f aca="false">(H16-I16)*100/F16</f>
        <v>20.7829127696709</v>
      </c>
      <c r="M16" s="31" t="n">
        <f aca="false">L16-$I$1</f>
        <v>18.7829127696709</v>
      </c>
      <c r="N16" s="25"/>
      <c r="O16" s="22" t="s">
        <v>28</v>
      </c>
      <c r="P16" s="1" t="n">
        <v>534</v>
      </c>
      <c r="Q16" s="1" t="s">
        <v>58</v>
      </c>
      <c r="R16" s="1" t="n">
        <f aca="false">173.04+26.7</f>
        <v>199.74</v>
      </c>
      <c r="S16" s="23" t="n">
        <f aca="false">(7*P16/100)+SQRT((3*9.79*3*9.79)+((7*P16/100)*(7*P16/100)))</f>
        <v>84.9179984854222</v>
      </c>
      <c r="T16" s="19" t="n">
        <f aca="false">R16-S16</f>
        <v>114.822001514578</v>
      </c>
      <c r="U16" s="19" t="n">
        <f aca="false">P16/2-S16</f>
        <v>182.082001514578</v>
      </c>
      <c r="V16" s="24" t="n">
        <f aca="false">(R16-S16)*100/P16</f>
        <v>21.50224747464</v>
      </c>
      <c r="W16" s="24" t="n">
        <f aca="false">V16-$I$1</f>
        <v>19.50224747464</v>
      </c>
      <c r="X16" s="25"/>
    </row>
    <row r="17" customFormat="false" ht="14.45" hidden="false" customHeight="true" outlineLevel="0" collapsed="false">
      <c r="E17" s="22" t="s">
        <v>35</v>
      </c>
      <c r="F17" s="1" t="n">
        <v>534</v>
      </c>
      <c r="G17" s="1" t="s">
        <v>59</v>
      </c>
      <c r="H17" s="1" t="n">
        <f aca="false">193.91+26.7</f>
        <v>220.61</v>
      </c>
      <c r="I17" s="21" t="n">
        <f aca="false">7*F17/100+SQRT(3*11.75*3*11.75+((7*F17/100)*(7*F17/100)))</f>
        <v>88.7592458099572</v>
      </c>
      <c r="J17" s="19" t="n">
        <f aca="false">H17-I17</f>
        <v>131.850754190043</v>
      </c>
      <c r="K17" s="19" t="n">
        <f aca="false">F17/2-I17</f>
        <v>178.240754190043</v>
      </c>
      <c r="L17" s="19" t="n">
        <f aca="false">(H17-I17)*100/F17</f>
        <v>24.6911524700455</v>
      </c>
      <c r="M17" s="31" t="n">
        <f aca="false">L17-$I$1</f>
        <v>22.6911524700455</v>
      </c>
      <c r="N17" s="25" t="n">
        <f aca="false">187.06-(F17/2-H17)</f>
        <v>140.67</v>
      </c>
      <c r="O17" s="22" t="s">
        <v>35</v>
      </c>
      <c r="P17" s="1" t="n">
        <v>534</v>
      </c>
      <c r="Q17" s="1" t="s">
        <v>59</v>
      </c>
      <c r="R17" s="1" t="n">
        <f aca="false">193.91+26.7</f>
        <v>220.61</v>
      </c>
      <c r="S17" s="23" t="n">
        <f aca="false">(7*P17/100)+SQRT((3*9.79*3*9.79)+((7*P17/100)*(7*P17/100)))</f>
        <v>84.9179984854222</v>
      </c>
      <c r="T17" s="19" t="n">
        <f aca="false">R17-S17</f>
        <v>135.692001514578</v>
      </c>
      <c r="U17" s="19" t="n">
        <f aca="false">P17/2-S17</f>
        <v>182.082001514578</v>
      </c>
      <c r="V17" s="24" t="n">
        <f aca="false">(R17-S17)*100/P17</f>
        <v>25.4104871750146</v>
      </c>
      <c r="W17" s="24" t="n">
        <f aca="false">V17-$I$1</f>
        <v>23.4104871750146</v>
      </c>
      <c r="X17" s="25" t="n">
        <f aca="false">228-(P17/2-R17)</f>
        <v>181.61</v>
      </c>
    </row>
    <row r="18" customFormat="false" ht="14.45" hidden="false" customHeight="true" outlineLevel="0" collapsed="false">
      <c r="E18" s="22" t="s">
        <v>35</v>
      </c>
      <c r="F18" s="1" t="n">
        <v>534</v>
      </c>
      <c r="G18" s="1" t="s">
        <v>38</v>
      </c>
      <c r="H18" s="1" t="n">
        <f aca="false">188.6+26.7</f>
        <v>215.3</v>
      </c>
      <c r="I18" s="21" t="n">
        <f aca="false">7*F18/100+SQRT(3*11.75*3*11.75+((7*F18/100)*(7*F18/100)))</f>
        <v>88.7592458099572</v>
      </c>
      <c r="J18" s="19" t="n">
        <f aca="false">H18-I18</f>
        <v>126.540754190043</v>
      </c>
      <c r="K18" s="19" t="n">
        <f aca="false">F18/2-I18</f>
        <v>178.240754190043</v>
      </c>
      <c r="L18" s="19" t="n">
        <f aca="false">(H18-I18)*100/F18</f>
        <v>23.6967704475736</v>
      </c>
      <c r="M18" s="31" t="n">
        <f aca="false">L18-$I$1</f>
        <v>21.6967704475736</v>
      </c>
      <c r="N18" s="25" t="n">
        <f aca="false">187.06-(F18/2-H18)</f>
        <v>135.36</v>
      </c>
      <c r="O18" s="22" t="s">
        <v>35</v>
      </c>
      <c r="P18" s="1" t="n">
        <v>534</v>
      </c>
      <c r="Q18" s="1" t="s">
        <v>38</v>
      </c>
      <c r="R18" s="1" t="n">
        <f aca="false">188.6+26.7</f>
        <v>215.3</v>
      </c>
      <c r="S18" s="23" t="n">
        <f aca="false">(7*P18/100)+SQRT((3*9.79*3*9.79)+((7*P18/100)*(7*P18/100)))</f>
        <v>84.9179984854222</v>
      </c>
      <c r="T18" s="19" t="n">
        <f aca="false">R18-S18</f>
        <v>130.382001514578</v>
      </c>
      <c r="U18" s="19" t="n">
        <f aca="false">P18/2-S18</f>
        <v>182.082001514578</v>
      </c>
      <c r="V18" s="24" t="n">
        <f aca="false">(R18-S18)*100/P18</f>
        <v>24.4161051525427</v>
      </c>
      <c r="W18" s="24" t="n">
        <f aca="false">V18-$I$1</f>
        <v>22.4161051525427</v>
      </c>
      <c r="X18" s="25" t="n">
        <f aca="false">187.35-(P18/2-R18)</f>
        <v>135.65</v>
      </c>
    </row>
    <row r="19" customFormat="false" ht="15.6" hidden="false" customHeight="true" outlineLevel="0" collapsed="false">
      <c r="E19" s="22" t="s">
        <v>40</v>
      </c>
      <c r="F19" s="1" t="n">
        <v>935.999999999999</v>
      </c>
      <c r="G19" s="1" t="s">
        <v>46</v>
      </c>
      <c r="H19" s="1" t="n">
        <v>398.96</v>
      </c>
      <c r="I19" s="21" t="n">
        <f aca="false">7*F19/100+SQRT(3*16.88*3*16.88+((7*F19/100)*(7*F19/100)))</f>
        <v>148.328695195613</v>
      </c>
      <c r="J19" s="19" t="n">
        <f aca="false">H19-I19</f>
        <v>250.631304804387</v>
      </c>
      <c r="K19" s="19" t="n">
        <f aca="false">F19/2-I19</f>
        <v>319.671304804386</v>
      </c>
      <c r="L19" s="19" t="n">
        <f aca="false">(H19-I19)*100/F19</f>
        <v>26.7768488038875</v>
      </c>
      <c r="M19" s="31" t="n">
        <f aca="false">L19-$I$1</f>
        <v>24.7768488038875</v>
      </c>
      <c r="N19" s="19"/>
      <c r="O19" s="22" t="s">
        <v>40</v>
      </c>
      <c r="P19" s="1" t="n">
        <v>935.999999999999</v>
      </c>
      <c r="Q19" s="1" t="s">
        <v>46</v>
      </c>
      <c r="R19" s="1" t="n">
        <v>398.96</v>
      </c>
      <c r="S19" s="23" t="n">
        <f aca="false">(7*P19/100)+SQRT((3*15.72*3*15.72)+((7*P19/100)*(7*P19/100)))</f>
        <v>146.247541768593</v>
      </c>
      <c r="T19" s="19" t="n">
        <f aca="false">R19-S19</f>
        <v>252.712458231407</v>
      </c>
      <c r="U19" s="19" t="n">
        <f aca="false">P19/2-S19</f>
        <v>321.752458231406</v>
      </c>
      <c r="V19" s="24" t="n">
        <f aca="false">(R19-S19)*100/P19</f>
        <v>26.9991942554922</v>
      </c>
      <c r="W19" s="24" t="n">
        <f aca="false">V19-$I$1</f>
        <v>24.9991942554922</v>
      </c>
      <c r="X19" s="19"/>
    </row>
    <row r="20" customFormat="false" ht="14.45" hidden="false" customHeight="true" outlineLevel="0" collapsed="false">
      <c r="E20" s="22" t="s">
        <v>40</v>
      </c>
      <c r="F20" s="1" t="n">
        <v>935.999999999999</v>
      </c>
      <c r="G20" s="1" t="s">
        <v>43</v>
      </c>
      <c r="H20" s="1" t="n">
        <v>394.55</v>
      </c>
      <c r="I20" s="21" t="n">
        <f aca="false">7*F20/100+SQRT(3*37.43*3*37.43+((7*F20/100)*(7*F20/100)))</f>
        <v>195.52736325301</v>
      </c>
      <c r="J20" s="19" t="n">
        <f aca="false">H20-I20</f>
        <v>199.02263674699</v>
      </c>
      <c r="K20" s="19" t="n">
        <f aca="false">F20/2-I20</f>
        <v>272.47263674699</v>
      </c>
      <c r="L20" s="19" t="n">
        <f aca="false">(H20-I20)*100/F20</f>
        <v>21.2631022165588</v>
      </c>
      <c r="M20" s="31" t="n">
        <f aca="false">L20-$I$1</f>
        <v>19.2631022165588</v>
      </c>
      <c r="N20" s="19"/>
      <c r="O20" s="22" t="s">
        <v>40</v>
      </c>
      <c r="P20" s="1" t="n">
        <v>935.999999999999</v>
      </c>
      <c r="Q20" s="1" t="s">
        <v>43</v>
      </c>
      <c r="R20" s="1" t="n">
        <v>394.55</v>
      </c>
      <c r="S20" s="23" t="n">
        <f aca="false">(7*P20/100)+SQRT((3*35.85*3*35.85)+((7*P20/100)*(7*P20/100)))</f>
        <v>191.455987311014</v>
      </c>
      <c r="T20" s="19" t="n">
        <f aca="false">R20-S20</f>
        <v>203.094012688986</v>
      </c>
      <c r="U20" s="19" t="n">
        <f aca="false">P20/2-S20</f>
        <v>276.544012688985</v>
      </c>
      <c r="V20" s="24" t="n">
        <f aca="false">(R20-S20)*100/P20</f>
        <v>21.6980782787378</v>
      </c>
      <c r="W20" s="24" t="n">
        <f aca="false">V20-$I$1</f>
        <v>19.6980782787378</v>
      </c>
      <c r="X20" s="19"/>
    </row>
    <row r="21" customFormat="false" ht="14.45" hidden="false" customHeight="true" outlineLevel="0" collapsed="false">
      <c r="E21" s="22" t="s">
        <v>45</v>
      </c>
      <c r="F21" s="1" t="n">
        <v>935.999999999999</v>
      </c>
      <c r="G21" s="1" t="s">
        <v>60</v>
      </c>
      <c r="H21" s="1" t="n">
        <v>419.83</v>
      </c>
      <c r="I21" s="21" t="n">
        <f aca="false">7*F21/100+SQRT(3*16.88*3*16.88+((7*F21/100)*(7*F21/100)))</f>
        <v>148.328695195613</v>
      </c>
      <c r="J21" s="19" t="n">
        <f aca="false">H21-I21</f>
        <v>271.501304804387</v>
      </c>
      <c r="K21" s="19" t="n">
        <f aca="false">F21/2-I21</f>
        <v>319.671304804386</v>
      </c>
      <c r="L21" s="19" t="n">
        <f aca="false">(H21-I21)*100/F21</f>
        <v>29.0065496585884</v>
      </c>
      <c r="M21" s="31" t="n">
        <f aca="false">L21-$I$1</f>
        <v>27.0065496585884</v>
      </c>
      <c r="N21" s="25" t="n">
        <f aca="false">321-(F21/2-H21)</f>
        <v>272.83</v>
      </c>
      <c r="O21" s="22" t="s">
        <v>45</v>
      </c>
      <c r="P21" s="1" t="n">
        <v>935.999999999999</v>
      </c>
      <c r="Q21" s="1" t="s">
        <v>60</v>
      </c>
      <c r="R21" s="1" t="n">
        <v>419.83</v>
      </c>
      <c r="S21" s="23" t="n">
        <f aca="false">(7*P21/100)+SQRT((3*15.72*3*15.72)+((7*P21/100)*(7*P21/100)))</f>
        <v>146.247541768593</v>
      </c>
      <c r="T21" s="19" t="n">
        <f aca="false">R21-S21</f>
        <v>273.582458231407</v>
      </c>
      <c r="U21" s="19" t="n">
        <f aca="false">P21/2-S21</f>
        <v>321.752458231406</v>
      </c>
      <c r="V21" s="24" t="n">
        <f aca="false">(R21-S21)*100/P21</f>
        <v>29.2288951101931</v>
      </c>
      <c r="W21" s="24" t="n">
        <f aca="false">V21-$I$1</f>
        <v>27.2288951101931</v>
      </c>
      <c r="X21" s="25" t="n">
        <f aca="false">331-(P21/2-R21)</f>
        <v>282.83</v>
      </c>
    </row>
    <row r="22" customFormat="false" ht="14.45" hidden="false" customHeight="true" outlineLevel="0" collapsed="false">
      <c r="E22" s="22" t="s">
        <v>45</v>
      </c>
      <c r="F22" s="1" t="n">
        <v>935.999999999999</v>
      </c>
      <c r="G22" s="1" t="s">
        <v>61</v>
      </c>
      <c r="H22" s="1" t="n">
        <v>403.54</v>
      </c>
      <c r="I22" s="21" t="n">
        <f aca="false">7*F22/100+SQRT(3*37.43*3*37.43+((7*F22/100)*(7*F22/100)))</f>
        <v>195.52736325301</v>
      </c>
      <c r="J22" s="19" t="n">
        <f aca="false">H22-I22</f>
        <v>208.01263674699</v>
      </c>
      <c r="K22" s="19" t="n">
        <f aca="false">F22/2-I22</f>
        <v>272.47263674699</v>
      </c>
      <c r="L22" s="19" t="n">
        <f aca="false">(H22-I22)*100/F22</f>
        <v>22.2235723020289</v>
      </c>
      <c r="M22" s="31" t="n">
        <f aca="false">L22-$I$1</f>
        <v>20.2235723020289</v>
      </c>
      <c r="N22" s="25" t="n">
        <f aca="false">301-(F22/2-H22)</f>
        <v>236.540000000001</v>
      </c>
      <c r="O22" s="22" t="s">
        <v>45</v>
      </c>
      <c r="P22" s="1" t="n">
        <v>935.999999999999</v>
      </c>
      <c r="Q22" s="1" t="s">
        <v>61</v>
      </c>
      <c r="R22" s="1" t="n">
        <v>403.54</v>
      </c>
      <c r="S22" s="23" t="n">
        <f aca="false">(7*P22/100)+SQRT((3*35.85*3*35.85)+((7*P22/100)*(7*P22/100)))</f>
        <v>191.455987311014</v>
      </c>
      <c r="T22" s="19" t="n">
        <f aca="false">R22-S22</f>
        <v>212.084012688986</v>
      </c>
      <c r="U22" s="19" t="n">
        <f aca="false">P22/2-S22</f>
        <v>276.544012688985</v>
      </c>
      <c r="V22" s="24" t="n">
        <f aca="false">(R22-S22)*100/P22</f>
        <v>22.6585483642079</v>
      </c>
      <c r="W22" s="24" t="n">
        <f aca="false">V22-$I$1</f>
        <v>20.6585483642079</v>
      </c>
      <c r="X22" s="25" t="n">
        <f aca="false">304-(P22/2-R22)</f>
        <v>239.540000000001</v>
      </c>
    </row>
    <row r="23" customFormat="false" ht="15.6" hidden="false" customHeight="true" outlineLevel="0" collapsed="false"/>
    <row r="24" customFormat="false" ht="15.6" hidden="false" customHeight="true" outlineLevel="0" collapsed="false"/>
    <row r="25" customFormat="false" ht="15.6" hidden="false" customHeight="true" outlineLevel="0" collapsed="false"/>
    <row r="26" customFormat="false" ht="15.6" hidden="false" customHeight="true" outlineLevel="0" collapsed="false"/>
    <row r="27" customFormat="false" ht="15.6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B1:Y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P15" activeCellId="0" sqref="P15"/>
    </sheetView>
  </sheetViews>
  <sheetFormatPr defaultRowHeight="15" zeroHeight="false" outlineLevelRow="0" outlineLevelCol="0"/>
  <cols>
    <col collapsed="false" customWidth="true" hidden="false" outlineLevel="0" max="4" min="1" style="1" width="9"/>
    <col collapsed="false" customWidth="true" hidden="false" outlineLevel="0" max="5" min="5" style="1" width="14.57"/>
    <col collapsed="false" customWidth="true" hidden="false" outlineLevel="0" max="6" min="6" style="1" width="22.01"/>
    <col collapsed="false" customWidth="true" hidden="false" outlineLevel="0" max="7" min="7" style="1" width="34.71"/>
    <col collapsed="false" customWidth="true" hidden="false" outlineLevel="0" max="8" min="8" style="1" width="38.57"/>
    <col collapsed="false" customWidth="true" hidden="false" outlineLevel="0" max="9" min="9" style="1" width="44"/>
    <col collapsed="false" customWidth="true" hidden="false" outlineLevel="0" max="10" min="10" style="1" width="26.13"/>
    <col collapsed="false" customWidth="true" hidden="false" outlineLevel="0" max="11" min="11" style="1" width="25"/>
    <col collapsed="false" customWidth="true" hidden="false" outlineLevel="0" max="12" min="12" style="1" width="31.01"/>
    <col collapsed="false" customWidth="true" hidden="false" outlineLevel="0" max="13" min="13" style="1" width="52.58"/>
    <col collapsed="false" customWidth="true" hidden="false" outlineLevel="0" max="14" min="14" style="1" width="21.14"/>
    <col collapsed="false" customWidth="true" hidden="false" outlineLevel="0" max="15" min="15" style="1" width="14.57"/>
    <col collapsed="false" customWidth="true" hidden="false" outlineLevel="0" max="16" min="16" style="1" width="22.01"/>
    <col collapsed="false" customWidth="true" hidden="false" outlineLevel="0" max="17" min="17" style="1" width="36.14"/>
    <col collapsed="false" customWidth="true" hidden="false" outlineLevel="0" max="18" min="18" style="1" width="38.57"/>
    <col collapsed="false" customWidth="true" hidden="false" outlineLevel="0" max="19" min="19" style="1" width="48.15"/>
    <col collapsed="false" customWidth="true" hidden="false" outlineLevel="0" max="20" min="20" style="1" width="26.13"/>
    <col collapsed="false" customWidth="true" hidden="false" outlineLevel="0" max="21" min="21" style="1" width="25"/>
    <col collapsed="false" customWidth="true" hidden="false" outlineLevel="0" max="22" min="22" style="1" width="35.29"/>
    <col collapsed="false" customWidth="true" hidden="false" outlineLevel="0" max="23" min="23" style="1" width="52.58"/>
    <col collapsed="false" customWidth="true" hidden="false" outlineLevel="0" max="24" min="24" style="1" width="25"/>
    <col collapsed="false" customWidth="true" hidden="false" outlineLevel="0" max="26" min="25" style="1" width="9"/>
    <col collapsed="false" customWidth="true" hidden="false" outlineLevel="0" max="1025" min="27" style="1" width="8.67"/>
  </cols>
  <sheetData>
    <row r="1" customFormat="false" ht="15" hidden="false" customHeight="true" outlineLevel="0" collapsed="false">
      <c r="H1" s="2" t="s">
        <v>0</v>
      </c>
      <c r="I1" s="2" t="n">
        <v>2</v>
      </c>
    </row>
    <row r="2" customFormat="false" ht="15" hidden="false" customHeight="true" outlineLevel="0" collapsed="false">
      <c r="S2" s="1" t="s">
        <v>1</v>
      </c>
    </row>
    <row r="8" customFormat="false" ht="15" hidden="false" customHeight="true" outlineLevel="0" collapsed="false">
      <c r="E8" s="3" t="s">
        <v>2</v>
      </c>
      <c r="O8" s="3" t="s">
        <v>3</v>
      </c>
    </row>
    <row r="9" customFormat="false" ht="61.9" hidden="false" customHeight="true" outlineLevel="0" collapsed="false">
      <c r="E9" s="4" t="s">
        <v>4</v>
      </c>
      <c r="F9" s="5" t="s">
        <v>5</v>
      </c>
      <c r="G9" s="5" t="s">
        <v>6</v>
      </c>
      <c r="H9" s="5" t="s">
        <v>7</v>
      </c>
      <c r="I9" s="5" t="s">
        <v>8</v>
      </c>
      <c r="J9" s="6" t="s">
        <v>9</v>
      </c>
      <c r="K9" s="6" t="s">
        <v>10</v>
      </c>
      <c r="L9" s="7" t="s">
        <v>11</v>
      </c>
      <c r="M9" s="8" t="s">
        <v>12</v>
      </c>
      <c r="N9" s="9" t="s">
        <v>13</v>
      </c>
      <c r="O9" s="4" t="s">
        <v>4</v>
      </c>
      <c r="P9" s="5" t="s">
        <v>5</v>
      </c>
      <c r="Q9" s="5" t="s">
        <v>14</v>
      </c>
      <c r="R9" s="5" t="s">
        <v>7</v>
      </c>
      <c r="S9" s="5" t="s">
        <v>15</v>
      </c>
      <c r="T9" s="6" t="s">
        <v>9</v>
      </c>
      <c r="U9" s="6" t="s">
        <v>10</v>
      </c>
      <c r="V9" s="7" t="s">
        <v>16</v>
      </c>
      <c r="W9" s="8" t="s">
        <v>12</v>
      </c>
      <c r="X9" s="9" t="s">
        <v>17</v>
      </c>
    </row>
    <row r="10" customFormat="false" ht="15.6" hidden="false" customHeight="true" outlineLevel="0" collapsed="false">
      <c r="D10" s="3"/>
      <c r="E10" s="10"/>
      <c r="F10" s="11"/>
      <c r="G10" s="11"/>
      <c r="H10" s="11"/>
      <c r="I10" s="12"/>
      <c r="J10" s="13"/>
      <c r="K10" s="13"/>
      <c r="L10" s="13"/>
      <c r="M10" s="14"/>
      <c r="N10" s="12"/>
      <c r="O10" s="15"/>
      <c r="P10" s="16"/>
      <c r="Q10" s="16"/>
      <c r="R10" s="16"/>
      <c r="S10" s="17"/>
      <c r="T10" s="17"/>
      <c r="U10" s="17"/>
      <c r="V10" s="17"/>
      <c r="W10" s="18"/>
      <c r="X10" s="14"/>
      <c r="Y10" s="19"/>
    </row>
    <row r="11" customFormat="false" ht="15.6" hidden="false" customHeight="true" outlineLevel="0" collapsed="false">
      <c r="E11" s="20" t="s">
        <v>18</v>
      </c>
      <c r="F11" s="1" t="n">
        <v>234</v>
      </c>
      <c r="G11" s="1" t="s">
        <v>19</v>
      </c>
      <c r="H11" s="1" t="n">
        <v>69.2199999999999</v>
      </c>
      <c r="I11" s="21" t="n">
        <v>13.19</v>
      </c>
      <c r="J11" s="19" t="n">
        <v>56.03</v>
      </c>
      <c r="K11" s="19" t="n">
        <v>103.81</v>
      </c>
      <c r="L11" s="19" t="n">
        <v>23.95</v>
      </c>
      <c r="M11" s="19" t="n">
        <v>21.95</v>
      </c>
      <c r="N11" s="19"/>
      <c r="O11" s="22" t="s">
        <v>18</v>
      </c>
      <c r="P11" s="1" t="n">
        <v>233.999999999999</v>
      </c>
      <c r="Q11" s="1" t="s">
        <v>20</v>
      </c>
      <c r="R11" s="1" t="n">
        <v>86.74</v>
      </c>
      <c r="S11" s="19" t="n">
        <v>18.96</v>
      </c>
      <c r="T11" s="19" t="n">
        <v>67.78</v>
      </c>
      <c r="U11" s="19" t="n">
        <v>98.04</v>
      </c>
      <c r="V11" s="19" t="n">
        <v>28.97</v>
      </c>
      <c r="W11" s="19" t="n">
        <v>26.97</v>
      </c>
      <c r="X11" s="19"/>
    </row>
    <row r="12" customFormat="false" ht="14.45" hidden="false" customHeight="true" outlineLevel="0" collapsed="false">
      <c r="E12" s="20" t="s">
        <v>18</v>
      </c>
      <c r="F12" s="1" t="n">
        <v>234</v>
      </c>
      <c r="G12" s="1" t="s">
        <v>21</v>
      </c>
      <c r="H12" s="1" t="n">
        <v>69.45</v>
      </c>
      <c r="I12" s="21" t="n">
        <v>13.4</v>
      </c>
      <c r="J12" s="19" t="n">
        <v>56.05</v>
      </c>
      <c r="K12" s="19" t="n">
        <v>103.6</v>
      </c>
      <c r="L12" s="19" t="n">
        <v>23.95</v>
      </c>
      <c r="M12" s="19" t="n">
        <v>21.95</v>
      </c>
      <c r="N12" s="19"/>
      <c r="O12" s="22" t="s">
        <v>18</v>
      </c>
      <c r="P12" s="1" t="n">
        <v>233.999999999999</v>
      </c>
      <c r="Q12" s="1" t="s">
        <v>22</v>
      </c>
      <c r="R12" s="1" t="n">
        <v>85.4</v>
      </c>
      <c r="S12" s="21" t="n">
        <v>19.94</v>
      </c>
      <c r="T12" s="19" t="n">
        <v>65.46</v>
      </c>
      <c r="U12" s="19" t="n">
        <v>97.06</v>
      </c>
      <c r="V12" s="19" t="n">
        <v>27.97</v>
      </c>
      <c r="W12" s="19" t="n">
        <v>25.97</v>
      </c>
      <c r="X12" s="19"/>
    </row>
    <row r="13" customFormat="false" ht="14.45" hidden="false" customHeight="true" outlineLevel="0" collapsed="false">
      <c r="E13" s="20" t="s">
        <v>23</v>
      </c>
      <c r="F13" s="1" t="n">
        <v>233.999999999999</v>
      </c>
      <c r="G13" s="1" t="s">
        <v>24</v>
      </c>
      <c r="H13" s="1" t="n">
        <v>82.32</v>
      </c>
      <c r="I13" s="21" t="n">
        <v>13.19</v>
      </c>
      <c r="J13" s="19" t="n">
        <v>69.13</v>
      </c>
      <c r="K13" s="19" t="n">
        <v>103.81</v>
      </c>
      <c r="L13" s="19" t="n">
        <v>29.54</v>
      </c>
      <c r="M13" s="19" t="n">
        <v>27.54</v>
      </c>
      <c r="N13" s="19" t="n">
        <v>61.72</v>
      </c>
      <c r="O13" s="22" t="s">
        <v>23</v>
      </c>
      <c r="P13" s="1" t="n">
        <v>234</v>
      </c>
      <c r="Q13" s="1" t="s">
        <v>20</v>
      </c>
      <c r="R13" s="1" t="n">
        <v>89.82</v>
      </c>
      <c r="S13" s="21" t="n">
        <v>18.96</v>
      </c>
      <c r="T13" s="19" t="n">
        <v>70.86</v>
      </c>
      <c r="U13" s="19" t="n">
        <v>98.04</v>
      </c>
      <c r="V13" s="19" t="n">
        <v>30.28</v>
      </c>
      <c r="W13" s="19" t="n">
        <v>28.28</v>
      </c>
      <c r="X13" s="19" t="n">
        <v>60.66</v>
      </c>
    </row>
    <row r="14" customFormat="false" ht="14.45" hidden="false" customHeight="true" outlineLevel="0" collapsed="false">
      <c r="E14" s="20" t="s">
        <v>23</v>
      </c>
      <c r="F14" s="1" t="n">
        <v>234</v>
      </c>
      <c r="G14" s="1" t="s">
        <v>25</v>
      </c>
      <c r="H14" s="1" t="n">
        <v>75.1899999999999</v>
      </c>
      <c r="I14" s="21" t="n">
        <v>13.4</v>
      </c>
      <c r="J14" s="19" t="n">
        <v>61.79</v>
      </c>
      <c r="K14" s="19" t="n">
        <v>103.6</v>
      </c>
      <c r="L14" s="19" t="n">
        <v>26.4</v>
      </c>
      <c r="M14" s="19" t="n">
        <v>24.4</v>
      </c>
      <c r="N14" s="19" t="n">
        <v>55.1</v>
      </c>
      <c r="O14" s="22" t="s">
        <v>23</v>
      </c>
      <c r="P14" s="1" t="n">
        <v>233.999999999999</v>
      </c>
      <c r="Q14" s="1" t="s">
        <v>26</v>
      </c>
      <c r="R14" s="1" t="n">
        <v>95.67</v>
      </c>
      <c r="S14" s="21" t="n">
        <v>19.94</v>
      </c>
      <c r="T14" s="19" t="n">
        <v>75.73</v>
      </c>
      <c r="U14" s="19" t="n">
        <v>97.06</v>
      </c>
      <c r="V14" s="19" t="n">
        <v>32.36</v>
      </c>
      <c r="W14" s="19" t="n">
        <v>30.36</v>
      </c>
      <c r="X14" s="19" t="n">
        <v>65.54</v>
      </c>
    </row>
    <row r="15" customFormat="false" ht="14.45" hidden="false" customHeight="true" outlineLevel="0" collapsed="false">
      <c r="B15" s="1" t="s">
        <v>27</v>
      </c>
      <c r="E15" s="22" t="s">
        <v>28</v>
      </c>
      <c r="F15" s="1" t="n">
        <v>534</v>
      </c>
      <c r="G15" s="1" t="s">
        <v>29</v>
      </c>
      <c r="H15" s="1" t="n">
        <f aca="false">174.989999999999+26.7</f>
        <v>201.689999999999</v>
      </c>
      <c r="I15" s="23" t="n">
        <f aca="false">2.5*F15/100+SQRT(6.55*6.55+((2.5*F15/100)*(2.5*F15/100)))</f>
        <v>28.220272357963</v>
      </c>
      <c r="J15" s="24" t="n">
        <f aca="false">H15-I15</f>
        <v>173.469727642036</v>
      </c>
      <c r="K15" s="24" t="n">
        <f aca="false">F15/2-I15</f>
        <v>238.779727642037</v>
      </c>
      <c r="L15" s="24" t="n">
        <f aca="false">(H15-I15)*100/F15</f>
        <v>32.4849677232277</v>
      </c>
      <c r="M15" s="24" t="n">
        <f aca="false">L15-$I$1</f>
        <v>30.4849677232277</v>
      </c>
      <c r="N15" s="19"/>
      <c r="O15" s="22" t="s">
        <v>28</v>
      </c>
      <c r="P15" s="1" t="n">
        <v>534</v>
      </c>
      <c r="Q15" s="1" t="s">
        <v>30</v>
      </c>
      <c r="R15" s="1" t="n">
        <f aca="false">192.77+26.7</f>
        <v>219.47</v>
      </c>
      <c r="S15" s="23" t="n">
        <f aca="false">(2.5*P15/100)+SQRT((29.84*29.84)+((2.5*P15/100)*(2.5*P15/100)))</f>
        <v>46.0401835418524</v>
      </c>
      <c r="T15" s="24" t="n">
        <f aca="false">R15-S15</f>
        <v>173.429816458148</v>
      </c>
      <c r="U15" s="24" t="n">
        <f aca="false">P15/2-S15</f>
        <v>220.959816458148</v>
      </c>
      <c r="V15" s="24" t="n">
        <f aca="false">(R15-S15)*100/P15</f>
        <v>32.4774937187542</v>
      </c>
      <c r="W15" s="24" t="n">
        <f aca="false">V15-$I$1</f>
        <v>30.4774937187542</v>
      </c>
      <c r="X15" s="19"/>
    </row>
    <row r="16" customFormat="false" ht="14.45" hidden="false" customHeight="true" outlineLevel="0" collapsed="false">
      <c r="B16" s="1" t="s">
        <v>31</v>
      </c>
      <c r="E16" s="22" t="s">
        <v>28</v>
      </c>
      <c r="F16" s="1" t="n">
        <v>534</v>
      </c>
      <c r="G16" s="1" t="s">
        <v>32</v>
      </c>
      <c r="H16" s="1" t="n">
        <f aca="false">162.67+26.7</f>
        <v>189.37</v>
      </c>
      <c r="I16" s="23" t="n">
        <f aca="false">2.5*F16/100+SQRT(8.66*8.66+((2.5*F16/100)*(2.5*F16/100)))</f>
        <v>29.2628281584387</v>
      </c>
      <c r="J16" s="24" t="n">
        <f aca="false">H16-I16</f>
        <v>160.107171841561</v>
      </c>
      <c r="K16" s="24" t="n">
        <f aca="false">F16/2-I16</f>
        <v>237.737171841561</v>
      </c>
      <c r="L16" s="24" t="n">
        <f aca="false">(H16-I16)*100/F16</f>
        <v>29.9826164497306</v>
      </c>
      <c r="M16" s="24" t="n">
        <f aca="false">L16-$I$1</f>
        <v>27.9826164497306</v>
      </c>
      <c r="N16" s="21"/>
      <c r="O16" s="22" t="s">
        <v>28</v>
      </c>
      <c r="P16" s="1" t="n">
        <v>534</v>
      </c>
      <c r="Q16" s="1" t="s">
        <v>33</v>
      </c>
      <c r="R16" s="1" t="n">
        <f aca="false">186.409999999999+26.7</f>
        <v>213.109999999999</v>
      </c>
      <c r="S16" s="23" t="n">
        <f aca="false">(2.5*P16/100)+SQRT((21.61*21.61)+((2.5*P16/100)*(2.5*P16/100)))</f>
        <v>38.7510747804104</v>
      </c>
      <c r="T16" s="24" t="n">
        <f aca="false">R16-S16</f>
        <v>174.358925219589</v>
      </c>
      <c r="U16" s="24" t="n">
        <f aca="false">P16/2-S16</f>
        <v>228.24892521959</v>
      </c>
      <c r="V16" s="24" t="n">
        <f aca="false">(R16-S16)*100/P16</f>
        <v>32.6514841235185</v>
      </c>
      <c r="W16" s="24" t="n">
        <f aca="false">V16-$I$1</f>
        <v>30.6514841235185</v>
      </c>
      <c r="X16" s="19"/>
    </row>
    <row r="17" customFormat="false" ht="14.45" hidden="false" customHeight="true" outlineLevel="0" collapsed="false">
      <c r="B17" s="1" t="s">
        <v>34</v>
      </c>
      <c r="E17" s="22" t="s">
        <v>35</v>
      </c>
      <c r="F17" s="1" t="n">
        <v>534</v>
      </c>
      <c r="G17" s="1" t="s">
        <v>36</v>
      </c>
      <c r="H17" s="1" t="n">
        <f aca="false">177.029999999999+26.7</f>
        <v>203.729999999999</v>
      </c>
      <c r="I17" s="23" t="n">
        <f aca="false">2.5*F17/100+SQRT(6.55*6.55+((2.5*F17/100)*(2.5*F17/100)))</f>
        <v>28.220272357963</v>
      </c>
      <c r="J17" s="24" t="n">
        <f aca="false">H17-I17</f>
        <v>175.509727642036</v>
      </c>
      <c r="K17" s="24" t="n">
        <f aca="false">F17/2-I17</f>
        <v>238.779727642037</v>
      </c>
      <c r="L17" s="24" t="n">
        <f aca="false">(H17-I17)*100/F17</f>
        <v>32.8669901951378</v>
      </c>
      <c r="M17" s="24" t="n">
        <f aca="false">L17-$I$1</f>
        <v>30.8669901951378</v>
      </c>
      <c r="N17" s="25" t="n">
        <f aca="false">229.1-(F17/2-H17)</f>
        <v>165.829999999999</v>
      </c>
      <c r="O17" s="22" t="s">
        <v>35</v>
      </c>
      <c r="P17" s="1" t="n">
        <v>534</v>
      </c>
      <c r="Q17" s="1" t="s">
        <v>37</v>
      </c>
      <c r="R17" s="1" t="n">
        <f aca="false">210.18+26.7</f>
        <v>236.88</v>
      </c>
      <c r="S17" s="23" t="n">
        <f aca="false">(2.5*P17/100)+SQRT((29.84*29.84)+((2.5*P17/100)*(2.5*P17/100)))</f>
        <v>46.0401835418524</v>
      </c>
      <c r="T17" s="24" t="n">
        <f aca="false">R17-S17</f>
        <v>190.839816458148</v>
      </c>
      <c r="U17" s="24" t="n">
        <f aca="false">P17/2-S17</f>
        <v>220.959816458148</v>
      </c>
      <c r="V17" s="24" t="n">
        <f aca="false">(R17-S17)*100/P17</f>
        <v>35.7377933442224</v>
      </c>
      <c r="W17" s="24" t="n">
        <f aca="false">V17-$I$1</f>
        <v>33.7377933442224</v>
      </c>
      <c r="X17" s="25" t="n">
        <f aca="false">209-(P17/2-R17)</f>
        <v>178.88</v>
      </c>
    </row>
    <row r="18" customFormat="false" ht="15.6" hidden="false" customHeight="true" outlineLevel="0" collapsed="false">
      <c r="E18" s="22" t="s">
        <v>35</v>
      </c>
      <c r="F18" s="1" t="n">
        <v>534</v>
      </c>
      <c r="G18" s="1" t="s">
        <v>38</v>
      </c>
      <c r="H18" s="1" t="n">
        <f aca="false">158.23+26.7</f>
        <v>184.93</v>
      </c>
      <c r="I18" s="23" t="n">
        <f aca="false">2.5*F18/100+SQRT(8.66*8.66+((2.5*F18/100)*(2.5*F18/100)))</f>
        <v>29.2628281584387</v>
      </c>
      <c r="J18" s="24" t="n">
        <f aca="false">H18-I18</f>
        <v>155.667171841561</v>
      </c>
      <c r="K18" s="24" t="n">
        <f aca="false">F18/2-I18</f>
        <v>237.737171841561</v>
      </c>
      <c r="L18" s="24" t="n">
        <f aca="false">(H18-I18)*100/F18</f>
        <v>29.1511557755733</v>
      </c>
      <c r="M18" s="24" t="n">
        <f aca="false">L18-$I$1</f>
        <v>27.1511557755733</v>
      </c>
      <c r="N18" s="25" t="n">
        <f aca="false">221.7-(F18/2-H18)</f>
        <v>139.63</v>
      </c>
      <c r="O18" s="22" t="s">
        <v>35</v>
      </c>
      <c r="P18" s="1" t="n">
        <v>534</v>
      </c>
      <c r="Q18" s="1" t="s">
        <v>39</v>
      </c>
      <c r="R18" s="1" t="n">
        <f aca="false">206.63+26.7</f>
        <v>233.33</v>
      </c>
      <c r="S18" s="23" t="n">
        <f aca="false">(2.5*P18/100)+SQRT((21.61*21.61)+((2.5*P18/100)*(2.5*P18/100)))</f>
        <v>38.7510747804104</v>
      </c>
      <c r="T18" s="24" t="n">
        <f aca="false">R18-S18</f>
        <v>194.57892521959</v>
      </c>
      <c r="U18" s="24" t="n">
        <f aca="false">P18/2-S18</f>
        <v>228.24892521959</v>
      </c>
      <c r="V18" s="24" t="n">
        <f aca="false">(R18-S18)*100/P18</f>
        <v>36.4380009774512</v>
      </c>
      <c r="W18" s="24" t="n">
        <f aca="false">V18-$I$1</f>
        <v>34.4380009774512</v>
      </c>
      <c r="X18" s="25" t="n">
        <f aca="false">199.7-(P18/2-R18)</f>
        <v>166.03</v>
      </c>
    </row>
    <row r="19" customFormat="false" ht="15.6" hidden="false" customHeight="true" outlineLevel="0" collapsed="false">
      <c r="E19" s="22" t="s">
        <v>40</v>
      </c>
      <c r="F19" s="1" t="n">
        <v>936</v>
      </c>
      <c r="G19" s="1" t="s">
        <v>41</v>
      </c>
      <c r="H19" s="1" t="n">
        <v>416.609999999999</v>
      </c>
      <c r="I19" s="21" t="n">
        <v>48.28</v>
      </c>
      <c r="J19" s="19" t="n">
        <v>368.33</v>
      </c>
      <c r="K19" s="19" t="n">
        <v>419.72</v>
      </c>
      <c r="L19" s="19" t="n">
        <v>39.35</v>
      </c>
      <c r="M19" s="19" t="n">
        <v>37.35</v>
      </c>
      <c r="N19" s="19"/>
      <c r="O19" s="22" t="s">
        <v>40</v>
      </c>
      <c r="P19" s="1" t="n">
        <v>935.999999999999</v>
      </c>
      <c r="Q19" s="1" t="s">
        <v>42</v>
      </c>
      <c r="R19" s="1" t="n">
        <v>416.73</v>
      </c>
      <c r="S19" s="21" t="n">
        <v>62.36</v>
      </c>
      <c r="T19" s="19" t="n">
        <v>354.37</v>
      </c>
      <c r="U19" s="19" t="n">
        <v>405.64</v>
      </c>
      <c r="V19" s="19" t="n">
        <v>37.86</v>
      </c>
      <c r="W19" s="19" t="n">
        <v>35.86</v>
      </c>
      <c r="X19" s="19"/>
    </row>
    <row r="20" customFormat="false" ht="14.25" hidden="false" customHeight="true" outlineLevel="0" collapsed="false">
      <c r="D20" s="3"/>
      <c r="E20" s="22" t="s">
        <v>40</v>
      </c>
      <c r="F20" s="1" t="n">
        <v>935.999999999999</v>
      </c>
      <c r="G20" s="1" t="s">
        <v>43</v>
      </c>
      <c r="H20" s="1" t="n">
        <v>353.8</v>
      </c>
      <c r="I20" s="21" t="n">
        <v>50.32</v>
      </c>
      <c r="J20" s="19" t="n">
        <v>303.48</v>
      </c>
      <c r="K20" s="19" t="n">
        <v>417.68</v>
      </c>
      <c r="L20" s="19" t="n">
        <v>32.42</v>
      </c>
      <c r="M20" s="19" t="n">
        <v>30.42</v>
      </c>
      <c r="N20" s="21"/>
      <c r="O20" s="26" t="s">
        <v>40</v>
      </c>
      <c r="P20" s="1" t="n">
        <v>935.999999999999</v>
      </c>
      <c r="Q20" s="1" t="s">
        <v>44</v>
      </c>
      <c r="R20" s="1" t="n">
        <v>396.81</v>
      </c>
      <c r="S20" s="21" t="n">
        <v>80.57</v>
      </c>
      <c r="T20" s="19" t="n">
        <v>316.24</v>
      </c>
      <c r="U20" s="19" t="n">
        <v>387.43</v>
      </c>
      <c r="V20" s="19" t="n">
        <v>33.79</v>
      </c>
      <c r="W20" s="19" t="n">
        <v>31.79</v>
      </c>
      <c r="X20" s="19"/>
    </row>
    <row r="21" customFormat="false" ht="14.25" hidden="false" customHeight="true" outlineLevel="0" collapsed="false">
      <c r="E21" s="22" t="s">
        <v>45</v>
      </c>
      <c r="F21" s="27" t="n">
        <v>935.999999999999</v>
      </c>
      <c r="G21" s="1" t="s">
        <v>41</v>
      </c>
      <c r="H21" s="1" t="n">
        <v>402.66</v>
      </c>
      <c r="I21" s="21" t="n">
        <v>48.28</v>
      </c>
      <c r="J21" s="19" t="n">
        <v>354.38</v>
      </c>
      <c r="K21" s="19" t="n">
        <v>419.72</v>
      </c>
      <c r="L21" s="19" t="n">
        <v>37.86</v>
      </c>
      <c r="M21" s="19" t="n">
        <v>35.86</v>
      </c>
      <c r="N21" s="19" t="n">
        <v>342.17</v>
      </c>
      <c r="O21" s="26" t="s">
        <v>45</v>
      </c>
      <c r="P21" s="1" t="n">
        <v>936</v>
      </c>
      <c r="Q21" s="1" t="s">
        <v>46</v>
      </c>
      <c r="R21" s="1" t="n">
        <v>439.6</v>
      </c>
      <c r="S21" s="21" t="n">
        <v>62.36</v>
      </c>
      <c r="T21" s="19" t="n">
        <v>377.24</v>
      </c>
      <c r="U21" s="19" t="n">
        <v>405.64</v>
      </c>
      <c r="V21" s="19" t="n">
        <v>40.3</v>
      </c>
      <c r="W21" s="19" t="n">
        <v>38.3</v>
      </c>
      <c r="X21" s="19" t="n">
        <v>350.8</v>
      </c>
    </row>
    <row r="22" customFormat="false" ht="14.25" hidden="false" customHeight="true" outlineLevel="0" collapsed="false">
      <c r="E22" s="22" t="s">
        <v>45</v>
      </c>
      <c r="F22" s="27" t="n">
        <v>935.999999999999</v>
      </c>
      <c r="G22" s="1" t="s">
        <v>44</v>
      </c>
      <c r="H22" s="1" t="n">
        <v>346.7</v>
      </c>
      <c r="I22" s="21" t="n">
        <v>50.32</v>
      </c>
      <c r="J22" s="19" t="n">
        <v>296.38</v>
      </c>
      <c r="K22" s="19" t="n">
        <v>417.68</v>
      </c>
      <c r="L22" s="19" t="n">
        <v>31.66</v>
      </c>
      <c r="M22" s="19" t="n">
        <v>29.66</v>
      </c>
      <c r="N22" s="19" t="n">
        <v>282.61</v>
      </c>
      <c r="O22" s="22" t="s">
        <v>45</v>
      </c>
      <c r="P22" s="1" t="n">
        <v>936</v>
      </c>
      <c r="Q22" s="1" t="s">
        <v>47</v>
      </c>
      <c r="R22" s="1" t="n">
        <v>435.8</v>
      </c>
      <c r="S22" s="21" t="n">
        <v>80.57</v>
      </c>
      <c r="T22" s="19" t="n">
        <v>355.23</v>
      </c>
      <c r="U22" s="19" t="n">
        <v>387.43</v>
      </c>
      <c r="V22" s="19" t="n">
        <v>37.95</v>
      </c>
      <c r="W22" s="19" t="n">
        <v>35.95</v>
      </c>
      <c r="X22" s="19" t="n">
        <v>322.88</v>
      </c>
    </row>
    <row r="23" customFormat="false" ht="14.25" hidden="false" customHeight="true" outlineLevel="0" collapsed="false">
      <c r="E23" s="22" t="s">
        <v>28</v>
      </c>
      <c r="F23" s="1" t="n">
        <v>468</v>
      </c>
      <c r="G23" s="1" t="s">
        <v>29</v>
      </c>
      <c r="H23" s="1" t="n">
        <v>174.989999999999</v>
      </c>
      <c r="I23" s="23" t="n">
        <v>25.11</v>
      </c>
      <c r="J23" s="24" t="n">
        <v>149.88</v>
      </c>
      <c r="K23" s="24" t="n">
        <v>208.89</v>
      </c>
      <c r="L23" s="24" t="n">
        <v>32.03</v>
      </c>
      <c r="M23" s="24" t="n">
        <v>30.03</v>
      </c>
      <c r="N23" s="19"/>
      <c r="O23" s="22" t="s">
        <v>28</v>
      </c>
      <c r="P23" s="1" t="n">
        <v>467.999999999999</v>
      </c>
      <c r="Q23" s="1" t="s">
        <v>30</v>
      </c>
      <c r="R23" s="1" t="n">
        <v>192.77</v>
      </c>
      <c r="S23" s="23" t="n">
        <v>36.27</v>
      </c>
      <c r="T23" s="28" t="n">
        <v>156.5</v>
      </c>
      <c r="U23" s="28" t="n">
        <v>197.73</v>
      </c>
      <c r="V23" s="24" t="n">
        <v>33.44</v>
      </c>
      <c r="W23" s="24" t="n">
        <v>31.44</v>
      </c>
      <c r="X23" s="19"/>
    </row>
    <row r="24" customFormat="false" ht="14.25" hidden="false" customHeight="true" outlineLevel="0" collapsed="false">
      <c r="E24" s="22" t="s">
        <v>28</v>
      </c>
      <c r="F24" s="1" t="n">
        <v>467.999999999999</v>
      </c>
      <c r="G24" s="1" t="s">
        <v>32</v>
      </c>
      <c r="H24" s="1" t="n">
        <v>162.67</v>
      </c>
      <c r="I24" s="23" t="n">
        <v>26.26</v>
      </c>
      <c r="J24" s="24" t="n">
        <v>136.41</v>
      </c>
      <c r="K24" s="24" t="n">
        <v>207.74</v>
      </c>
      <c r="L24" s="24" t="n">
        <v>29.15</v>
      </c>
      <c r="M24" s="24" t="n">
        <v>27.15</v>
      </c>
      <c r="N24" s="21"/>
      <c r="O24" s="22" t="s">
        <v>28</v>
      </c>
      <c r="P24" s="1" t="n">
        <v>467.999999999999</v>
      </c>
      <c r="Q24" s="1" t="s">
        <v>33</v>
      </c>
      <c r="R24" s="1" t="n">
        <v>186.409999999999</v>
      </c>
      <c r="S24" s="23" t="n">
        <v>43.75</v>
      </c>
      <c r="T24" s="28" t="n">
        <v>142.66</v>
      </c>
      <c r="U24" s="28" t="n">
        <v>190.25</v>
      </c>
      <c r="V24" s="24" t="n">
        <v>30.48</v>
      </c>
      <c r="W24" s="24" t="n">
        <v>28.48</v>
      </c>
      <c r="X24" s="19"/>
    </row>
    <row r="25" customFormat="false" ht="14.25" hidden="false" customHeight="true" outlineLevel="0" collapsed="false">
      <c r="E25" s="22" t="s">
        <v>35</v>
      </c>
      <c r="F25" s="1" t="n">
        <v>468</v>
      </c>
      <c r="G25" s="1" t="s">
        <v>36</v>
      </c>
      <c r="H25" s="1" t="n">
        <v>177.029999999999</v>
      </c>
      <c r="I25" s="23" t="n">
        <v>25.11</v>
      </c>
      <c r="J25" s="24" t="n">
        <v>151.92</v>
      </c>
      <c r="K25" s="24" t="n">
        <v>208.89</v>
      </c>
      <c r="L25" s="24" t="n">
        <v>32.46</v>
      </c>
      <c r="M25" s="24" t="n">
        <v>30.46</v>
      </c>
      <c r="N25" s="25" t="n">
        <v>172.18</v>
      </c>
      <c r="O25" s="22" t="s">
        <v>35</v>
      </c>
      <c r="P25" s="1" t="n">
        <v>467.999999999999</v>
      </c>
      <c r="Q25" s="1" t="s">
        <v>37</v>
      </c>
      <c r="R25" s="1" t="n">
        <v>210.18</v>
      </c>
      <c r="S25" s="23" t="n">
        <v>36.27</v>
      </c>
      <c r="T25" s="28" t="n">
        <v>173.91</v>
      </c>
      <c r="U25" s="28" t="n">
        <v>197.73</v>
      </c>
      <c r="V25" s="24" t="n">
        <v>37.16</v>
      </c>
      <c r="W25" s="24" t="n">
        <v>35.16</v>
      </c>
      <c r="X25" s="25" t="n">
        <v>185.22</v>
      </c>
    </row>
    <row r="26" customFormat="false" ht="14.25" hidden="false" customHeight="true" outlineLevel="0" collapsed="false">
      <c r="E26" s="22" t="s">
        <v>35</v>
      </c>
      <c r="F26" s="1" t="n">
        <v>467.999999999999</v>
      </c>
      <c r="G26" s="1" t="s">
        <v>38</v>
      </c>
      <c r="H26" s="1" t="n">
        <v>158.23</v>
      </c>
      <c r="I26" s="23" t="n">
        <v>26.26</v>
      </c>
      <c r="J26" s="24" t="n">
        <v>131.97</v>
      </c>
      <c r="K26" s="24" t="n">
        <v>207.74</v>
      </c>
      <c r="L26" s="24" t="n">
        <v>28.2</v>
      </c>
      <c r="M26" s="24" t="n">
        <v>26.2</v>
      </c>
      <c r="N26" s="29" t="n">
        <v>151.95</v>
      </c>
      <c r="O26" s="22" t="s">
        <v>35</v>
      </c>
      <c r="P26" s="1" t="n">
        <v>468</v>
      </c>
      <c r="Q26" s="1" t="s">
        <v>39</v>
      </c>
      <c r="R26" s="1" t="n">
        <v>206.63</v>
      </c>
      <c r="S26" s="23" t="n">
        <v>43.75</v>
      </c>
      <c r="T26" s="28" t="n">
        <v>162.88</v>
      </c>
      <c r="U26" s="28" t="n">
        <v>190.25</v>
      </c>
      <c r="V26" s="24" t="n">
        <v>34.8</v>
      </c>
      <c r="W26" s="24" t="n">
        <v>32.8</v>
      </c>
      <c r="X26" s="29" t="n">
        <v>172.34</v>
      </c>
    </row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45" hidden="false" customHeight="true" outlineLevel="0" collapsed="false"/>
    <row r="47" customFormat="false" ht="14.4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5.6" hidden="false" customHeight="true" outlineLevel="0" collapsed="false"/>
    <row r="51" customFormat="false" ht="15.6" hidden="false" customHeight="true" outlineLevel="0" collapsed="false"/>
    <row r="52" customFormat="false" ht="15.6" hidden="false" customHeight="true" outlineLevel="0" collapsed="false"/>
    <row r="53" customFormat="false" ht="15.6" hidden="false" customHeight="true" outlineLevel="0" collapsed="false"/>
    <row r="54" customFormat="false" ht="15.6" hidden="false" customHeight="true" outlineLevel="0" collapsed="false"/>
    <row r="55" customFormat="false" ht="15.6" hidden="false" customHeight="true" outlineLevel="0" collapsed="false"/>
    <row r="56" customFormat="false" ht="15.6" hidden="false" customHeight="true" outlineLevel="0" collapsed="false"/>
    <row r="57" customFormat="false" ht="15.6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2020-12-07T15:31:16Z</dcterms:created>
  <dc:creator>Shefali Walia</dc:creator>
  <dc:description/>
  <dc:language>en-US</dc:language>
  <cp:lastModifiedBy/>
  <dcterms:modified xsi:type="dcterms:W3CDTF">2023-01-20T12:57:14Z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