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Архив" sheetId="2" r:id="rId5"/>
  </sheets>
  <definedNames/>
  <calcPr/>
</workbook>
</file>

<file path=xl/sharedStrings.xml><?xml version="1.0" encoding="utf-8"?>
<sst xmlns="http://schemas.openxmlformats.org/spreadsheetml/2006/main" count="101" uniqueCount="39">
  <si>
    <t>tickers</t>
  </si>
  <si>
    <t>RUB</t>
  </si>
  <si>
    <t>RUSB</t>
  </si>
  <si>
    <t>FXGD</t>
  </si>
  <si>
    <t>FXDE</t>
  </si>
  <si>
    <t>FXCN</t>
  </si>
  <si>
    <t>FXKZ</t>
  </si>
  <si>
    <t>FXUS</t>
  </si>
  <si>
    <t>FXIT</t>
  </si>
  <si>
    <t>FXTB</t>
  </si>
  <si>
    <t>TIPO</t>
  </si>
  <si>
    <t>TECH</t>
  </si>
  <si>
    <t>Тек. оценка</t>
  </si>
  <si>
    <t>Σ</t>
  </si>
  <si>
    <t>Свободно</t>
  </si>
  <si>
    <t>USD</t>
  </si>
  <si>
    <t>%</t>
  </si>
  <si>
    <t>Планирование</t>
  </si>
  <si>
    <t>По плану:</t>
  </si>
  <si>
    <t>По факту:</t>
  </si>
  <si>
    <t>Рекоммендации</t>
  </si>
  <si>
    <t>Классы</t>
  </si>
  <si>
    <t>Изменение:</t>
  </si>
  <si>
    <t>Текущее/Классы</t>
  </si>
  <si>
    <t>ETF</t>
  </si>
  <si>
    <t>Товары (FXGD)</t>
  </si>
  <si>
    <t>Акции</t>
  </si>
  <si>
    <t>Бонды(FXTB)</t>
  </si>
  <si>
    <t>наличные</t>
  </si>
  <si>
    <t>ВСЕГо</t>
  </si>
  <si>
    <t>Фонды на индексы:</t>
  </si>
  <si>
    <t>Текущее/регион</t>
  </si>
  <si>
    <t>Азия</t>
  </si>
  <si>
    <t>Америка</t>
  </si>
  <si>
    <t>Европа</t>
  </si>
  <si>
    <t>Tinkoff$</t>
  </si>
  <si>
    <t>13.01.2020</t>
  </si>
  <si>
    <t>Количество</t>
  </si>
  <si>
    <t>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</si>
</sst>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&quot;, &quot;yyyy"/>
    <numFmt numFmtId="165" formatCode="&quot;$&quot;#,##0.00"/>
    <numFmt numFmtId="166" formatCode="#,##0.00[$ ₽]"/>
    <numFmt numFmtId="167" formatCode="#,##0.00;(#,##0.00)"/>
    <numFmt numFmtId="168" formatCode="mmm d, yyyy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rgb="FF93C47D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center" readingOrder="0"/>
    </xf>
    <xf borderId="0" fillId="2" fontId="1" numFmtId="164" xfId="0" applyFont="1" applyNumberFormat="1"/>
    <xf borderId="0" fillId="2" fontId="1" numFmtId="165" xfId="0" applyFont="1" applyNumberFormat="1"/>
    <xf borderId="0" fillId="2" fontId="1" numFmtId="166" xfId="0" applyFont="1" applyNumberFormat="1"/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2" fontId="1" numFmtId="166" xfId="0" applyAlignment="1" applyFont="1" applyNumberFormat="1">
      <alignment horizontal="center" vertical="center"/>
    </xf>
    <xf borderId="0" fillId="2" fontId="1" numFmtId="165" xfId="0" applyAlignment="1" applyFont="1" applyNumberFormat="1">
      <alignment horizontal="center" vertical="center"/>
    </xf>
    <xf borderId="0" fillId="0" fontId="1" numFmtId="10" xfId="0" applyFont="1" applyNumberFormat="1"/>
    <xf borderId="0" fillId="5" fontId="2" numFmtId="166" xfId="0" applyAlignment="1" applyFill="1" applyFont="1" applyNumberFormat="1">
      <alignment readingOrder="0"/>
    </xf>
    <xf borderId="0" fillId="2" fontId="1" numFmtId="167" xfId="0" applyFont="1" applyNumberFormat="1"/>
    <xf borderId="0" fillId="6" fontId="1" numFmtId="166" xfId="0" applyFill="1" applyFont="1" applyNumberFormat="1"/>
    <xf borderId="0" fillId="6" fontId="1" numFmtId="165" xfId="0" applyFont="1" applyNumberFormat="1"/>
    <xf borderId="0" fillId="2" fontId="1" numFmtId="10" xfId="0" applyFont="1" applyNumberFormat="1"/>
    <xf borderId="0" fillId="3" fontId="1" numFmtId="0" xfId="0" applyFont="1"/>
    <xf borderId="0" fillId="7" fontId="1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7" fontId="1" numFmtId="0" xfId="0" applyFont="1"/>
    <xf borderId="0" fillId="0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4" fontId="1" numFmtId="1" xfId="0" applyFont="1" applyNumberFormat="1"/>
    <xf borderId="0" fillId="8" fontId="1" numFmtId="10" xfId="0" applyFont="1" applyNumberFormat="1"/>
    <xf borderId="0" fillId="9" fontId="1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10" fontId="1" numFmtId="166" xfId="0" applyFill="1" applyFont="1" applyNumberFormat="1"/>
    <xf borderId="0" fillId="4" fontId="1" numFmtId="10" xfId="0" applyFont="1" applyNumberFormat="1"/>
    <xf borderId="0" fillId="11" fontId="1" numFmtId="0" xfId="0" applyAlignment="1" applyFill="1" applyFont="1">
      <alignment readingOrder="0"/>
    </xf>
    <xf borderId="0" fillId="11" fontId="1" numFmtId="10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7" xfId="0" applyAlignment="1" applyFont="1" applyNumberFormat="1">
      <alignment readingOrder="0"/>
    </xf>
    <xf borderId="0" fillId="12" fontId="1" numFmtId="0" xfId="0" applyAlignment="1" applyFill="1" applyFont="1">
      <alignment readingOrder="0"/>
    </xf>
    <xf borderId="0" fillId="3" fontId="1" numFmtId="166" xfId="0" applyFont="1" applyNumberFormat="1"/>
    <xf borderId="0" fillId="13" fontId="1" numFmtId="0" xfId="0" applyAlignment="1" applyFill="1" applyFont="1">
      <alignment readingOrder="0"/>
    </xf>
    <xf borderId="0" fillId="13" fontId="1" numFmtId="10" xfId="0" applyAlignment="1" applyFont="1" applyNumberFormat="1">
      <alignment readingOrder="0"/>
    </xf>
    <xf borderId="0" fillId="14" fontId="1" numFmtId="0" xfId="0" applyAlignment="1" applyFill="1" applyFont="1">
      <alignment readingOrder="0"/>
    </xf>
    <xf borderId="0" fillId="3" fontId="1" numFmtId="167" xfId="0" applyFont="1" applyNumberFormat="1"/>
    <xf borderId="0" fillId="3" fontId="1" numFmtId="167" xfId="0" applyAlignment="1" applyFont="1" applyNumberForma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6" fontId="1" numFmtId="10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10" fontId="4" numFmtId="166" xfId="0" applyFont="1" applyNumberFormat="1"/>
    <xf borderId="0" fillId="4" fontId="1" numFmtId="166" xfId="0" applyFont="1" applyNumberFormat="1"/>
    <xf borderId="0" fillId="0" fontId="1" numFmtId="0" xfId="0" applyFont="1"/>
    <xf borderId="0" fillId="0" fontId="1" numFmtId="168" xfId="0" applyAlignment="1" applyFont="1" applyNumberFormat="1">
      <alignment readingOrder="0"/>
    </xf>
    <xf borderId="0" fillId="17" fontId="1" numFmtId="0" xfId="0" applyAlignment="1" applyFill="1" applyFont="1">
      <alignment readingOrder="0"/>
    </xf>
    <xf borderId="0" fillId="9" fontId="1" numFmtId="10" xfId="0" applyFont="1" applyNumberFormat="1"/>
    <xf borderId="0" fillId="18" fontId="1" numFmtId="0" xfId="0" applyAlignment="1" applyFill="1" applyFont="1">
      <alignment readingOrder="0"/>
    </xf>
    <xf borderId="0" fillId="18" fontId="1" numFmtId="10" xfId="0" applyFont="1" applyNumberFormat="1"/>
    <xf borderId="0" fillId="19" fontId="1" numFmtId="0" xfId="0" applyAlignment="1" applyFill="1" applyFont="1">
      <alignment readingOrder="0"/>
    </xf>
    <xf borderId="0" fillId="4" fontId="1" numFmtId="10" xfId="0" applyAlignment="1" applyFont="1" applyNumberFormat="1">
      <alignment readingOrder="0"/>
    </xf>
    <xf borderId="0" fillId="20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21" fontId="1" numFmtId="0" xfId="0" applyAlignment="1" applyFill="1" applyFont="1">
      <alignment readingOrder="0"/>
    </xf>
    <xf borderId="0" fillId="2" fontId="1" numFmtId="166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класс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EAD1DC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DATA!$A$10:$A$14</c:f>
            </c:strRef>
          </c:cat>
          <c:val>
            <c:numRef>
              <c:f>DATA!$B$10:$B$14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подкласс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6B26B"/>
              </a:solidFill>
            </c:spPr>
          </c:dPt>
          <c:dPt>
            <c:idx val="1"/>
            <c:spPr>
              <a:solidFill>
                <a:srgbClr val="6FA8DC"/>
              </a:solidFill>
            </c:spPr>
          </c:dPt>
          <c:dPt>
            <c:idx val="2"/>
            <c:spPr>
              <a:solidFill>
                <a:srgbClr val="93C47D"/>
              </a:solidFill>
            </c:spPr>
          </c:dPt>
          <c:dPt>
            <c:idx val="3"/>
            <c:spPr>
              <a:solidFill>
                <a:srgbClr val="8E7CC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DATA!$A$19:$A$22</c:f>
            </c:strRef>
          </c:cat>
          <c:val>
            <c:numRef>
              <c:f>DATA!$B$19:$B$22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Текущее/Подробно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DATA!$C$1:$M$1</c:f>
            </c:strRef>
          </c:cat>
          <c:val>
            <c:numRef>
              <c:f>DATA!$C$6:$M$6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класс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DATA!$E$10:$E$14</c:f>
            </c:strRef>
          </c:cat>
          <c:val>
            <c:numRef>
              <c:f>DATA!$F$10:$F$14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подкласс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DATA!$F$18</c:f>
            </c:strRef>
          </c:tx>
          <c:dPt>
            <c:idx val="0"/>
            <c:spPr>
              <a:solidFill>
                <a:srgbClr val="F6B26B"/>
              </a:solidFill>
            </c:spPr>
          </c:dPt>
          <c:dPt>
            <c:idx val="1"/>
            <c:spPr>
              <a:solidFill>
                <a:srgbClr val="6FA8DC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8E7CC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DATA!$E$19:$E$22</c:f>
            </c:strRef>
          </c:cat>
          <c:val>
            <c:numRef>
              <c:f>DATA!$F$19:$F$22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8</xdr:row>
      <xdr:rowOff>28575</xdr:rowOff>
    </xdr:from>
    <xdr:ext cx="2838450" cy="17621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16</xdr:row>
      <xdr:rowOff>190500</xdr:rowOff>
    </xdr:from>
    <xdr:ext cx="2838450" cy="17621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952500</xdr:colOff>
      <xdr:row>18</xdr:row>
      <xdr:rowOff>66675</xdr:rowOff>
    </xdr:from>
    <xdr:ext cx="4400550" cy="27051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933450</xdr:colOff>
      <xdr:row>8</xdr:row>
      <xdr:rowOff>28575</xdr:rowOff>
    </xdr:from>
    <xdr:ext cx="2838450" cy="17621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933450</xdr:colOff>
      <xdr:row>16</xdr:row>
      <xdr:rowOff>190500</xdr:rowOff>
    </xdr:from>
    <xdr:ext cx="2838450" cy="17621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</row>
    <row r="2">
      <c r="A2" s="4">
        <f>TODAY()</f>
        <v>44259</v>
      </c>
      <c r="B2" s="5">
        <f>IFERROR(__xludf.DUMMYFUNCTION("GOOGLEFINANCE(""CURRENCY:RUBUSD"")"),0.013545)</f>
        <v>0.013545</v>
      </c>
      <c r="C2" s="6">
        <f>1/B2</f>
        <v>73.8279808</v>
      </c>
      <c r="D2" s="7">
        <v>28.0</v>
      </c>
      <c r="E2" s="7">
        <f>200+1896</f>
        <v>2096</v>
      </c>
      <c r="F2" s="7">
        <f>75+76+229</f>
        <v>380</v>
      </c>
      <c r="G2" s="7">
        <f>35+171</f>
        <v>206</v>
      </c>
      <c r="H2" s="7">
        <f>116+790+25+14+15+8+14</f>
        <v>982</v>
      </c>
      <c r="I2" s="7">
        <f>40+50+45</f>
        <v>135</v>
      </c>
      <c r="J2" s="7">
        <f>10+20+16</f>
        <v>46</v>
      </c>
      <c r="K2" s="7">
        <f>125+269+550</f>
        <v>944</v>
      </c>
      <c r="L2" s="7">
        <f>46976+138</f>
        <v>47114</v>
      </c>
      <c r="M2" s="7">
        <v>100000.0</v>
      </c>
      <c r="N2" s="2"/>
      <c r="O2" s="2"/>
      <c r="Q2" s="8"/>
      <c r="R2" s="8"/>
    </row>
    <row r="3">
      <c r="A3" s="2"/>
      <c r="B3" s="1" t="s">
        <v>14</v>
      </c>
      <c r="C3" s="2"/>
      <c r="D3" s="9">
        <f>IFERROR(__xludf.DUMMYFUNCTION("IMPORTxml(""https://iss.moex.com/iss/engines/stock/markets/shares/boards/TQTF/securities.xml?iss.meta=off&amp;iss.only=securities&amp;securities.columns=SECID,PREVADMITTEDQUOTE"", concatenate(""//row[@SECID='"",D1,""']/@PREVADMITTEDQUOTE""))"),2149.0)</f>
        <v>2149</v>
      </c>
      <c r="E3" s="9">
        <f>IFERROR(__xludf.DUMMYFUNCTION("IMPORTxml(""https://iss.moex.com/iss/engines/stock/markets/shares/boards/TQTF/securities.xml?iss.meta=off&amp;iss.only=securities&amp;securities.columns=SECID,PREVADMITTEDQUOTE"", concatenate(""//row[@SECID='"",E1,""']/@PREVADMITTEDQUOTE""))"),854.8)</f>
        <v>854.8</v>
      </c>
      <c r="F3" s="9">
        <f>IFERROR(__xludf.DUMMYFUNCTION("IMPORTxml(""https://iss.moex.com/iss/engines/stock/markets/shares/boards/TQTF/securities.xml?iss.meta=off&amp;iss.only=securities&amp;securities.columns=SECID,PREVADMITTEDQUOTE"", concatenate(""//row[@SECID='"",F1,""']/@PREVADMITTEDQUOTE""))"),2837.5)</f>
        <v>2837.5</v>
      </c>
      <c r="G3" s="9">
        <f>IFERROR(__xludf.DUMMYFUNCTION("IMPORTxml(""https://iss.moex.com/iss/engines/stock/markets/shares/boards/TQTF/securities.xml?iss.meta=off&amp;iss.only=securities&amp;securities.columns=SECID,PREVADMITTEDQUOTE"", concatenate(""//row[@SECID='"",G1,""']/@PREVADMITTEDQUOTE""))"),4354.5)</f>
        <v>4354.5</v>
      </c>
      <c r="H3" s="9">
        <f>IFERROR(__xludf.DUMMYFUNCTION("IMPORTxml(""https://iss.moex.com/iss/engines/stock/markets/shares/boards/TQTF/securities.xml?iss.meta=off&amp;iss.only=securities&amp;securities.columns=SECID,PREVADMITTEDQUOTE"", concatenate(""//row[@SECID='"",H1,""']/@PREVADMITTEDQUOTE""))"),259.1)</f>
        <v>259.1</v>
      </c>
      <c r="I3" s="9">
        <f>IFERROR(__xludf.DUMMYFUNCTION("IMPORTxml(""https://iss.moex.com/iss/engines/stock/markets/shares/boards/TQTF/securities.xml?iss.meta=off&amp;iss.only=securities&amp;securities.columns=SECID,PREVADMITTEDQUOTE"", concatenate(""//row[@SECID='"",I1,""']/@PREVADMITTEDQUOTE""))"),5239.0)</f>
        <v>5239</v>
      </c>
      <c r="J3" s="9">
        <f>IFERROR(__xludf.DUMMYFUNCTION("IMPORTxml(""https://iss.moex.com/iss/engines/stock/markets/shares/boards/TQTF/securities.xml?iss.meta=off&amp;iss.only=securities&amp;securities.columns=SECID,PREVADMITTEDQUOTE"", concatenate(""//row[@SECID='"",J1,""']/@PREVADMITTEDQUOTE""))"),9696.0)</f>
        <v>9696</v>
      </c>
      <c r="K3" s="9">
        <f>IFERROR(__xludf.DUMMYFUNCTION("IMPORTxml(""https://iss.moex.com/iss/engines/stock/markets/shares/boards/TQTF/securities.xml?iss.meta=off&amp;iss.only=securities&amp;securities.columns=SECID,PREVADMITTEDQUOTE"", concatenate(""//row[@SECID='"",K1,""']/@PREVADMITTEDQUOTE""))"),753.6)</f>
        <v>753.6</v>
      </c>
      <c r="L3" s="10">
        <f>IFERROR(__xludf.DUMMYFUNCTION("IMPORTxml(""https://iss.moex.com/iss/engines/stock/markets/shares/boards/TQTD/securities.xml?iss.meta=off&amp;iss.only=securities&amp;securities.columns=SECID,PREVADMITTEDQUOTE"", concatenate(""//row[@SECID='"",L1,""']/@PREVADMITTEDQUOTE""))"),0.0985)</f>
        <v>0.0985</v>
      </c>
      <c r="M3" s="10">
        <f>IFERROR(__xludf.DUMMYFUNCTION("IMPORTxml(""https://iss.moex.com/iss/engines/stock/markets/shares/boards/TQTD/securities.xml?iss.meta=off&amp;iss.only=securities&amp;securities.columns=SECID,PREVADMITTEDQUOTE"", concatenate(""//row[@SECID='"",M1,""']/@PREVADMITTEDQUOTE""))"),0.1001)</f>
        <v>0.1001</v>
      </c>
      <c r="N3" s="2"/>
      <c r="O3" s="2"/>
      <c r="Q3" s="8"/>
      <c r="R3" s="11"/>
    </row>
    <row r="4">
      <c r="A4" s="1" t="s">
        <v>1</v>
      </c>
      <c r="B4" s="12">
        <f>C15-O4</f>
        <v>53672.86061</v>
      </c>
      <c r="C4" s="13"/>
      <c r="D4" s="6">
        <f t="shared" ref="D4:K4" si="1">D3*D2</f>
        <v>60172</v>
      </c>
      <c r="E4" s="6">
        <f t="shared" si="1"/>
        <v>1791660.8</v>
      </c>
      <c r="F4" s="6">
        <f t="shared" si="1"/>
        <v>1078250</v>
      </c>
      <c r="G4" s="6">
        <f t="shared" si="1"/>
        <v>897027</v>
      </c>
      <c r="H4" s="6">
        <f t="shared" si="1"/>
        <v>254436.2</v>
      </c>
      <c r="I4" s="6">
        <f t="shared" si="1"/>
        <v>707265</v>
      </c>
      <c r="J4" s="6">
        <f t="shared" si="1"/>
        <v>446016</v>
      </c>
      <c r="K4" s="6">
        <f t="shared" si="1"/>
        <v>711398.4</v>
      </c>
      <c r="L4" s="14">
        <f t="shared" ref="L4:M4" si="2">L5*$C$2</f>
        <v>342615.6515</v>
      </c>
      <c r="M4" s="14">
        <f t="shared" si="2"/>
        <v>739018.0879</v>
      </c>
      <c r="N4" s="6">
        <f>SUM(D4:K4)</f>
        <v>5946225.4</v>
      </c>
      <c r="O4" s="6">
        <f t="shared" ref="O4:O5" si="5">SUM(D4:M4)</f>
        <v>7027859.139</v>
      </c>
      <c r="Q4" s="8"/>
      <c r="R4" s="11"/>
    </row>
    <row r="5">
      <c r="A5" s="1" t="s">
        <v>15</v>
      </c>
      <c r="B5" s="15">
        <f>B4/$C$2</f>
        <v>726.998897</v>
      </c>
      <c r="C5" s="2"/>
      <c r="D5" s="15">
        <f t="shared" ref="D5:K5" si="3">D4/$C$2</f>
        <v>815.02974</v>
      </c>
      <c r="E5" s="15">
        <f t="shared" si="3"/>
        <v>24268.04554</v>
      </c>
      <c r="F5" s="15">
        <f t="shared" si="3"/>
        <v>14604.89625</v>
      </c>
      <c r="G5" s="15">
        <f t="shared" si="3"/>
        <v>12150.23072</v>
      </c>
      <c r="H5" s="15">
        <f t="shared" si="3"/>
        <v>3446.338329</v>
      </c>
      <c r="I5" s="15">
        <f t="shared" si="3"/>
        <v>9579.904425</v>
      </c>
      <c r="J5" s="15">
        <f t="shared" si="3"/>
        <v>6041.28672</v>
      </c>
      <c r="K5" s="15">
        <f t="shared" si="3"/>
        <v>9635.891328</v>
      </c>
      <c r="L5" s="5">
        <f t="shared" ref="L5:M5" si="4">L2*L3</f>
        <v>4640.729</v>
      </c>
      <c r="M5" s="5">
        <f t="shared" si="4"/>
        <v>10010</v>
      </c>
      <c r="N5" s="5">
        <f>L5+M5</f>
        <v>14650.729</v>
      </c>
      <c r="O5" s="5">
        <f t="shared" si="5"/>
        <v>95192.35204</v>
      </c>
      <c r="Q5" s="8"/>
      <c r="R5" s="11"/>
    </row>
    <row r="6">
      <c r="A6" s="1" t="s">
        <v>16</v>
      </c>
      <c r="B6" s="2"/>
      <c r="C6" s="16">
        <f t="shared" ref="C6:D6" si="6">B4/$C$15</f>
        <v>0.007579272481</v>
      </c>
      <c r="D6" s="16">
        <f t="shared" si="6"/>
        <v>0</v>
      </c>
      <c r="E6" s="16">
        <f t="shared" ref="E6:M6" si="7">E4/$C$15</f>
        <v>0.2530046888</v>
      </c>
      <c r="F6" s="16">
        <f t="shared" si="7"/>
        <v>0.1522622506</v>
      </c>
      <c r="G6" s="16">
        <f t="shared" si="7"/>
        <v>0.1266713191</v>
      </c>
      <c r="H6" s="16">
        <f t="shared" si="7"/>
        <v>0.0359295418</v>
      </c>
      <c r="I6" s="16">
        <f t="shared" si="7"/>
        <v>0.09987457516</v>
      </c>
      <c r="J6" s="16">
        <f t="shared" si="7"/>
        <v>0.06298298165</v>
      </c>
      <c r="K6" s="16">
        <f t="shared" si="7"/>
        <v>0.1004582624</v>
      </c>
      <c r="L6" s="16">
        <f t="shared" si="7"/>
        <v>0.04838157217</v>
      </c>
      <c r="M6" s="16">
        <f t="shared" si="7"/>
        <v>0.1043585043</v>
      </c>
      <c r="N6" s="16"/>
      <c r="O6" s="16">
        <f>O4/$C$15</f>
        <v>0.9924207275</v>
      </c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ht="14.25" customHeight="1">
      <c r="A8" s="18"/>
      <c r="B8" s="19" t="s">
        <v>17</v>
      </c>
      <c r="C8" s="18"/>
      <c r="D8" s="18"/>
      <c r="E8" s="18"/>
      <c r="F8" s="19" t="s">
        <v>18</v>
      </c>
      <c r="G8" s="18"/>
      <c r="H8" s="18"/>
      <c r="I8" s="19" t="s">
        <v>19</v>
      </c>
      <c r="J8" s="18"/>
      <c r="K8" s="18"/>
      <c r="L8" s="19" t="s">
        <v>20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21" t="s">
        <v>21</v>
      </c>
      <c r="D9" s="21" t="s">
        <v>22</v>
      </c>
      <c r="E9" s="21" t="s">
        <v>23</v>
      </c>
      <c r="K9" s="22" t="s">
        <v>2</v>
      </c>
      <c r="L9" s="23"/>
      <c r="M9" s="24"/>
    </row>
    <row r="10">
      <c r="A10" s="25" t="s">
        <v>24</v>
      </c>
      <c r="B10" s="26">
        <v>0.6275</v>
      </c>
      <c r="C10" s="8">
        <f t="shared" ref="C10:C14" si="8">B10*$C$15</f>
        <v>4443661.33</v>
      </c>
      <c r="D10" s="27">
        <f t="shared" ref="D10:D15" si="9">C10-G10</f>
        <v>-20966.60939</v>
      </c>
      <c r="E10" s="21" t="s">
        <v>24</v>
      </c>
      <c r="F10" s="28">
        <f>D6+F6+G6+H6+I6+J6+L6+M6</f>
        <v>0.6304607448</v>
      </c>
      <c r="G10" s="8">
        <f t="shared" ref="G10:G14" si="10">F10*$C$15</f>
        <v>4464627.939</v>
      </c>
      <c r="K10" s="29" t="s">
        <v>3</v>
      </c>
      <c r="L10" s="23">
        <f>FLOOR(D11/E3,1)</f>
        <v>161</v>
      </c>
      <c r="M10" s="30"/>
      <c r="N10" s="31">
        <f>L10*E3</f>
        <v>137622.8</v>
      </c>
    </row>
    <row r="11">
      <c r="A11" s="29" t="s">
        <v>3</v>
      </c>
      <c r="B11" s="26">
        <v>0.2725</v>
      </c>
      <c r="C11" s="8">
        <f t="shared" si="8"/>
        <v>1929717.47</v>
      </c>
      <c r="D11" s="27">
        <f t="shared" si="9"/>
        <v>138056.67</v>
      </c>
      <c r="E11" s="21" t="s">
        <v>25</v>
      </c>
      <c r="F11" s="28">
        <f>E6</f>
        <v>0.2530046888</v>
      </c>
      <c r="G11" s="8">
        <f t="shared" si="10"/>
        <v>1791660.8</v>
      </c>
      <c r="H11" s="32"/>
      <c r="I11" s="32"/>
      <c r="J11" s="32"/>
      <c r="K11" s="22" t="s">
        <v>4</v>
      </c>
      <c r="L11" s="23">
        <f>FLOOR(D21/F3,1)</f>
        <v>11</v>
      </c>
      <c r="M11" s="24"/>
      <c r="N11" s="31">
        <f>L11*F3</f>
        <v>31212.5</v>
      </c>
      <c r="O11" s="33">
        <v>229.0</v>
      </c>
    </row>
    <row r="12">
      <c r="A12" s="34" t="s">
        <v>26</v>
      </c>
      <c r="B12" s="26">
        <v>0.0</v>
      </c>
      <c r="C12" s="8">
        <f t="shared" si="8"/>
        <v>0</v>
      </c>
      <c r="D12" s="35">
        <f t="shared" si="9"/>
        <v>0</v>
      </c>
      <c r="E12" s="21" t="s">
        <v>26</v>
      </c>
      <c r="F12" s="8"/>
      <c r="G12" s="8">
        <f t="shared" si="10"/>
        <v>0</v>
      </c>
      <c r="H12" s="32"/>
      <c r="I12" s="32"/>
      <c r="J12" s="32"/>
      <c r="K12" s="36" t="s">
        <v>5</v>
      </c>
      <c r="L12" s="23">
        <f>FLOOR($D$19*M12/G3,1)</f>
        <v>-7</v>
      </c>
      <c r="M12" s="37">
        <v>0.75</v>
      </c>
      <c r="N12" s="31">
        <f>L12*G3</f>
        <v>-30481.5</v>
      </c>
      <c r="O12" s="33">
        <v>171.0</v>
      </c>
    </row>
    <row r="13">
      <c r="A13" s="38" t="s">
        <v>9</v>
      </c>
      <c r="B13" s="26">
        <v>0.1</v>
      </c>
      <c r="C13" s="8">
        <f t="shared" si="8"/>
        <v>708153.2</v>
      </c>
      <c r="D13" s="27">
        <f t="shared" si="9"/>
        <v>-3245.2</v>
      </c>
      <c r="E13" s="21" t="s">
        <v>27</v>
      </c>
      <c r="F13" s="28">
        <f>K6</f>
        <v>0.1004582624</v>
      </c>
      <c r="G13" s="8">
        <f t="shared" si="10"/>
        <v>711398.4</v>
      </c>
      <c r="H13" s="39"/>
      <c r="I13" s="39"/>
      <c r="J13" s="39"/>
      <c r="K13" s="36" t="s">
        <v>6</v>
      </c>
      <c r="L13" s="23">
        <f>FLOOR($D$19*M13/H3,1)</f>
        <v>-40</v>
      </c>
      <c r="M13" s="37">
        <v>0.25</v>
      </c>
      <c r="N13" s="31">
        <f>L13*H3</f>
        <v>-10364</v>
      </c>
      <c r="O13" s="40">
        <f>116+790+25+14</f>
        <v>945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A14" s="41" t="s">
        <v>28</v>
      </c>
      <c r="B14" s="26">
        <v>0.0</v>
      </c>
      <c r="C14" s="8">
        <f t="shared" si="8"/>
        <v>0</v>
      </c>
      <c r="D14" s="27">
        <f t="shared" si="9"/>
        <v>-53672.86061</v>
      </c>
      <c r="E14" s="21" t="s">
        <v>28</v>
      </c>
      <c r="F14" s="28">
        <f>C6</f>
        <v>0.007579272481</v>
      </c>
      <c r="G14" s="8">
        <f t="shared" si="10"/>
        <v>53672.86061</v>
      </c>
      <c r="H14" s="7"/>
      <c r="I14" s="7"/>
      <c r="J14" s="7"/>
      <c r="K14" s="42" t="s">
        <v>7</v>
      </c>
      <c r="L14" s="23">
        <f>FLOOR($D$20*M14/I3,1)</f>
        <v>0</v>
      </c>
      <c r="M14" s="43">
        <v>0.6</v>
      </c>
      <c r="N14" s="31">
        <f>L14*I3</f>
        <v>0</v>
      </c>
      <c r="O14" s="7">
        <v>45.0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>
      <c r="A15" s="44" t="s">
        <v>29</v>
      </c>
      <c r="B15" s="28">
        <f>SUM(B10:B14)</f>
        <v>1</v>
      </c>
      <c r="C15" s="21">
        <v>7081532.0</v>
      </c>
      <c r="D15" s="45">
        <f t="shared" si="9"/>
        <v>59715.94002</v>
      </c>
      <c r="E15" s="21" t="s">
        <v>29</v>
      </c>
      <c r="F15" s="28">
        <f>SUM(F10:F14)</f>
        <v>0.9915029686</v>
      </c>
      <c r="G15" s="46">
        <f>F15*$O$4+B4</f>
        <v>7021816.06</v>
      </c>
      <c r="K15" s="42" t="s">
        <v>8</v>
      </c>
      <c r="L15" s="23">
        <f>FLOOR($D$20*M15/J3,1)</f>
        <v>0</v>
      </c>
      <c r="M15" s="43">
        <v>0.4</v>
      </c>
      <c r="N15" s="31">
        <f>L15*J3</f>
        <v>0</v>
      </c>
      <c r="O15" s="47">
        <v>16.0</v>
      </c>
    </row>
    <row r="16">
      <c r="A16" s="48"/>
      <c r="D16" s="35"/>
      <c r="K16" s="49" t="s">
        <v>9</v>
      </c>
      <c r="L16" s="23">
        <f>FLOOR(D13/K3,1)</f>
        <v>-5</v>
      </c>
      <c r="M16" s="50"/>
      <c r="N16" s="31">
        <f>L16*K3</f>
        <v>-3768</v>
      </c>
      <c r="O16" s="21">
        <v>550.0</v>
      </c>
    </row>
    <row r="17">
      <c r="A17" s="48"/>
      <c r="D17" s="35"/>
      <c r="K17" s="51" t="s">
        <v>10</v>
      </c>
      <c r="L17" s="23">
        <f>FLOOR($D$20*M17/L3/C2,1)</f>
        <v>0</v>
      </c>
      <c r="M17" s="52"/>
    </row>
    <row r="18">
      <c r="A18" s="21" t="s">
        <v>30</v>
      </c>
      <c r="D18" s="35"/>
      <c r="E18" s="21" t="s">
        <v>31</v>
      </c>
      <c r="H18" s="32"/>
      <c r="I18" s="32"/>
      <c r="J18" s="32"/>
      <c r="K18" s="51" t="s">
        <v>11</v>
      </c>
      <c r="L18" s="23">
        <f>FLOOR($D$20*M18/M3/C2,1)</f>
        <v>0</v>
      </c>
      <c r="M18" s="52"/>
      <c r="N18" s="32"/>
    </row>
    <row r="19">
      <c r="A19" s="53" t="s">
        <v>32</v>
      </c>
      <c r="B19" s="26">
        <v>0.25</v>
      </c>
      <c r="C19" s="2">
        <f t="shared" ref="C19:C22" si="11">B19*$C$23</f>
        <v>1110915.333</v>
      </c>
      <c r="D19" s="27">
        <f t="shared" ref="D19:D22" si="12">C19-G19</f>
        <v>-40547.8675</v>
      </c>
      <c r="E19" s="21" t="s">
        <v>32</v>
      </c>
      <c r="F19" s="54">
        <f>G6+H6</f>
        <v>0.1626008609</v>
      </c>
      <c r="G19" s="2">
        <f t="shared" ref="G19:G23" si="13">F19*$C$15</f>
        <v>1151463.2</v>
      </c>
      <c r="N19" s="47">
        <f>SUM(N9:N16)</f>
        <v>124221.8</v>
      </c>
    </row>
    <row r="20">
      <c r="A20" s="55" t="s">
        <v>33</v>
      </c>
      <c r="B20" s="26">
        <v>0.26</v>
      </c>
      <c r="C20" s="2">
        <f t="shared" si="11"/>
        <v>1155351.946</v>
      </c>
      <c r="D20" s="27">
        <f t="shared" si="12"/>
        <v>2070.9458</v>
      </c>
      <c r="E20" s="21" t="s">
        <v>33</v>
      </c>
      <c r="F20" s="54">
        <f>J6+I6</f>
        <v>0.1628575568</v>
      </c>
      <c r="G20" s="2">
        <f t="shared" si="13"/>
        <v>1153281</v>
      </c>
    </row>
    <row r="21">
      <c r="A21" s="56" t="s">
        <v>34</v>
      </c>
      <c r="B21" s="26">
        <v>0.25</v>
      </c>
      <c r="C21" s="2">
        <f t="shared" si="11"/>
        <v>1110915.333</v>
      </c>
      <c r="D21" s="27">
        <f t="shared" si="12"/>
        <v>32665.3325</v>
      </c>
      <c r="E21" s="21" t="s">
        <v>34</v>
      </c>
      <c r="F21" s="54">
        <f>F6+D6</f>
        <v>0.1522622506</v>
      </c>
      <c r="G21" s="2">
        <f t="shared" si="13"/>
        <v>1078250</v>
      </c>
    </row>
    <row r="22">
      <c r="A22" s="57" t="s">
        <v>35</v>
      </c>
      <c r="B22" s="26">
        <v>0.24</v>
      </c>
      <c r="C22" s="2">
        <f t="shared" si="11"/>
        <v>1066478.719</v>
      </c>
      <c r="D22" s="27">
        <f t="shared" si="12"/>
        <v>-15155.02019</v>
      </c>
      <c r="E22" s="21" t="s">
        <v>35</v>
      </c>
      <c r="F22" s="54">
        <f>L6+M6</f>
        <v>0.1527400765</v>
      </c>
      <c r="G22" s="2">
        <f t="shared" si="13"/>
        <v>1081633.739</v>
      </c>
    </row>
    <row r="23">
      <c r="B23" s="28">
        <f>SUM(B19:B22)</f>
        <v>1</v>
      </c>
      <c r="C23" s="2">
        <f>C10</f>
        <v>4443661.33</v>
      </c>
      <c r="D23" s="58">
        <f>SUM(D19:D21)</f>
        <v>-5811.5892</v>
      </c>
      <c r="F23" s="28">
        <f>SUM(F19:F21)</f>
        <v>0.4777206684</v>
      </c>
      <c r="G23" s="2">
        <f t="shared" si="13"/>
        <v>3382994.2</v>
      </c>
    </row>
  </sheetData>
  <conditionalFormatting sqref="D10:D22">
    <cfRule type="cellIs" dxfId="0" priority="1" operator="greaterThan">
      <formula>0</formula>
    </cfRule>
  </conditionalFormatting>
  <conditionalFormatting sqref="D10:D22">
    <cfRule type="cellIs" dxfId="1" priority="2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9" t="s">
        <v>0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</row>
    <row r="2">
      <c r="A2" s="21" t="s">
        <v>36</v>
      </c>
      <c r="B2" s="47">
        <v>0.01353</v>
      </c>
      <c r="C2" s="47">
        <v>73.90983000739098</v>
      </c>
      <c r="D2" s="59">
        <v>28.0</v>
      </c>
      <c r="E2" s="59">
        <v>2096.0</v>
      </c>
      <c r="F2" s="59">
        <v>380.0</v>
      </c>
      <c r="G2" s="59">
        <v>206.0</v>
      </c>
      <c r="H2" s="59">
        <v>982.0</v>
      </c>
      <c r="I2" s="59">
        <v>135.0</v>
      </c>
      <c r="J2" s="59">
        <v>46.0</v>
      </c>
      <c r="K2" s="59">
        <v>944.0</v>
      </c>
      <c r="L2" s="59">
        <v>47114.0</v>
      </c>
      <c r="M2" s="59">
        <v>100000.0</v>
      </c>
    </row>
    <row r="3">
      <c r="B3" s="59" t="s">
        <v>14</v>
      </c>
      <c r="D3" s="47">
        <v>2191.5</v>
      </c>
      <c r="E3" s="47">
        <v>920.0</v>
      </c>
      <c r="F3" s="47">
        <v>2809.5</v>
      </c>
      <c r="G3" s="47">
        <v>4133.5</v>
      </c>
      <c r="H3" s="47">
        <v>249.8</v>
      </c>
      <c r="I3" s="47">
        <v>5191.0</v>
      </c>
      <c r="J3" s="47">
        <v>9447.0</v>
      </c>
      <c r="K3" s="47">
        <v>751.0</v>
      </c>
      <c r="L3" s="47">
        <v>0.1005</v>
      </c>
      <c r="M3" s="47">
        <v>0.0992</v>
      </c>
    </row>
    <row r="4">
      <c r="A4" s="59" t="s">
        <v>1</v>
      </c>
      <c r="B4" s="59">
        <v>467.0193643756211</v>
      </c>
      <c r="D4" s="47">
        <v>61362.0</v>
      </c>
      <c r="E4" s="47">
        <v>1928320.0</v>
      </c>
      <c r="F4" s="47">
        <v>1067610.0</v>
      </c>
      <c r="G4" s="47">
        <v>851501.0</v>
      </c>
      <c r="H4" s="47">
        <v>245303.6</v>
      </c>
      <c r="I4" s="47">
        <v>700785.0</v>
      </c>
      <c r="J4" s="47">
        <v>434562.0</v>
      </c>
      <c r="K4" s="47">
        <v>708944.0</v>
      </c>
      <c r="L4" s="47">
        <v>349959.86696230597</v>
      </c>
      <c r="M4" s="47">
        <v>733185.5136733185</v>
      </c>
      <c r="N4" s="47">
        <v>5998387.6</v>
      </c>
      <c r="O4" s="47">
        <v>7081532.980635624</v>
      </c>
    </row>
    <row r="5">
      <c r="A5" s="59" t="s">
        <v>15</v>
      </c>
      <c r="B5" s="47">
        <v>6.318772000002154</v>
      </c>
      <c r="D5" s="47">
        <v>830.2278600000001</v>
      </c>
      <c r="E5" s="47">
        <v>26090.1696</v>
      </c>
      <c r="F5" s="47">
        <v>14444.7633</v>
      </c>
      <c r="G5" s="47">
        <v>11520.80853</v>
      </c>
      <c r="H5" s="47">
        <v>3318.9577080000004</v>
      </c>
      <c r="I5" s="47">
        <v>9481.62105</v>
      </c>
      <c r="J5" s="47">
        <v>5879.623860000001</v>
      </c>
      <c r="K5" s="47">
        <v>9592.01232</v>
      </c>
      <c r="L5" s="47">
        <v>4734.957</v>
      </c>
      <c r="M5" s="47">
        <v>9920.0</v>
      </c>
      <c r="N5" s="47">
        <v>14654.957</v>
      </c>
      <c r="O5" s="47">
        <v>95813.141228</v>
      </c>
    </row>
    <row r="6">
      <c r="A6" s="59" t="s">
        <v>16</v>
      </c>
      <c r="C6" s="47">
        <v>6.594455865230458E-5</v>
      </c>
      <c r="D6" s="47">
        <v>0.008664501553233549</v>
      </c>
      <c r="E6" s="47">
        <v>0.27228466534877155</v>
      </c>
      <c r="F6" s="47">
        <v>0.15074978819542503</v>
      </c>
      <c r="G6" s="47">
        <v>0.12023453826602655</v>
      </c>
      <c r="H6" s="47">
        <v>0.03463761649251624</v>
      </c>
      <c r="I6" s="47">
        <v>0.0989529793843547</v>
      </c>
      <c r="J6" s="47">
        <v>0.06136147980796385</v>
      </c>
      <c r="K6" s="47">
        <v>0.1001050550691895</v>
      </c>
      <c r="L6" s="47">
        <v>0.0494154005877303</v>
      </c>
      <c r="M6" s="47">
        <v>0.10352803073613648</v>
      </c>
      <c r="O6" s="47">
        <v>0.9999340554413477</v>
      </c>
    </row>
    <row r="7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>
      <c r="A8" s="59" t="s">
        <v>0</v>
      </c>
      <c r="B8" s="59" t="s">
        <v>1</v>
      </c>
      <c r="C8" s="59" t="s">
        <v>15</v>
      </c>
      <c r="D8" s="59" t="s">
        <v>2</v>
      </c>
      <c r="E8" s="59" t="s">
        <v>3</v>
      </c>
      <c r="F8" s="59" t="s">
        <v>4</v>
      </c>
      <c r="G8" s="59" t="s">
        <v>5</v>
      </c>
      <c r="H8" s="59" t="s">
        <v>6</v>
      </c>
      <c r="I8" s="59" t="s">
        <v>7</v>
      </c>
      <c r="J8" s="59" t="s">
        <v>8</v>
      </c>
      <c r="K8" s="59" t="s">
        <v>9</v>
      </c>
      <c r="L8" s="59" t="s">
        <v>10</v>
      </c>
      <c r="M8" s="59" t="s">
        <v>11</v>
      </c>
    </row>
    <row r="9">
      <c r="A9" s="59" t="s">
        <v>37</v>
      </c>
      <c r="B9" s="59">
        <v>2354000.0</v>
      </c>
      <c r="D9" s="59">
        <v>28.0</v>
      </c>
      <c r="E9" s="59">
        <v>2096.0</v>
      </c>
      <c r="F9" s="59">
        <v>151.0</v>
      </c>
      <c r="G9" s="59">
        <v>35.0</v>
      </c>
      <c r="H9" s="59">
        <v>0.0</v>
      </c>
      <c r="I9" s="59">
        <v>90.0</v>
      </c>
      <c r="J9" s="59">
        <v>30.0</v>
      </c>
      <c r="K9" s="59">
        <v>394.0</v>
      </c>
      <c r="L9" s="59">
        <v>46976.0</v>
      </c>
      <c r="M9" s="59">
        <v>100000.0</v>
      </c>
    </row>
    <row r="10">
      <c r="A10" s="47">
        <v>44200.0</v>
      </c>
      <c r="B10" s="47">
        <v>0.01361</v>
      </c>
      <c r="C10" s="47">
        <v>73.47538574577516</v>
      </c>
      <c r="D10" s="47">
        <v>2229.5</v>
      </c>
      <c r="E10" s="47">
        <v>953.8</v>
      </c>
      <c r="F10" s="47">
        <v>2836.5</v>
      </c>
      <c r="G10" s="47">
        <v>4006.5</v>
      </c>
      <c r="H10" s="47">
        <v>237.0</v>
      </c>
      <c r="I10" s="47">
        <v>5146.0</v>
      </c>
      <c r="J10" s="47">
        <v>9609.0</v>
      </c>
      <c r="K10" s="47">
        <v>762.1</v>
      </c>
      <c r="L10" s="47">
        <v>0.0957</v>
      </c>
      <c r="M10" s="47">
        <v>0.096</v>
      </c>
    </row>
    <row r="11">
      <c r="A11" s="59" t="s">
        <v>1</v>
      </c>
      <c r="D11" s="47">
        <v>62426.0</v>
      </c>
      <c r="E11" s="47">
        <v>1999164.7999999998</v>
      </c>
      <c r="F11" s="47">
        <v>428311.5</v>
      </c>
      <c r="G11" s="47">
        <v>140227.5</v>
      </c>
      <c r="I11" s="47">
        <v>463140.0</v>
      </c>
      <c r="J11" s="47">
        <v>288270.0</v>
      </c>
      <c r="K11" s="47">
        <v>300267.4</v>
      </c>
      <c r="L11" s="47">
        <v>330316.17927994113</v>
      </c>
      <c r="M11" s="47">
        <v>705363.7031594415</v>
      </c>
      <c r="N11" s="47">
        <v>7071487.082439383</v>
      </c>
    </row>
    <row r="12">
      <c r="A12" s="59" t="s">
        <v>15</v>
      </c>
      <c r="B12" s="47">
        <v>32037.940000000002</v>
      </c>
      <c r="D12" s="47">
        <v>849.6178600000001</v>
      </c>
      <c r="E12" s="47">
        <v>27208.632928</v>
      </c>
      <c r="F12" s="47">
        <v>5829.319515000001</v>
      </c>
      <c r="G12" s="47">
        <v>1908.4962750000002</v>
      </c>
      <c r="H12" s="47">
        <v>0.0</v>
      </c>
      <c r="I12" s="47">
        <v>6303.335400000001</v>
      </c>
      <c r="J12" s="47">
        <v>3923.3547000000003</v>
      </c>
      <c r="K12" s="47">
        <v>4086.639314000001</v>
      </c>
      <c r="L12" s="47">
        <v>4495.6032</v>
      </c>
      <c r="M12" s="47">
        <v>9600.0</v>
      </c>
      <c r="N12" s="47">
        <v>96242.939192</v>
      </c>
    </row>
    <row r="13">
      <c r="A13" s="59" t="s">
        <v>16</v>
      </c>
      <c r="C13" s="47">
        <v>0.33288613449435356</v>
      </c>
      <c r="D13" s="47">
        <v>0.008827846147809904</v>
      </c>
      <c r="E13" s="47">
        <v>0.2827078345323608</v>
      </c>
      <c r="F13" s="47">
        <v>0.06056880186681322</v>
      </c>
      <c r="G13" s="47">
        <v>0.01982998743619667</v>
      </c>
      <c r="H13" s="47">
        <v>0.0</v>
      </c>
      <c r="I13" s="47">
        <v>0.06549400353853649</v>
      </c>
      <c r="J13" s="47">
        <v>0.04076511724328262</v>
      </c>
      <c r="K13" s="47">
        <v>0.04246170522543325</v>
      </c>
      <c r="L13" s="47">
        <v>0.046710992388038865</v>
      </c>
      <c r="M13" s="47">
        <v>0.09974757712717465</v>
      </c>
      <c r="N13" s="47">
        <v>1.0</v>
      </c>
    </row>
    <row r="14">
      <c r="A14" s="59"/>
      <c r="D14" s="59"/>
      <c r="E14" s="59"/>
      <c r="F14" s="59"/>
      <c r="G14" s="59"/>
      <c r="H14" s="59"/>
      <c r="I14" s="59"/>
      <c r="J14" s="59"/>
      <c r="K14" s="59"/>
    </row>
    <row r="15">
      <c r="A15" s="59" t="s">
        <v>38</v>
      </c>
      <c r="D15" s="59">
        <v>28.0</v>
      </c>
      <c r="E15" s="59">
        <v>1261.0</v>
      </c>
      <c r="F15" s="59">
        <v>151.0</v>
      </c>
      <c r="G15" s="59">
        <v>35.0</v>
      </c>
      <c r="H15" s="59"/>
      <c r="I15" s="59">
        <v>90.0</v>
      </c>
      <c r="J15" s="59">
        <v>30.0</v>
      </c>
      <c r="K15" s="59">
        <v>125.0</v>
      </c>
    </row>
    <row r="16">
      <c r="A16" s="59">
        <v>44193.0</v>
      </c>
      <c r="C16" s="59">
        <v>73.69</v>
      </c>
      <c r="D16" s="59">
        <v>2190.5</v>
      </c>
      <c r="E16" s="59">
        <v>942.2</v>
      </c>
      <c r="F16" s="59">
        <v>2800.0</v>
      </c>
      <c r="G16" s="59">
        <v>3809.0</v>
      </c>
      <c r="H16" s="59"/>
      <c r="I16" s="59">
        <v>5098.0</v>
      </c>
      <c r="J16" s="59">
        <v>9595.0</v>
      </c>
      <c r="K16" s="59">
        <v>753.0</v>
      </c>
    </row>
    <row r="17">
      <c r="A17" s="59" t="s">
        <v>1</v>
      </c>
      <c r="B17" s="59">
        <v>4463500.0</v>
      </c>
      <c r="D17" s="47">
        <v>61334.0</v>
      </c>
      <c r="E17" s="47">
        <v>1188114.2</v>
      </c>
      <c r="F17" s="47">
        <v>422800.0</v>
      </c>
      <c r="G17" s="47">
        <v>133315.0</v>
      </c>
      <c r="I17" s="47">
        <v>458820.0</v>
      </c>
      <c r="J17" s="47">
        <v>287850.0</v>
      </c>
      <c r="K17" s="47">
        <v>94125.0</v>
      </c>
      <c r="N17" s="47">
        <v>7109858.2</v>
      </c>
    </row>
    <row r="18">
      <c r="A18" s="59" t="s">
        <v>15</v>
      </c>
      <c r="B18" s="47">
        <v>60571.312254037184</v>
      </c>
      <c r="C18" s="47">
        <v>0.0</v>
      </c>
      <c r="D18" s="47">
        <v>832.3246030669019</v>
      </c>
      <c r="E18" s="47">
        <v>16123.140181842855</v>
      </c>
      <c r="F18" s="47">
        <v>5737.5491925634415</v>
      </c>
      <c r="G18" s="47">
        <v>1809.1328538471978</v>
      </c>
      <c r="I18" s="47">
        <v>6226.3536436422855</v>
      </c>
      <c r="J18" s="47">
        <v>3906.2287963088615</v>
      </c>
      <c r="K18" s="47">
        <v>1277.3103541864568</v>
      </c>
      <c r="N18" s="47">
        <v>96483.35187949518</v>
      </c>
    </row>
    <row r="19">
      <c r="A19" s="59" t="s">
        <v>16</v>
      </c>
      <c r="B19" s="47">
        <v>62.778282273924134</v>
      </c>
      <c r="C19" s="47">
        <v>0.0</v>
      </c>
      <c r="D19" s="47">
        <v>0.8626510955503222</v>
      </c>
      <c r="E19" s="47">
        <v>16.7106012369794</v>
      </c>
      <c r="F19" s="47">
        <v>5.9466019369138845</v>
      </c>
      <c r="G19" s="47">
        <v>1.8750502299424658</v>
      </c>
      <c r="I19" s="47">
        <v>6.45321641602372</v>
      </c>
      <c r="J19" s="47">
        <v>4.0485557415815085</v>
      </c>
      <c r="K19" s="47">
        <v>1.323850301116413</v>
      </c>
      <c r="N19" s="47">
        <v>99.99880923203183</v>
      </c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</row>
    <row r="21">
      <c r="A21" s="59" t="s">
        <v>38</v>
      </c>
      <c r="D21" s="59">
        <v>28.0</v>
      </c>
      <c r="E21" s="59">
        <v>200.0</v>
      </c>
      <c r="F21" s="59">
        <v>151.0</v>
      </c>
      <c r="G21" s="59">
        <v>35.0</v>
      </c>
      <c r="H21" s="59"/>
      <c r="I21" s="59">
        <v>90.0</v>
      </c>
      <c r="J21" s="59">
        <v>30.0</v>
      </c>
      <c r="K21" s="59">
        <v>125.0</v>
      </c>
    </row>
    <row r="22">
      <c r="A22" s="59">
        <v>44174.0</v>
      </c>
      <c r="C22" s="59">
        <v>73.6618</v>
      </c>
      <c r="D22" s="59">
        <v>2182.5</v>
      </c>
      <c r="E22" s="59">
        <v>919.2</v>
      </c>
      <c r="F22" s="59">
        <v>2699.5</v>
      </c>
      <c r="G22" s="59">
        <v>3882.5</v>
      </c>
      <c r="H22" s="59"/>
      <c r="I22" s="59">
        <v>4981.0</v>
      </c>
      <c r="J22" s="59">
        <v>9209.0</v>
      </c>
      <c r="K22" s="59">
        <v>753.6</v>
      </c>
    </row>
    <row r="23">
      <c r="A23" s="59" t="s">
        <v>1</v>
      </c>
      <c r="B23" s="59">
        <v>5500000.0</v>
      </c>
      <c r="D23" s="47">
        <v>61110.0</v>
      </c>
      <c r="E23" s="47">
        <v>183840.0</v>
      </c>
      <c r="F23" s="47">
        <v>407624.5</v>
      </c>
      <c r="G23" s="47">
        <v>135887.5</v>
      </c>
      <c r="I23" s="47">
        <v>448290.0</v>
      </c>
      <c r="J23" s="47">
        <v>276270.0</v>
      </c>
      <c r="K23" s="47">
        <v>94200.0</v>
      </c>
      <c r="N23" s="47">
        <v>7107222.0</v>
      </c>
    </row>
    <row r="24">
      <c r="A24" s="59" t="s">
        <v>15</v>
      </c>
      <c r="B24" s="47">
        <v>74665.5661414736</v>
      </c>
      <c r="C24" s="47">
        <v>0.0</v>
      </c>
      <c r="D24" s="47">
        <v>829.602317619173</v>
      </c>
      <c r="E24" s="47">
        <v>2495.730487172456</v>
      </c>
      <c r="F24" s="47">
        <v>5533.729830115473</v>
      </c>
      <c r="G24" s="47">
        <v>1844.7485670999079</v>
      </c>
      <c r="I24" s="47">
        <v>6085.7866628293095</v>
      </c>
      <c r="J24" s="47">
        <v>3750.5192650736203</v>
      </c>
      <c r="K24" s="47">
        <v>1278.8175146412389</v>
      </c>
      <c r="N24" s="47">
        <v>96484.50078602477</v>
      </c>
    </row>
    <row r="25">
      <c r="A25" s="59" t="s">
        <v>16</v>
      </c>
      <c r="B25" s="47">
        <v>77.3860729269467</v>
      </c>
      <c r="C25" s="47">
        <v>0.0</v>
      </c>
      <c r="D25" s="47">
        <v>0.859829621193766</v>
      </c>
      <c r="E25" s="47">
        <v>2.5866646630708883</v>
      </c>
      <c r="F25" s="47">
        <v>5.735356233420034</v>
      </c>
      <c r="G25" s="47">
        <v>1.9119636336109944</v>
      </c>
      <c r="I25" s="47">
        <v>6.307527751349262</v>
      </c>
      <c r="J25" s="47">
        <v>3.8871727940959215</v>
      </c>
      <c r="K25" s="47">
        <v>1.3254123763124328</v>
      </c>
      <c r="N25" s="47">
        <v>100.0</v>
      </c>
    </row>
  </sheetData>
  <drawing r:id="rId1"/>
</worksheet>
</file>