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le_f\OneDrive - mi.unc.edu.ar\Academia\Publicaciones\Phylogenomics_Tangara_cayana\Tangara_cayana\05_GPhoCS\result\"/>
    </mc:Choice>
  </mc:AlternateContent>
  <xr:revisionPtr revIDLastSave="0" documentId="13_ncr:1_{CCA75CF6-53B4-4F50-A717-E9841DF97AA0}" xr6:coauthVersionLast="47" xr6:coauthVersionMax="47" xr10:uidLastSave="{00000000-0000-0000-0000-000000000000}"/>
  <bookViews>
    <workbookView xWindow="-25425" yWindow="2475" windowWidth="21600" windowHeight="11385" xr2:uid="{00000000-000D-0000-FFFF-FFFF00000000}"/>
  </bookViews>
  <sheets>
    <sheet name="Af20_run6_data (Autoguardado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7" i="1" l="1"/>
  <c r="P17" i="1"/>
  <c r="Q17" i="1"/>
  <c r="N17" i="1"/>
  <c r="O16" i="1"/>
  <c r="P16" i="1"/>
  <c r="Q16" i="1"/>
  <c r="N16" i="1"/>
  <c r="O14" i="1"/>
  <c r="P14" i="1"/>
  <c r="Q14" i="1"/>
  <c r="N14" i="1"/>
  <c r="Q9" i="1"/>
  <c r="Q12" i="1" s="1"/>
  <c r="Q8" i="1"/>
  <c r="Q11" i="1" s="1"/>
  <c r="P9" i="1"/>
  <c r="P12" i="1" s="1"/>
  <c r="P8" i="1"/>
  <c r="P11" i="1" s="1"/>
  <c r="O9" i="1"/>
  <c r="O12" i="1" s="1"/>
  <c r="O8" i="1"/>
  <c r="O11" i="1" s="1"/>
  <c r="N9" i="1"/>
  <c r="N12" i="1" s="1"/>
  <c r="N8" i="1"/>
  <c r="N11" i="1" s="1"/>
  <c r="E11" i="1"/>
  <c r="I11" i="1"/>
  <c r="D12" i="1"/>
  <c r="E12" i="1"/>
  <c r="H12" i="1"/>
  <c r="I12" i="1"/>
  <c r="K9" i="1"/>
  <c r="K12" i="1" s="1"/>
  <c r="J9" i="1"/>
  <c r="J12" i="1" s="1"/>
  <c r="I9" i="1"/>
  <c r="H9" i="1"/>
  <c r="G9" i="1"/>
  <c r="G12" i="1" s="1"/>
  <c r="F9" i="1"/>
  <c r="F12" i="1" s="1"/>
  <c r="E9" i="1"/>
  <c r="D9" i="1"/>
  <c r="C9" i="1"/>
  <c r="C12" i="1" s="1"/>
  <c r="K8" i="1"/>
  <c r="K11" i="1" s="1"/>
  <c r="J8" i="1"/>
  <c r="J11" i="1" s="1"/>
  <c r="I8" i="1"/>
  <c r="H8" i="1"/>
  <c r="H11" i="1" s="1"/>
  <c r="G8" i="1"/>
  <c r="G11" i="1" s="1"/>
  <c r="F8" i="1"/>
  <c r="F11" i="1" s="1"/>
  <c r="E8" i="1"/>
  <c r="D8" i="1"/>
  <c r="D11" i="1" s="1"/>
  <c r="C8" i="1"/>
  <c r="C11" i="1" s="1"/>
  <c r="Q5" i="1"/>
  <c r="N5" i="1"/>
  <c r="F5" i="1"/>
  <c r="G5" i="1"/>
  <c r="J5" i="1"/>
  <c r="K5" i="1"/>
  <c r="Q4" i="1"/>
  <c r="D4" i="1"/>
  <c r="AG4" i="1" s="1"/>
  <c r="E4" i="1"/>
  <c r="AK4" i="1" s="1"/>
  <c r="F4" i="1"/>
  <c r="AM12" i="1" s="1"/>
  <c r="G4" i="1"/>
  <c r="AL11" i="1" s="1"/>
  <c r="H4" i="1"/>
  <c r="H5" i="1" s="1"/>
  <c r="I4" i="1"/>
  <c r="I5" i="1" s="1"/>
  <c r="J4" i="1"/>
  <c r="K4" i="1"/>
  <c r="N4" i="1"/>
  <c r="O4" i="1"/>
  <c r="O5" i="1" s="1"/>
  <c r="P4" i="1"/>
  <c r="P5" i="1" s="1"/>
  <c r="C4" i="1"/>
  <c r="AA12" i="1" s="1"/>
  <c r="E5" i="1" l="1"/>
  <c r="T4" i="1"/>
  <c r="U11" i="1"/>
  <c r="V12" i="1"/>
  <c r="X4" i="1"/>
  <c r="Y11" i="1"/>
  <c r="Z12" i="1"/>
  <c r="AB4" i="1"/>
  <c r="AC11" i="1"/>
  <c r="AD12" i="1"/>
  <c r="AF4" i="1"/>
  <c r="AG11" i="1"/>
  <c r="AH12" i="1"/>
  <c r="AJ4" i="1"/>
  <c r="AK11" i="1"/>
  <c r="AL12" i="1"/>
  <c r="C5" i="1"/>
  <c r="D5" i="1"/>
  <c r="T11" i="1"/>
  <c r="U12" i="1"/>
  <c r="W4" i="1"/>
  <c r="X11" i="1"/>
  <c r="Y12" i="1"/>
  <c r="AA4" i="1"/>
  <c r="AB11" i="1"/>
  <c r="AC12" i="1"/>
  <c r="AE4" i="1"/>
  <c r="AF11" i="1"/>
  <c r="AG12" i="1"/>
  <c r="AI4" i="1"/>
  <c r="AJ11" i="1"/>
  <c r="AK12" i="1"/>
  <c r="AM4" i="1"/>
  <c r="T12" i="1"/>
  <c r="V4" i="1"/>
  <c r="W11" i="1"/>
  <c r="X12" i="1"/>
  <c r="Z4" i="1"/>
  <c r="AA11" i="1"/>
  <c r="AB12" i="1"/>
  <c r="AD4" i="1"/>
  <c r="AE11" i="1"/>
  <c r="AF12" i="1"/>
  <c r="AH4" i="1"/>
  <c r="AI11" i="1"/>
  <c r="AJ12" i="1"/>
  <c r="AL4" i="1"/>
  <c r="AM11" i="1"/>
  <c r="U4" i="1"/>
  <c r="V11" i="1"/>
  <c r="W12" i="1"/>
  <c r="Y4" i="1"/>
  <c r="Z11" i="1"/>
  <c r="AC4" i="1"/>
  <c r="AD11" i="1"/>
  <c r="AE12" i="1"/>
  <c r="AH11" i="1"/>
  <c r="AI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GSC</author>
  </authors>
  <commentList>
    <comment ref="AS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GSC:</t>
        </r>
        <r>
          <rPr>
            <sz val="9"/>
            <color indexed="81"/>
            <rFont val="Tahoma"/>
            <charset val="1"/>
          </rPr>
          <t xml:space="preserve">
considering gen time as 2.55 years, according to Bird 2022.</t>
        </r>
      </text>
    </comment>
    <comment ref="H1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GSC:</t>
        </r>
        <r>
          <rPr>
            <sz val="9"/>
            <color indexed="81"/>
            <rFont val="Tahoma"/>
            <charset val="1"/>
          </rPr>
          <t xml:space="preserve">
no usar esto</t>
        </r>
      </text>
    </comment>
  </commentList>
</comments>
</file>

<file path=xl/sharedStrings.xml><?xml version="1.0" encoding="utf-8"?>
<sst xmlns="http://schemas.openxmlformats.org/spreadsheetml/2006/main" count="114" uniqueCount="104">
  <si>
    <t>Summary Statistic</t>
  </si>
  <si>
    <t>median</t>
  </si>
  <si>
    <t>95% HPD Interval</t>
  </si>
  <si>
    <t>theta-tau-print</t>
  </si>
  <si>
    <t>migration print</t>
  </si>
  <si>
    <t>95% HPD Low</t>
  </si>
  <si>
    <t>95% HPD High</t>
  </si>
  <si>
    <t>min 95% HPD Interval</t>
  </si>
  <si>
    <t>max 95% HPD Interval</t>
  </si>
  <si>
    <t>total migration</t>
  </si>
  <si>
    <t>u</t>
  </si>
  <si>
    <t>total migration inds!</t>
  </si>
  <si>
    <t>median/print</t>
  </si>
  <si>
    <t>total migration (MxT, inds total)</t>
  </si>
  <si>
    <t>mtau=M*tau</t>
  </si>
  <si>
    <t>M=m/u (migration rate)</t>
  </si>
  <si>
    <t>correct!</t>
  </si>
  <si>
    <t>min 95% HPD Interval/print</t>
  </si>
  <si>
    <t>max 95% HPD Interval/print</t>
  </si>
  <si>
    <t>(m1-2 x theta2)/4</t>
  </si>
  <si>
    <t>theta=4uNe</t>
  </si>
  <si>
    <t>Inds/Time</t>
  </si>
  <si>
    <t>Ne=theta/(4u) diploid inds</t>
  </si>
  <si>
    <t>Tangarafinal</t>
  </si>
  <si>
    <t>theta_Cayana</t>
  </si>
  <si>
    <t>theta_Marajo</t>
  </si>
  <si>
    <t>theta_Caatinga</t>
  </si>
  <si>
    <t>theta_EastCerrado</t>
  </si>
  <si>
    <t>theta_WestCerrado</t>
  </si>
  <si>
    <t>theta_CAA-EC</t>
  </si>
  <si>
    <t>theta_CAA-EC-WC</t>
  </si>
  <si>
    <t>theta_CAY-MJ</t>
  </si>
  <si>
    <t>theta_root</t>
  </si>
  <si>
    <t>tau_CAA-EC</t>
  </si>
  <si>
    <t>tau_CAA-EC-WC</t>
  </si>
  <si>
    <t>tau_CAY-MJ</t>
  </si>
  <si>
    <t>tau_root</t>
  </si>
  <si>
    <t>m_Cayana-&gt;Marajo</t>
  </si>
  <si>
    <t>m_Marajo-&gt;Cayana</t>
  </si>
  <si>
    <t>m_Cayana-&gt;Caatinga</t>
  </si>
  <si>
    <t>m_Caatinga-&gt;Cayana</t>
  </si>
  <si>
    <t>m_Cayana-&gt;EastCerrado</t>
  </si>
  <si>
    <t>m_EastCerrado-&gt;Cayana</t>
  </si>
  <si>
    <t>m_Cayana-&gt;WestCerrado</t>
  </si>
  <si>
    <t>m_WestCerrado-&gt;Cayana</t>
  </si>
  <si>
    <t>m_Marajo-&gt;Caatinga</t>
  </si>
  <si>
    <t>m_Caatinga-&gt;Marajo</t>
  </si>
  <si>
    <t>m_Marajo-&gt;EastCerrado</t>
  </si>
  <si>
    <t>m_EastCerrado-&gt;Marajo</t>
  </si>
  <si>
    <t>m_Marajo-&gt;WestCerrado</t>
  </si>
  <si>
    <t>m_WestCerrado-&gt;Marajo</t>
  </si>
  <si>
    <t>m_Caatinga-&gt;EastCerrado</t>
  </si>
  <si>
    <t>m_EastCerrado-&gt;Caatinga</t>
  </si>
  <si>
    <t>m_Caatinga-&gt;WestCerrado</t>
  </si>
  <si>
    <t>m_WestCerrado-&gt;Caatinga</t>
  </si>
  <si>
    <t>m_EastCerrado-&gt;WestCerrado</t>
  </si>
  <si>
    <t>m_WestCerrado-&gt;EastCerrado</t>
  </si>
  <si>
    <t>30.6582, 46.5065</t>
  </si>
  <si>
    <t>33.3508, 45.9082</t>
  </si>
  <si>
    <t>45.3798, 62.5435</t>
  </si>
  <si>
    <t>27.0929, 37.2877</t>
  </si>
  <si>
    <t>185.9334, 236.5348</t>
  </si>
  <si>
    <t>24.2308, 28.8073</t>
  </si>
  <si>
    <t>61.3202, 64.9925</t>
  </si>
  <si>
    <t>3.61600, 5.5425</t>
  </si>
  <si>
    <t>0.01700, 5.3302</t>
  </si>
  <si>
    <t>1.1272, 1.5829</t>
  </si>
  <si>
    <t>1.127, 1.5833</t>
  </si>
  <si>
    <t>1.1806, 1.7437</t>
  </si>
  <si>
    <t>8.2491, 9.678</t>
  </si>
  <si>
    <t>810.2754, 2230.7592</t>
  </si>
  <si>
    <t>1E-5, 1.7362</t>
  </si>
  <si>
    <t>1E-5, 5.6196</t>
  </si>
  <si>
    <t>73.3873, 411.6717</t>
  </si>
  <si>
    <t>195.4934, 348.9479</t>
  </si>
  <si>
    <t>313.0685, 752.2163</t>
  </si>
  <si>
    <t>530.8246, 804.9224</t>
  </si>
  <si>
    <t>1E-5, 190.4478</t>
  </si>
  <si>
    <t>1E-5, 1.4618</t>
  </si>
  <si>
    <t>2878.2791, 5091.9352</t>
  </si>
  <si>
    <t>1E-5, 1.4363</t>
  </si>
  <si>
    <t>3632.926, 5828.3709</t>
  </si>
  <si>
    <t>1E-5, 2.1233</t>
  </si>
  <si>
    <t>923.3567, 2362.7348</t>
  </si>
  <si>
    <t>1E-5, 3.5829</t>
  </si>
  <si>
    <t>1E-5, 3.3371</t>
  </si>
  <si>
    <t>1E-5, 3.6157</t>
  </si>
  <si>
    <t>1E-5, 3.738</t>
  </si>
  <si>
    <t>1E-5, 5.7281</t>
  </si>
  <si>
    <t>1E-5, 4.8774</t>
  </si>
  <si>
    <t>inds/gen</t>
  </si>
  <si>
    <t>min 95% HPD Interval inds</t>
  </si>
  <si>
    <t>max 95% HPD Interval inds</t>
  </si>
  <si>
    <t>no usar</t>
  </si>
  <si>
    <t xml:space="preserve">diploid Inds </t>
  </si>
  <si>
    <t>Effective sizes</t>
  </si>
  <si>
    <t>Time in generations</t>
  </si>
  <si>
    <t>tau/u (in generations)</t>
  </si>
  <si>
    <t>Dievergence time</t>
  </si>
  <si>
    <t>M1-2 (inds/gen)</t>
  </si>
  <si>
    <t>Time (in generations)</t>
  </si>
  <si>
    <t>Time in years</t>
  </si>
  <si>
    <t>lci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</si>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</sst>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D2D0CE"/>
      <name val="Arial Unicode MS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34" borderId="0" xfId="0" applyFont="1" applyFill="1" applyAlignment="1">
      <alignment horizontal="center" vertical="center" wrapText="1"/>
    </xf>
    <xf numFmtId="0" fontId="18" fillId="33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18" fillId="38" borderId="0" xfId="0" applyFont="1" applyFill="1"/>
    <xf numFmtId="0" fontId="0" fillId="39" borderId="0" xfId="0" applyFill="1"/>
    <xf numFmtId="11" fontId="0" fillId="0" borderId="0" xfId="0" applyNumberFormat="1"/>
    <xf numFmtId="3" fontId="18" fillId="0" borderId="0" xfId="0" applyNumberFormat="1" applyFont="1"/>
    <xf numFmtId="0" fontId="21" fillId="0" borderId="0" xfId="0" applyFont="1" applyAlignment="1">
      <alignment horizontal="left"/>
    </xf>
    <xf numFmtId="0" fontId="18" fillId="40" borderId="0" xfId="0" applyFont="1" applyFill="1"/>
    <xf numFmtId="0" fontId="0" fillId="40" borderId="0" xfId="0" applyFill="1"/>
    <xf numFmtId="0" fontId="18" fillId="41" borderId="0" xfId="0" applyFont="1" applyFill="1"/>
    <xf numFmtId="0" fontId="0" fillId="36" borderId="0" xfId="0" applyFill="1"/>
    <xf numFmtId="0" fontId="18" fillId="42" borderId="0" xfId="0" applyFont="1" applyFill="1"/>
    <xf numFmtId="0" fontId="18" fillId="43" borderId="0" xfId="0" applyFont="1" applyFill="1"/>
    <xf numFmtId="0" fontId="21" fillId="33" borderId="0" xfId="0" applyFont="1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8"/>
  <sheetViews>
    <sheetView tabSelected="1" topLeftCell="F1" zoomScale="110" zoomScaleNormal="110" workbookViewId="0">
      <selection activeCell="N14" sqref="N14"/>
    </sheetView>
  </sheetViews>
  <sheetFormatPr baseColWidth="10" defaultColWidth="11.140625" defaultRowHeight="12.75" x14ac:dyDescent="0.2"/>
  <cols>
    <col min="1" max="1" width="11.140625" style="1"/>
    <col min="2" max="2" width="26.7109375" style="1" customWidth="1"/>
    <col min="3" max="3" width="12.5703125" style="1" customWidth="1"/>
    <col min="4" max="4" width="18.42578125" style="1" customWidth="1"/>
    <col min="5" max="5" width="12" style="1" customWidth="1"/>
    <col min="6" max="6" width="12.28515625" style="1" customWidth="1"/>
    <col min="7" max="7" width="12.140625" style="1" customWidth="1"/>
    <col min="8" max="8" width="12.42578125" style="1" customWidth="1"/>
    <col min="9" max="9" width="8.7109375" style="1" customWidth="1"/>
    <col min="10" max="10" width="14" style="1" customWidth="1"/>
    <col min="11" max="11" width="9.140625" style="1" customWidth="1"/>
    <col min="12" max="12" width="3" style="12" customWidth="1"/>
    <col min="13" max="13" width="14.140625" style="1" customWidth="1"/>
    <col min="14" max="14" width="12.140625" style="1" customWidth="1"/>
    <col min="15" max="15" width="11.85546875" style="1" customWidth="1"/>
    <col min="16" max="16" width="11.42578125" style="1" customWidth="1"/>
    <col min="17" max="17" width="11.140625" style="1"/>
    <col min="18" max="18" width="5.5703125" style="12" customWidth="1"/>
    <col min="19" max="19" width="12.85546875" style="5" customWidth="1"/>
    <col min="20" max="20" width="29.85546875" style="1" customWidth="1"/>
    <col min="21" max="21" width="19.42578125" style="1" customWidth="1"/>
    <col min="22" max="22" width="20.5703125" style="1" customWidth="1"/>
    <col min="23" max="23" width="17.85546875" style="1" customWidth="1"/>
    <col min="24" max="24" width="24.140625" style="1" customWidth="1"/>
    <col min="25" max="25" width="27.140625" style="1" customWidth="1"/>
    <col min="26" max="26" width="23.140625" style="1" customWidth="1"/>
    <col min="27" max="27" width="24.42578125" style="1" customWidth="1"/>
    <col min="28" max="28" width="18.140625" style="1" customWidth="1"/>
    <col min="29" max="29" width="22.28515625" style="1" customWidth="1"/>
    <col min="30" max="30" width="24" style="1" customWidth="1"/>
    <col min="31" max="31" width="21.42578125" style="1" customWidth="1"/>
    <col min="32" max="32" width="18.85546875" style="1" customWidth="1"/>
    <col min="33" max="33" width="20.42578125" style="1" customWidth="1"/>
    <col min="34" max="34" width="22.85546875" style="1" customWidth="1"/>
    <col min="35" max="35" width="27.140625" style="1" customWidth="1"/>
    <col min="36" max="36" width="24.42578125" style="1" customWidth="1"/>
    <col min="37" max="37" width="20.42578125" style="1" customWidth="1"/>
    <col min="38" max="38" width="26.85546875" style="1" customWidth="1"/>
    <col min="39" max="39" width="30" style="1" customWidth="1"/>
    <col min="40" max="16384" width="11.140625" style="1"/>
  </cols>
  <sheetData>
    <row r="1" spans="1:84" x14ac:dyDescent="0.2">
      <c r="B1" s="1" t="s">
        <v>23</v>
      </c>
      <c r="C1" s="1" t="s">
        <v>95</v>
      </c>
      <c r="N1" s="1" t="s">
        <v>98</v>
      </c>
      <c r="T1" s="1" t="s">
        <v>19</v>
      </c>
    </row>
    <row r="2" spans="1:84" ht="15" x14ac:dyDescent="0.25">
      <c r="B2" s="1" t="s">
        <v>0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s="13"/>
      <c r="M2"/>
      <c r="N2" t="s">
        <v>33</v>
      </c>
      <c r="O2" t="s">
        <v>34</v>
      </c>
      <c r="P2" t="s">
        <v>35</v>
      </c>
      <c r="Q2" t="s">
        <v>36</v>
      </c>
      <c r="R2" s="13"/>
      <c r="S2" s="15"/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  <c r="AM2" t="s">
        <v>56</v>
      </c>
      <c r="AN2"/>
      <c r="AO2"/>
      <c r="AP2"/>
      <c r="AQ2"/>
      <c r="AW2" s="8"/>
      <c r="AX2" s="8"/>
    </row>
    <row r="3" spans="1:84" s="3" customFormat="1" ht="15" x14ac:dyDescent="0.25">
      <c r="A3" s="5"/>
      <c r="B3" s="5" t="s">
        <v>1</v>
      </c>
      <c r="C3">
        <v>38.427500000000002</v>
      </c>
      <c r="D3">
        <v>4.5347</v>
      </c>
      <c r="E3">
        <v>39.768300000000004</v>
      </c>
      <c r="F3">
        <v>54.500999999999998</v>
      </c>
      <c r="G3">
        <v>32.453000000000003</v>
      </c>
      <c r="H3">
        <v>1.819</v>
      </c>
      <c r="I3">
        <v>212.71629999999999</v>
      </c>
      <c r="J3">
        <v>26.4482</v>
      </c>
      <c r="K3">
        <v>63.254600000000003</v>
      </c>
      <c r="L3" s="13"/>
      <c r="M3" s="5" t="s">
        <v>1</v>
      </c>
      <c r="N3">
        <v>1.3640000000000001</v>
      </c>
      <c r="O3">
        <v>1.3651</v>
      </c>
      <c r="P3">
        <v>1.4789000000000001</v>
      </c>
      <c r="Q3">
        <v>8.8896999999999995</v>
      </c>
      <c r="R3" s="13"/>
      <c r="S3" s="5" t="s">
        <v>1</v>
      </c>
      <c r="T3">
        <v>1448.1346000000001</v>
      </c>
      <c r="U3" s="9">
        <v>4.5199999999999997E-3</v>
      </c>
      <c r="V3" s="9">
        <v>7.43E-3</v>
      </c>
      <c r="W3">
        <v>252.1797</v>
      </c>
      <c r="X3">
        <v>265.48989999999998</v>
      </c>
      <c r="Y3">
        <v>523.49329999999998</v>
      </c>
      <c r="Z3">
        <v>657.65809999999999</v>
      </c>
      <c r="AA3">
        <v>13.4207</v>
      </c>
      <c r="AB3" s="9">
        <v>4.1900000000000001E-3</v>
      </c>
      <c r="AC3">
        <v>3953.4874</v>
      </c>
      <c r="AD3" s="9">
        <v>4.0099999999999997E-3</v>
      </c>
      <c r="AE3">
        <v>4585.2615999999998</v>
      </c>
      <c r="AF3" s="9">
        <v>4.9699999999999996E-3</v>
      </c>
      <c r="AG3">
        <v>1586.3137999999999</v>
      </c>
      <c r="AH3" s="9">
        <v>6.11E-3</v>
      </c>
      <c r="AI3" s="9">
        <v>5.96E-3</v>
      </c>
      <c r="AJ3" s="9">
        <v>6.7499999999999999E-3</v>
      </c>
      <c r="AK3" s="9">
        <v>6.94E-3</v>
      </c>
      <c r="AL3" s="9">
        <v>8.5900000000000004E-3</v>
      </c>
      <c r="AM3" s="9">
        <v>7.62E-3</v>
      </c>
      <c r="AN3"/>
      <c r="AO3"/>
      <c r="AP3"/>
      <c r="AQ3"/>
      <c r="AR3" s="5"/>
      <c r="AS3" s="5"/>
      <c r="AT3" s="5"/>
      <c r="AU3" s="5"/>
      <c r="AV3" s="5"/>
      <c r="AW3"/>
      <c r="AX3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spans="1:84" s="5" customFormat="1" x14ac:dyDescent="0.2">
      <c r="B4" s="5" t="s">
        <v>12</v>
      </c>
      <c r="C4" s="5">
        <f>C3/$B15</f>
        <v>3.8427500000000002E-3</v>
      </c>
      <c r="D4" s="5">
        <f t="shared" ref="D4:P4" si="0">D3/$B15</f>
        <v>4.5346999999999998E-4</v>
      </c>
      <c r="E4" s="5">
        <f t="shared" si="0"/>
        <v>3.9768300000000006E-3</v>
      </c>
      <c r="F4" s="5">
        <f t="shared" si="0"/>
        <v>5.4500999999999994E-3</v>
      </c>
      <c r="G4" s="5">
        <f t="shared" si="0"/>
        <v>3.2453000000000004E-3</v>
      </c>
      <c r="H4" s="5">
        <f t="shared" si="0"/>
        <v>1.819E-4</v>
      </c>
      <c r="I4" s="5">
        <f t="shared" si="0"/>
        <v>2.127163E-2</v>
      </c>
      <c r="J4" s="5">
        <f t="shared" si="0"/>
        <v>2.64482E-3</v>
      </c>
      <c r="K4" s="5">
        <f t="shared" si="0"/>
        <v>6.3254600000000006E-3</v>
      </c>
      <c r="L4" s="12"/>
      <c r="M4" s="5" t="s">
        <v>12</v>
      </c>
      <c r="N4" s="5">
        <f t="shared" si="0"/>
        <v>1.3640000000000001E-4</v>
      </c>
      <c r="O4" s="5">
        <f t="shared" si="0"/>
        <v>1.3651000000000001E-4</v>
      </c>
      <c r="P4" s="5">
        <f t="shared" si="0"/>
        <v>1.4789000000000002E-4</v>
      </c>
      <c r="Q4" s="5">
        <f>Q3/$B15</f>
        <v>8.8896999999999999E-4</v>
      </c>
      <c r="R4" s="12"/>
      <c r="S4" s="5" t="s">
        <v>90</v>
      </c>
      <c r="T4" s="3">
        <f>(T3*D$4)/4</f>
        <v>0.16417139926550001</v>
      </c>
      <c r="U4" s="1">
        <f>(U3*C$4)/4</f>
        <v>4.3423074999999996E-6</v>
      </c>
      <c r="V4" s="1">
        <f>(V3*E$4)/4</f>
        <v>7.3869617250000014E-6</v>
      </c>
      <c r="W4" s="3">
        <f>(W3*C$4)/4</f>
        <v>0.24226588554375</v>
      </c>
      <c r="X4" s="16">
        <f>(X3*F$4)/4</f>
        <v>0.36173662599749995</v>
      </c>
      <c r="Y4" s="17">
        <f>(Y3*C$4)/4</f>
        <v>0.50291346964375006</v>
      </c>
      <c r="Z4" s="17">
        <f>(Z3*G$4)/4</f>
        <v>0.53357445798250003</v>
      </c>
      <c r="AA4" s="3">
        <f>(AA3*C$4)/4</f>
        <v>1.289309873125E-2</v>
      </c>
      <c r="AB4" s="1">
        <f>(AB3*E$4)/4</f>
        <v>4.165729425000001E-6</v>
      </c>
      <c r="AC4" s="17">
        <f>(AC3*D$4)/4</f>
        <v>0.44819698281949999</v>
      </c>
      <c r="AD4" s="1">
        <f>(AD3*F$4)/4</f>
        <v>5.4637252499999989E-6</v>
      </c>
      <c r="AE4" s="17">
        <f>(AE3*D$4)/4</f>
        <v>0.51981964443799999</v>
      </c>
      <c r="AF4" s="1">
        <f>(AF3*G$4)/4</f>
        <v>4.03228525E-6</v>
      </c>
      <c r="AG4" s="3">
        <f>(AG3*D$4)/4</f>
        <v>0.17983642972149999</v>
      </c>
      <c r="AH4" s="1">
        <f>(AH3*F$4)/4</f>
        <v>8.3250277499999983E-6</v>
      </c>
      <c r="AI4" s="1">
        <f>(AI3*E$4)/4</f>
        <v>5.9254767000000009E-6</v>
      </c>
      <c r="AJ4" s="1">
        <f>(AJ3*G$4)/4</f>
        <v>5.4764437500000003E-6</v>
      </c>
      <c r="AK4" s="1">
        <f>(AK3*E$4)/4</f>
        <v>6.8998000500000012E-6</v>
      </c>
      <c r="AL4" s="1">
        <f>(AL3*G$4)/4</f>
        <v>6.9692817500000013E-6</v>
      </c>
      <c r="AM4" s="1">
        <f>(AM3*F$4)/4</f>
        <v>1.0382440499999998E-5</v>
      </c>
    </row>
    <row r="5" spans="1:84" s="5" customFormat="1" x14ac:dyDescent="0.2">
      <c r="B5" s="5" t="s">
        <v>94</v>
      </c>
      <c r="C5" s="6">
        <f>C4/(4*$B17)</f>
        <v>208845.10869565219</v>
      </c>
      <c r="D5" s="6">
        <f t="shared" ref="D5:K5" si="1">D4/(4*$B17)</f>
        <v>24645.108695652172</v>
      </c>
      <c r="E5" s="6">
        <f t="shared" si="1"/>
        <v>216132.06521739135</v>
      </c>
      <c r="F5" s="6">
        <f t="shared" si="1"/>
        <v>296201.08695652173</v>
      </c>
      <c r="G5" s="6">
        <f t="shared" si="1"/>
        <v>176375.00000000003</v>
      </c>
      <c r="H5" s="6">
        <f t="shared" si="1"/>
        <v>9885.8695652173919</v>
      </c>
      <c r="I5" s="6">
        <f t="shared" si="1"/>
        <v>1156066.8478260869</v>
      </c>
      <c r="J5" s="6">
        <f t="shared" si="1"/>
        <v>143740.21739130435</v>
      </c>
      <c r="K5" s="6">
        <f t="shared" si="1"/>
        <v>343775.00000000006</v>
      </c>
      <c r="L5" s="12"/>
      <c r="M5" s="5" t="s">
        <v>96</v>
      </c>
      <c r="N5" s="14">
        <f>N4/$B17</f>
        <v>29652.17391304348</v>
      </c>
      <c r="O5" s="14">
        <f t="shared" ref="O5:Q5" si="2">O4/$B17</f>
        <v>29676.08695652174</v>
      </c>
      <c r="P5" s="14">
        <f t="shared" si="2"/>
        <v>32150.000000000007</v>
      </c>
      <c r="Q5" s="14">
        <f t="shared" si="2"/>
        <v>193254.34782608697</v>
      </c>
      <c r="R5" s="12"/>
    </row>
    <row r="6" spans="1:84" ht="15" x14ac:dyDescent="0.25">
      <c r="B6" s="1" t="s">
        <v>2</v>
      </c>
      <c r="C6" t="s">
        <v>57</v>
      </c>
      <c r="D6" t="s">
        <v>64</v>
      </c>
      <c r="E6" t="s">
        <v>58</v>
      </c>
      <c r="F6" t="s">
        <v>59</v>
      </c>
      <c r="G6" t="s">
        <v>60</v>
      </c>
      <c r="H6" t="s">
        <v>65</v>
      </c>
      <c r="I6" t="s">
        <v>61</v>
      </c>
      <c r="J6" t="s">
        <v>62</v>
      </c>
      <c r="K6" t="s">
        <v>63</v>
      </c>
      <c r="M6" s="1" t="s">
        <v>2</v>
      </c>
      <c r="N6" t="s">
        <v>66</v>
      </c>
      <c r="O6" t="s">
        <v>67</v>
      </c>
      <c r="P6" t="s">
        <v>68</v>
      </c>
      <c r="Q6" t="s">
        <v>69</v>
      </c>
      <c r="R6" s="13"/>
      <c r="S6" s="5" t="s">
        <v>2</v>
      </c>
      <c r="T6" t="s">
        <v>70</v>
      </c>
      <c r="U6" t="s">
        <v>71</v>
      </c>
      <c r="V6" t="s">
        <v>72</v>
      </c>
      <c r="W6" t="s">
        <v>73</v>
      </c>
      <c r="X6" t="s">
        <v>74</v>
      </c>
      <c r="Y6" t="s">
        <v>75</v>
      </c>
      <c r="Z6" t="s">
        <v>76</v>
      </c>
      <c r="AA6" t="s">
        <v>77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83</v>
      </c>
      <c r="AH6" t="s">
        <v>84</v>
      </c>
      <c r="AI6" t="s">
        <v>85</v>
      </c>
      <c r="AJ6" t="s">
        <v>86</v>
      </c>
      <c r="AK6" t="s">
        <v>87</v>
      </c>
      <c r="AL6" t="s">
        <v>88</v>
      </c>
      <c r="AM6" t="s">
        <v>89</v>
      </c>
    </row>
    <row r="8" spans="1:84" x14ac:dyDescent="0.2">
      <c r="B8" s="1" t="s">
        <v>17</v>
      </c>
      <c r="C8" s="1">
        <f>30.6582/$B15</f>
        <v>3.0658199999999999E-3</v>
      </c>
      <c r="D8" s="1">
        <f>3.616/$B15</f>
        <v>3.6160000000000001E-4</v>
      </c>
      <c r="E8" s="1">
        <f>33.3508/$B15</f>
        <v>3.3350799999999998E-3</v>
      </c>
      <c r="F8" s="1">
        <f>45.3798/$B15</f>
        <v>4.5379800000000005E-3</v>
      </c>
      <c r="G8" s="1">
        <f>27.0929/$B15</f>
        <v>2.70929E-3</v>
      </c>
      <c r="H8" s="1">
        <f>0.017/$B15</f>
        <v>1.7E-6</v>
      </c>
      <c r="I8" s="1">
        <f>185.9334/$B15</f>
        <v>1.859334E-2</v>
      </c>
      <c r="J8" s="1">
        <f>24.2308/$B15</f>
        <v>2.4230799999999998E-3</v>
      </c>
      <c r="K8" s="1">
        <f>61.3202/$B15</f>
        <v>6.1320200000000002E-3</v>
      </c>
      <c r="M8" s="1" t="s">
        <v>17</v>
      </c>
      <c r="N8" s="1">
        <f>1.1272/$B15</f>
        <v>1.1271999999999999E-4</v>
      </c>
      <c r="O8" s="1">
        <f>1.127/$B15</f>
        <v>1.127E-4</v>
      </c>
      <c r="P8" s="1">
        <f>1.1806/$B15</f>
        <v>1.1806E-4</v>
      </c>
      <c r="Q8" s="1">
        <f>8.2491/$B15</f>
        <v>8.2490999999999999E-4</v>
      </c>
    </row>
    <row r="9" spans="1:84" x14ac:dyDescent="0.2">
      <c r="B9" s="1" t="s">
        <v>18</v>
      </c>
      <c r="C9" s="1">
        <f xml:space="preserve"> 46.5065/$B15</f>
        <v>4.6506500000000001E-3</v>
      </c>
      <c r="D9" s="1">
        <f xml:space="preserve"> 5.5425/$B15</f>
        <v>5.5425000000000006E-4</v>
      </c>
      <c r="E9" s="1">
        <f>45.9082/$B15</f>
        <v>4.5908199999999998E-3</v>
      </c>
      <c r="F9" s="1">
        <f xml:space="preserve"> 62.5435/$B15</f>
        <v>6.2543500000000005E-3</v>
      </c>
      <c r="G9" s="1">
        <f>37.2877/$B15</f>
        <v>3.7287700000000002E-3</v>
      </c>
      <c r="H9" s="1">
        <f>5.3302/$B15</f>
        <v>5.3301999999999993E-4</v>
      </c>
      <c r="I9" s="1">
        <f>236.5348/$B15</f>
        <v>2.3653479999999998E-2</v>
      </c>
      <c r="J9" s="1">
        <f>28.8073/$B15</f>
        <v>2.8807300000000002E-3</v>
      </c>
      <c r="K9" s="1">
        <f>64.9925/$B15</f>
        <v>6.4992500000000007E-3</v>
      </c>
      <c r="M9" s="1" t="s">
        <v>18</v>
      </c>
      <c r="N9" s="1">
        <f xml:space="preserve"> 1.5829/$B15</f>
        <v>1.5829E-4</v>
      </c>
      <c r="O9" s="1">
        <f>1.5833/$B15</f>
        <v>1.5832999999999998E-4</v>
      </c>
      <c r="P9" s="1">
        <f>1.7437/$B15</f>
        <v>1.7437E-4</v>
      </c>
      <c r="Q9" s="1">
        <f>9.678/$B15</f>
        <v>9.6780000000000011E-4</v>
      </c>
    </row>
    <row r="10" spans="1:84" x14ac:dyDescent="0.2">
      <c r="K10" s="5"/>
      <c r="M10" s="5"/>
      <c r="N10" s="4"/>
      <c r="O10" s="4"/>
    </row>
    <row r="11" spans="1:84" x14ac:dyDescent="0.2">
      <c r="A11" s="1" t="s">
        <v>21</v>
      </c>
      <c r="B11" s="1" t="s">
        <v>91</v>
      </c>
      <c r="C11" s="6">
        <f>C8/(4*$B17)</f>
        <v>166620.65217391305</v>
      </c>
      <c r="D11" s="6">
        <f t="shared" ref="D11:K11" si="3">D8/(4*$B17)</f>
        <v>19652.17391304348</v>
      </c>
      <c r="E11" s="6">
        <f t="shared" si="3"/>
        <v>181254.34782608695</v>
      </c>
      <c r="F11" s="6">
        <f t="shared" si="3"/>
        <v>246629.347826087</v>
      </c>
      <c r="G11" s="6">
        <f t="shared" si="3"/>
        <v>147244.02173913043</v>
      </c>
      <c r="H11" s="6">
        <f t="shared" si="3"/>
        <v>92.391304347826093</v>
      </c>
      <c r="I11" s="6">
        <f t="shared" si="3"/>
        <v>1010507.6086956522</v>
      </c>
      <c r="J11" s="6">
        <f t="shared" si="3"/>
        <v>131689.13043478259</v>
      </c>
      <c r="K11" s="6">
        <f t="shared" si="3"/>
        <v>333261.95652173914</v>
      </c>
      <c r="M11" s="1" t="s">
        <v>7</v>
      </c>
      <c r="N11" s="14">
        <f>N8/$B17</f>
        <v>24504.347826086956</v>
      </c>
      <c r="O11" s="14">
        <f t="shared" ref="O11:Q11" si="4">O8/$B17</f>
        <v>24500</v>
      </c>
      <c r="P11" s="14">
        <f t="shared" si="4"/>
        <v>25665.217391304348</v>
      </c>
      <c r="Q11" s="14">
        <f t="shared" si="4"/>
        <v>179328.26086956522</v>
      </c>
      <c r="S11" s="5" t="s">
        <v>7</v>
      </c>
      <c r="T11" s="3">
        <f>(810.2754*D$4)/4</f>
        <v>9.1858896409499999E-2</v>
      </c>
      <c r="U11" s="1">
        <f>(0.00001*C$4)/4</f>
        <v>9.6068750000000011E-9</v>
      </c>
      <c r="V11" s="1">
        <f>(0.00001*E$4)/4</f>
        <v>9.942075000000003E-9</v>
      </c>
      <c r="W11" s="3">
        <f>(73.3873*C$4)/4</f>
        <v>7.0502261768750005E-2</v>
      </c>
      <c r="X11" s="16">
        <f>(195.4934*F$4)/4</f>
        <v>0.266364644835</v>
      </c>
      <c r="Y11" s="17">
        <f>(313.0685*C$4)/4</f>
        <v>0.30076099459375</v>
      </c>
      <c r="Z11" s="17">
        <f>(530.8246*G$4)/4</f>
        <v>0.4306712685950001</v>
      </c>
      <c r="AA11" s="3">
        <f>(0.00001*C$4)/4</f>
        <v>9.6068750000000011E-9</v>
      </c>
      <c r="AB11" s="1">
        <f>(0.00001*E$4)/4</f>
        <v>9.942075000000003E-9</v>
      </c>
      <c r="AC11" s="17">
        <f>(2878.2791*D$4)/4</f>
        <v>0.32630330586924999</v>
      </c>
      <c r="AD11" s="1">
        <f>(0.00001*F$4)/4</f>
        <v>1.362525E-8</v>
      </c>
      <c r="AE11" s="17">
        <f>(3632.926*D$4)/4</f>
        <v>0.411855738305</v>
      </c>
      <c r="AF11" s="1">
        <f>(0.00001*G$4)/4</f>
        <v>8.1132500000000015E-9</v>
      </c>
      <c r="AG11" s="3">
        <f>(923.3567*D$4)/4</f>
        <v>0.10467864068725</v>
      </c>
      <c r="AH11" s="1">
        <f>(0.00001*F$4)/4</f>
        <v>1.362525E-8</v>
      </c>
      <c r="AI11" s="1">
        <f>(0.00001*E$4)/4</f>
        <v>9.942075000000003E-9</v>
      </c>
      <c r="AJ11" s="1">
        <f>(0.00001*G$4)/4</f>
        <v>8.1132500000000015E-9</v>
      </c>
      <c r="AK11" s="1">
        <f>(0.00001*E$4)/4</f>
        <v>9.942075000000003E-9</v>
      </c>
      <c r="AL11" s="1">
        <f>(0.00001*G$4)/4</f>
        <v>8.1132500000000015E-9</v>
      </c>
      <c r="AM11" s="1">
        <f>(0.00001*F$4)/4</f>
        <v>1.362525E-8</v>
      </c>
    </row>
    <row r="12" spans="1:84" x14ac:dyDescent="0.2">
      <c r="B12" s="1" t="s">
        <v>92</v>
      </c>
      <c r="C12" s="6">
        <f>C9/(4*$B17)</f>
        <v>252752.71739130435</v>
      </c>
      <c r="D12" s="6">
        <f t="shared" ref="D12:K12" si="5">D9/(4*$B17)</f>
        <v>30122.282608695656</v>
      </c>
      <c r="E12" s="6">
        <f t="shared" si="5"/>
        <v>249501.08695652173</v>
      </c>
      <c r="F12" s="6">
        <f t="shared" si="5"/>
        <v>339910.32608695654</v>
      </c>
      <c r="G12" s="6">
        <f t="shared" si="5"/>
        <v>202650.54347826089</v>
      </c>
      <c r="H12" s="6">
        <f t="shared" si="5"/>
        <v>28968.478260869564</v>
      </c>
      <c r="I12" s="6">
        <f t="shared" si="5"/>
        <v>1285515.2173913042</v>
      </c>
      <c r="J12" s="6">
        <f t="shared" si="5"/>
        <v>156561.41304347827</v>
      </c>
      <c r="K12" s="6">
        <f t="shared" si="5"/>
        <v>353220.10869565222</v>
      </c>
      <c r="M12" s="1" t="s">
        <v>8</v>
      </c>
      <c r="N12" s="14">
        <f>N9/$B17</f>
        <v>34410.869565217392</v>
      </c>
      <c r="O12" s="14">
        <f t="shared" ref="O12:Q12" si="6">O9/$B17</f>
        <v>34419.565217391304</v>
      </c>
      <c r="P12" s="14">
        <f t="shared" si="6"/>
        <v>37906.52173913044</v>
      </c>
      <c r="Q12" s="14">
        <f t="shared" si="6"/>
        <v>210391.30434782611</v>
      </c>
      <c r="S12" s="5" t="s">
        <v>8</v>
      </c>
      <c r="T12" s="3">
        <f>(2230.7592*D$4)/4</f>
        <v>0.252895593606</v>
      </c>
      <c r="U12" s="1">
        <f>(1.7362*C$4)/4</f>
        <v>1.6679456375000002E-3</v>
      </c>
      <c r="V12" s="1">
        <f>(5.6196*E$4)/4</f>
        <v>5.587048467000001E-3</v>
      </c>
      <c r="W12" s="3">
        <f>(411.6717*C$4)/4</f>
        <v>0.39548785629375</v>
      </c>
      <c r="X12" s="16">
        <f>( 348.9479*F$4)/4</f>
        <v>0.47545023744749998</v>
      </c>
      <c r="Y12" s="17">
        <f>(752.2163*C$4)/4</f>
        <v>0.72264479670625004</v>
      </c>
      <c r="Z12" s="17">
        <f>(804.9224*G$4)/4</f>
        <v>0.65305366618000016</v>
      </c>
      <c r="AA12" s="3">
        <f>(190.4478*C$4)/4</f>
        <v>0.18296082086250001</v>
      </c>
      <c r="AB12" s="1">
        <f>(1.4618*E$4)/4</f>
        <v>1.4533325235000002E-3</v>
      </c>
      <c r="AC12" s="17">
        <f>(5091.9352*D$4)/4</f>
        <v>0.57725996378599997</v>
      </c>
      <c r="AD12" s="1">
        <f>(1.4363*F$4)/4</f>
        <v>1.9569946574999999E-3</v>
      </c>
      <c r="AE12" s="17">
        <f>( 5828.3709*D$4)/4</f>
        <v>0.66074783800574999</v>
      </c>
      <c r="AF12" s="1">
        <f>( 2.1233*G$4)/4</f>
        <v>1.7226863725000002E-3</v>
      </c>
      <c r="AG12" s="3">
        <f>( 2362.7348*D$4)/4</f>
        <v>0.26785733743900003</v>
      </c>
      <c r="AH12" s="1">
        <f>(3.5829*F$4)/4</f>
        <v>4.8817908224999991E-3</v>
      </c>
      <c r="AI12" s="1">
        <f>(3.3371*E$4)/4</f>
        <v>3.3177698482500005E-3</v>
      </c>
      <c r="AJ12" s="1">
        <f>( 3.6157*G$4)/4</f>
        <v>2.9335078025000002E-3</v>
      </c>
      <c r="AK12" s="1">
        <f>(3.738*E$4)/4</f>
        <v>3.7163476350000006E-3</v>
      </c>
      <c r="AL12" s="1">
        <f>(5.7281*G$4)/4</f>
        <v>4.6473507325000014E-3</v>
      </c>
      <c r="AM12" s="1">
        <f>(4.8774*F$4)/4</f>
        <v>6.6455794349999991E-3</v>
      </c>
    </row>
    <row r="14" spans="1:84" x14ac:dyDescent="0.2">
      <c r="M14" s="1" t="s">
        <v>101</v>
      </c>
      <c r="N14" s="1">
        <f>N5*1.24</f>
        <v>36768.695652173912</v>
      </c>
      <c r="O14" s="1">
        <f t="shared" ref="O14:Q14" si="7">O5*1.24</f>
        <v>36798.34782608696</v>
      </c>
      <c r="P14" s="1">
        <f t="shared" si="7"/>
        <v>39866.000000000007</v>
      </c>
      <c r="Q14" s="1">
        <f t="shared" si="7"/>
        <v>239635.39130434784</v>
      </c>
    </row>
    <row r="15" spans="1:84" x14ac:dyDescent="0.2">
      <c r="A15" s="1" t="s">
        <v>3</v>
      </c>
      <c r="B15" s="1">
        <v>10000</v>
      </c>
      <c r="H15" s="3" t="s">
        <v>93</v>
      </c>
      <c r="I15" s="3"/>
      <c r="J15" s="3"/>
      <c r="K15" s="3"/>
    </row>
    <row r="16" spans="1:84" x14ac:dyDescent="0.2">
      <c r="A16" s="1" t="s">
        <v>4</v>
      </c>
      <c r="B16" s="1">
        <v>1</v>
      </c>
      <c r="H16" s="3"/>
      <c r="I16" s="3" t="s">
        <v>13</v>
      </c>
      <c r="J16" s="3"/>
      <c r="K16" s="3"/>
      <c r="M16" s="1" t="s">
        <v>102</v>
      </c>
      <c r="N16" s="6">
        <f>N11*1.24</f>
        <v>30385.391304347824</v>
      </c>
      <c r="O16" s="6">
        <f t="shared" ref="O16:Q16" si="8">O11*1.24</f>
        <v>30380</v>
      </c>
      <c r="P16" s="6">
        <f t="shared" si="8"/>
        <v>31824.869565217392</v>
      </c>
      <c r="Q16" s="6">
        <f t="shared" si="8"/>
        <v>222367.04347826086</v>
      </c>
    </row>
    <row r="17" spans="1:17" x14ac:dyDescent="0.2">
      <c r="A17" s="1" t="s">
        <v>10</v>
      </c>
      <c r="B17" s="1">
        <v>4.5999999999999998E-9</v>
      </c>
      <c r="H17" s="3"/>
      <c r="I17" s="3"/>
      <c r="J17" s="3"/>
      <c r="K17" s="3"/>
      <c r="M17" s="1" t="s">
        <v>103</v>
      </c>
      <c r="N17" s="1">
        <f>N12*1.24</f>
        <v>42669.478260869568</v>
      </c>
      <c r="O17" s="1">
        <f t="shared" ref="O17:Q17" si="9">O12*1.24</f>
        <v>42680.260869565216</v>
      </c>
      <c r="P17" s="1">
        <f t="shared" si="9"/>
        <v>47004.086956521744</v>
      </c>
      <c r="Q17" s="1">
        <f t="shared" si="9"/>
        <v>260885.21739130438</v>
      </c>
    </row>
    <row r="18" spans="1:17" x14ac:dyDescent="0.2">
      <c r="A18" s="1" t="s">
        <v>100</v>
      </c>
      <c r="B18" s="1" t="s">
        <v>97</v>
      </c>
      <c r="H18" s="3"/>
      <c r="I18" s="3"/>
      <c r="J18" s="3"/>
      <c r="K18" s="3"/>
    </row>
    <row r="19" spans="1:17" x14ac:dyDescent="0.2">
      <c r="H19" s="3"/>
      <c r="I19" s="3" t="s">
        <v>11</v>
      </c>
      <c r="J19" s="3"/>
      <c r="K19" s="3"/>
    </row>
    <row r="20" spans="1:17" ht="15" x14ac:dyDescent="0.3">
      <c r="A20" s="1" t="s">
        <v>99</v>
      </c>
      <c r="B20" s="1" t="s">
        <v>19</v>
      </c>
      <c r="C20" s="11"/>
      <c r="D20" s="11"/>
      <c r="E20" s="11"/>
      <c r="F20" s="11"/>
      <c r="G20" s="11"/>
      <c r="H20" s="18"/>
      <c r="I20" s="18"/>
      <c r="J20" s="18"/>
      <c r="K20" s="18"/>
    </row>
    <row r="21" spans="1:17" x14ac:dyDescent="0.2">
      <c r="H21" s="3"/>
      <c r="I21" s="3"/>
      <c r="J21" s="3"/>
      <c r="K21" s="3"/>
    </row>
    <row r="22" spans="1:17" ht="25.5" x14ac:dyDescent="0.2">
      <c r="A22" s="2" t="s">
        <v>5</v>
      </c>
      <c r="H22" s="3"/>
      <c r="I22" s="3" t="s">
        <v>15</v>
      </c>
      <c r="J22" s="3"/>
      <c r="K22" s="3"/>
    </row>
    <row r="23" spans="1:17" ht="25.5" x14ac:dyDescent="0.2">
      <c r="A23" s="2" t="s">
        <v>6</v>
      </c>
      <c r="H23" s="3"/>
      <c r="I23" s="3" t="s">
        <v>14</v>
      </c>
      <c r="J23" s="3"/>
      <c r="K23" s="3"/>
    </row>
    <row r="24" spans="1:17" x14ac:dyDescent="0.2">
      <c r="C24" s="10"/>
      <c r="H24" s="3" t="s">
        <v>16</v>
      </c>
      <c r="I24" s="3" t="s">
        <v>9</v>
      </c>
      <c r="J24" s="3"/>
      <c r="K24" s="3"/>
      <c r="N24" s="7"/>
    </row>
    <row r="27" spans="1:17" x14ac:dyDescent="0.2">
      <c r="A27" s="1" t="s">
        <v>20</v>
      </c>
      <c r="N27" s="7"/>
    </row>
    <row r="28" spans="1:17" x14ac:dyDescent="0.2">
      <c r="A28" s="1" t="s">
        <v>22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Af20_run6_data (Autoguardado)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GSC</dc:creator>
  <cp:lastModifiedBy>Alejandro Manuel Ferreiro</cp:lastModifiedBy>
  <dcterms:created xsi:type="dcterms:W3CDTF">2020-03-16T20:08:40Z</dcterms:created>
  <dcterms:modified xsi:type="dcterms:W3CDTF">2024-02-23T19:53:38Z</dcterms:modified>
</cp:coreProperties>
</file>