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0.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1.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2.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3.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4.xml" ContentType="application/vnd.openxmlformats-officedocument.themeOverrid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defaultThemeVersion="166925"/>
  <mc:AlternateContent xmlns:mc="http://schemas.openxmlformats.org/markup-compatibility/2006">
    <mc:Choice Requires="x15">
      <x15ac:absPath xmlns:x15ac="http://schemas.microsoft.com/office/spreadsheetml/2010/11/ac" url="C:\Users\Jaime\Downloads\"/>
    </mc:Choice>
  </mc:AlternateContent>
  <xr:revisionPtr revIDLastSave="0" documentId="13_ncr:1_{428CEA2E-06FB-4536-96FB-9440BEFB4CAB}" xr6:coauthVersionLast="47" xr6:coauthVersionMax="47" xr10:uidLastSave="{00000000-0000-0000-0000-000000000000}"/>
  <bookViews>
    <workbookView xWindow="-110" yWindow="-110" windowWidth="19420" windowHeight="10420" firstSheet="3" activeTab="3" xr2:uid="{746D1670-339D-4726-8B91-49250F0BA2FD}"/>
  </bookViews>
  <sheets>
    <sheet name="INICIO" sheetId="4" r:id="rId1"/>
    <sheet name="KAIZEN" sheetId="6" state="hidden" r:id="rId2"/>
    <sheet name="ESTABLECIMIENTO" sheetId="1" r:id="rId3"/>
    <sheet name="PREVISION" sheetId="2" r:id="rId4"/>
    <sheet name="UMBRAL" sheetId="5" r:id="rId5"/>
  </sheets>
  <definedNames>
    <definedName name="_xlnm._FilterDatabase" localSheetId="1" hidden="1">KAIZEN!$A$147:$C$162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4" i="6" l="1"/>
  <c r="C30" i="6"/>
  <c r="C29" i="6"/>
  <c r="B196" i="6"/>
  <c r="C28" i="6"/>
  <c r="L55" i="6"/>
  <c r="L56" i="6"/>
  <c r="K55" i="6"/>
  <c r="J55" i="6"/>
  <c r="J56" i="6"/>
  <c r="I55" i="6"/>
  <c r="I56" i="6"/>
  <c r="F7" i="1"/>
  <c r="E15" i="6" s="1"/>
  <c r="B184" i="6" s="1"/>
  <c r="F26" i="1"/>
  <c r="D2" i="6"/>
  <c r="K10" i="6" s="1"/>
  <c r="F27" i="1"/>
  <c r="F28" i="1"/>
  <c r="F29" i="1"/>
  <c r="F30" i="1"/>
  <c r="F31" i="1"/>
  <c r="F38" i="1"/>
  <c r="F39" i="1"/>
  <c r="F33" i="1"/>
  <c r="F34" i="1"/>
  <c r="F35" i="1"/>
  <c r="F36" i="1"/>
  <c r="C15" i="6"/>
  <c r="D15" i="6" s="1"/>
  <c r="C244" i="6"/>
  <c r="D244" i="6"/>
  <c r="G245" i="6"/>
  <c r="H245" i="6"/>
  <c r="C256" i="6"/>
  <c r="D256" i="6"/>
  <c r="M234" i="5"/>
  <c r="O236" i="5"/>
  <c r="E232" i="5"/>
  <c r="F232" i="5"/>
  <c r="G232" i="5"/>
  <c r="H232" i="5"/>
  <c r="I232" i="5"/>
  <c r="J232" i="5"/>
  <c r="K232" i="5"/>
  <c r="L232" i="5"/>
  <c r="M232" i="5"/>
  <c r="N232" i="5"/>
  <c r="O232" i="5"/>
  <c r="E233" i="5"/>
  <c r="F233" i="5"/>
  <c r="G233" i="5"/>
  <c r="H233" i="5"/>
  <c r="I233" i="5"/>
  <c r="J233" i="5"/>
  <c r="K233" i="5"/>
  <c r="L233" i="5"/>
  <c r="M233" i="5"/>
  <c r="N233" i="5"/>
  <c r="O233" i="5"/>
  <c r="E234" i="5"/>
  <c r="E237" i="5" s="1"/>
  <c r="F234" i="5"/>
  <c r="G234" i="5"/>
  <c r="H234" i="5"/>
  <c r="H237" i="5" s="1"/>
  <c r="I234" i="5"/>
  <c r="I237" i="5" s="1"/>
  <c r="J234" i="5"/>
  <c r="K234" i="5"/>
  <c r="L234" i="5"/>
  <c r="N234" i="5"/>
  <c r="O234" i="5"/>
  <c r="E235" i="5"/>
  <c r="F235" i="5"/>
  <c r="G235" i="5"/>
  <c r="H235" i="5"/>
  <c r="I235" i="5"/>
  <c r="J235" i="5"/>
  <c r="K235" i="5"/>
  <c r="L235" i="5"/>
  <c r="M235" i="5"/>
  <c r="N235" i="5"/>
  <c r="O235" i="5"/>
  <c r="E236" i="5"/>
  <c r="F236" i="5"/>
  <c r="G236" i="5"/>
  <c r="H236" i="5"/>
  <c r="I236" i="5"/>
  <c r="J236" i="5"/>
  <c r="K236" i="5"/>
  <c r="L236" i="5"/>
  <c r="M236" i="5"/>
  <c r="N236" i="5"/>
  <c r="D236" i="5"/>
  <c r="D235" i="5"/>
  <c r="D234" i="5"/>
  <c r="D233" i="5"/>
  <c r="D232" i="5"/>
  <c r="M184" i="5"/>
  <c r="O186" i="5"/>
  <c r="E182" i="5"/>
  <c r="F182" i="5"/>
  <c r="G182" i="5"/>
  <c r="H182" i="5"/>
  <c r="I182" i="5"/>
  <c r="J182" i="5"/>
  <c r="K182" i="5"/>
  <c r="L182" i="5"/>
  <c r="M182" i="5"/>
  <c r="N182" i="5"/>
  <c r="O182" i="5"/>
  <c r="E183" i="5"/>
  <c r="F183" i="5"/>
  <c r="G183" i="5"/>
  <c r="H183" i="5"/>
  <c r="I183" i="5"/>
  <c r="J183" i="5"/>
  <c r="K183" i="5"/>
  <c r="L183" i="5"/>
  <c r="M183" i="5"/>
  <c r="N183" i="5"/>
  <c r="O183" i="5"/>
  <c r="E184" i="5"/>
  <c r="F184" i="5"/>
  <c r="G184" i="5"/>
  <c r="H184" i="5"/>
  <c r="I184" i="5"/>
  <c r="J184" i="5"/>
  <c r="K184" i="5"/>
  <c r="L184" i="5"/>
  <c r="N184" i="5"/>
  <c r="O184" i="5"/>
  <c r="E185" i="5"/>
  <c r="F185" i="5"/>
  <c r="G185" i="5"/>
  <c r="H185" i="5"/>
  <c r="I185" i="5"/>
  <c r="J185" i="5"/>
  <c r="K185" i="5"/>
  <c r="L185" i="5"/>
  <c r="M185" i="5"/>
  <c r="N185" i="5"/>
  <c r="O185" i="5"/>
  <c r="E186" i="5"/>
  <c r="F186" i="5"/>
  <c r="G186" i="5"/>
  <c r="H186" i="5"/>
  <c r="I186" i="5"/>
  <c r="J186" i="5"/>
  <c r="K186" i="5"/>
  <c r="L186" i="5"/>
  <c r="M186" i="5"/>
  <c r="N186" i="5"/>
  <c r="D186" i="5"/>
  <c r="D185" i="5"/>
  <c r="D184" i="5"/>
  <c r="D183" i="5"/>
  <c r="D182" i="5"/>
  <c r="O136" i="5"/>
  <c r="E132" i="5"/>
  <c r="F132" i="5"/>
  <c r="G132" i="5"/>
  <c r="H132" i="5"/>
  <c r="I132" i="5"/>
  <c r="J132" i="5"/>
  <c r="K132" i="5"/>
  <c r="L132" i="5"/>
  <c r="M132" i="5"/>
  <c r="N132" i="5"/>
  <c r="O132" i="5"/>
  <c r="E133" i="5"/>
  <c r="F133" i="5"/>
  <c r="G133" i="5"/>
  <c r="H133" i="5"/>
  <c r="I133" i="5"/>
  <c r="J133" i="5"/>
  <c r="K133" i="5"/>
  <c r="L133" i="5"/>
  <c r="M133" i="5"/>
  <c r="N133" i="5"/>
  <c r="O133" i="5"/>
  <c r="E134" i="5"/>
  <c r="F134" i="5"/>
  <c r="G134" i="5"/>
  <c r="H134" i="5"/>
  <c r="H137" i="5" s="1"/>
  <c r="I134" i="5"/>
  <c r="J134" i="5"/>
  <c r="K134" i="5"/>
  <c r="L134" i="5"/>
  <c r="M134" i="5"/>
  <c r="N134" i="5"/>
  <c r="O134" i="5"/>
  <c r="E135" i="5"/>
  <c r="F135" i="5"/>
  <c r="G135" i="5"/>
  <c r="H135" i="5"/>
  <c r="I135" i="5"/>
  <c r="J135" i="5"/>
  <c r="K135" i="5"/>
  <c r="L135" i="5"/>
  <c r="M135" i="5"/>
  <c r="N135" i="5"/>
  <c r="O135" i="5"/>
  <c r="E136" i="5"/>
  <c r="F136" i="5"/>
  <c r="G136" i="5"/>
  <c r="H136" i="5"/>
  <c r="I136" i="5"/>
  <c r="J136" i="5"/>
  <c r="K136" i="5"/>
  <c r="L136" i="5"/>
  <c r="M136" i="5"/>
  <c r="N136" i="5"/>
  <c r="D136" i="5"/>
  <c r="D135" i="5"/>
  <c r="D134" i="5"/>
  <c r="D133" i="5"/>
  <c r="D132" i="5"/>
  <c r="C132" i="5" s="1"/>
  <c r="D86" i="5"/>
  <c r="O86" i="5"/>
  <c r="E82" i="5"/>
  <c r="F82" i="5"/>
  <c r="G82" i="5"/>
  <c r="H82" i="5"/>
  <c r="I82" i="5"/>
  <c r="J82" i="5"/>
  <c r="K82" i="5"/>
  <c r="L82" i="5"/>
  <c r="M82" i="5"/>
  <c r="N82" i="5"/>
  <c r="O82" i="5"/>
  <c r="E83" i="5"/>
  <c r="F83" i="5"/>
  <c r="G83" i="5"/>
  <c r="H83" i="5"/>
  <c r="I83" i="5"/>
  <c r="J83" i="5"/>
  <c r="K83" i="5"/>
  <c r="L83" i="5"/>
  <c r="M83" i="5"/>
  <c r="N83" i="5"/>
  <c r="O83" i="5"/>
  <c r="E84" i="5"/>
  <c r="F84" i="5"/>
  <c r="G84" i="5"/>
  <c r="H84" i="5"/>
  <c r="I84" i="5"/>
  <c r="J84" i="5"/>
  <c r="K84" i="5"/>
  <c r="L84" i="5"/>
  <c r="M84" i="5"/>
  <c r="N84" i="5"/>
  <c r="O84" i="5"/>
  <c r="E85" i="5"/>
  <c r="F85" i="5"/>
  <c r="G85" i="5"/>
  <c r="H85" i="5"/>
  <c r="I85" i="5"/>
  <c r="J85" i="5"/>
  <c r="K85" i="5"/>
  <c r="L85" i="5"/>
  <c r="M85" i="5"/>
  <c r="N85" i="5"/>
  <c r="O85" i="5"/>
  <c r="E86" i="5"/>
  <c r="F86" i="5"/>
  <c r="G86" i="5"/>
  <c r="H86" i="5"/>
  <c r="I86" i="5"/>
  <c r="J86" i="5"/>
  <c r="K86" i="5"/>
  <c r="L86" i="5"/>
  <c r="M86" i="5"/>
  <c r="N86" i="5"/>
  <c r="D85" i="5"/>
  <c r="D84" i="5"/>
  <c r="D83" i="5"/>
  <c r="D82" i="5"/>
  <c r="E33" i="5"/>
  <c r="F33" i="5"/>
  <c r="G33" i="5"/>
  <c r="H33" i="5"/>
  <c r="I33" i="5"/>
  <c r="J33" i="5"/>
  <c r="K33" i="5"/>
  <c r="L33" i="5"/>
  <c r="M33" i="5"/>
  <c r="N33" i="5"/>
  <c r="O33" i="5"/>
  <c r="E34" i="5"/>
  <c r="F34" i="5"/>
  <c r="G34" i="5"/>
  <c r="H34" i="5"/>
  <c r="I34" i="5"/>
  <c r="J34" i="5"/>
  <c r="K34" i="5"/>
  <c r="L34" i="5"/>
  <c r="M34" i="5"/>
  <c r="N34" i="5"/>
  <c r="O34" i="5"/>
  <c r="E35" i="5"/>
  <c r="F35" i="5"/>
  <c r="G35" i="5"/>
  <c r="H35" i="5"/>
  <c r="I35" i="5"/>
  <c r="J35" i="5"/>
  <c r="K35" i="5"/>
  <c r="L35" i="5"/>
  <c r="M35" i="5"/>
  <c r="N35" i="5"/>
  <c r="O35" i="5"/>
  <c r="E36" i="5"/>
  <c r="F36" i="5"/>
  <c r="G36" i="5"/>
  <c r="H36" i="5"/>
  <c r="I36" i="5"/>
  <c r="J36" i="5"/>
  <c r="K36" i="5"/>
  <c r="L36" i="5"/>
  <c r="M36" i="5"/>
  <c r="N36" i="5"/>
  <c r="O36" i="5"/>
  <c r="D36" i="5"/>
  <c r="D35" i="5"/>
  <c r="D34" i="5"/>
  <c r="D33" i="5"/>
  <c r="O32" i="5"/>
  <c r="E32" i="5"/>
  <c r="F32" i="5"/>
  <c r="G32" i="5"/>
  <c r="H32" i="5"/>
  <c r="I32" i="5"/>
  <c r="J32" i="5"/>
  <c r="K32" i="5"/>
  <c r="L32" i="5"/>
  <c r="M32" i="5"/>
  <c r="N32" i="5"/>
  <c r="D32" i="5"/>
  <c r="C35" i="5"/>
  <c r="D56" i="6"/>
  <c r="D55" i="6"/>
  <c r="D54" i="6"/>
  <c r="D53" i="6"/>
  <c r="H8" i="2"/>
  <c r="F8" i="6" s="1"/>
  <c r="H9" i="2"/>
  <c r="H7" i="2"/>
  <c r="C8" i="4"/>
  <c r="C24" i="6"/>
  <c r="C23" i="6"/>
  <c r="C33" i="2"/>
  <c r="D14" i="5"/>
  <c r="D5" i="2"/>
  <c r="G34" i="6" s="1"/>
  <c r="F4" i="6"/>
  <c r="B175" i="6"/>
  <c r="C25" i="6"/>
  <c r="K56" i="6"/>
  <c r="D10" i="4"/>
  <c r="B70" i="6"/>
  <c r="C5" i="5"/>
  <c r="D7" i="5"/>
  <c r="C26" i="5" s="1"/>
  <c r="D26" i="5" s="1"/>
  <c r="E26" i="5" s="1"/>
  <c r="F26" i="5" s="1"/>
  <c r="G26" i="5" s="1"/>
  <c r="H26" i="5" s="1"/>
  <c r="I26" i="5" s="1"/>
  <c r="J26" i="5" s="1"/>
  <c r="K26" i="5" s="1"/>
  <c r="L26" i="5" s="1"/>
  <c r="M26" i="5" s="1"/>
  <c r="N26" i="5" s="1"/>
  <c r="O26" i="5" s="1"/>
  <c r="E13" i="1"/>
  <c r="F4" i="1"/>
  <c r="C32" i="5"/>
  <c r="C14" i="6"/>
  <c r="G53" i="6"/>
  <c r="K47" i="6"/>
  <c r="H47" i="6"/>
  <c r="E47" i="6"/>
  <c r="J34" i="6"/>
  <c r="J46" i="6"/>
  <c r="J43" i="6"/>
  <c r="G43" i="6"/>
  <c r="D43" i="6"/>
  <c r="C2" i="5"/>
  <c r="C52" i="5" s="1"/>
  <c r="C17" i="5"/>
  <c r="B4" i="5"/>
  <c r="E7" i="5"/>
  <c r="E13" i="5"/>
  <c r="E14" i="5"/>
  <c r="F14" i="5"/>
  <c r="G14" i="5"/>
  <c r="H14" i="5"/>
  <c r="K18" i="5"/>
  <c r="B19" i="5"/>
  <c r="D50" i="2"/>
  <c r="B2" i="1"/>
  <c r="B19" i="1" s="1"/>
  <c r="C14" i="5"/>
  <c r="E46" i="6" s="1"/>
  <c r="G6" i="5"/>
  <c r="F7" i="5"/>
  <c r="H7" i="5"/>
  <c r="H13" i="5"/>
  <c r="E15" i="5"/>
  <c r="G7" i="5"/>
  <c r="G13" i="5"/>
  <c r="G15" i="5"/>
  <c r="H6" i="5"/>
  <c r="O249" i="5"/>
  <c r="N249" i="5"/>
  <c r="M249" i="5"/>
  <c r="L249" i="5"/>
  <c r="K249" i="5"/>
  <c r="J249" i="5"/>
  <c r="I249" i="5"/>
  <c r="H249" i="5"/>
  <c r="G249" i="5"/>
  <c r="F249" i="5"/>
  <c r="E249" i="5"/>
  <c r="D249" i="5"/>
  <c r="O225" i="5"/>
  <c r="N225" i="5"/>
  <c r="M225" i="5"/>
  <c r="L225" i="5"/>
  <c r="K225" i="5"/>
  <c r="J225" i="5"/>
  <c r="I225" i="5"/>
  <c r="H225" i="5"/>
  <c r="G225" i="5"/>
  <c r="F225" i="5"/>
  <c r="E225" i="5"/>
  <c r="D225" i="5"/>
  <c r="C224" i="5"/>
  <c r="P248" i="5"/>
  <c r="C223" i="5"/>
  <c r="P247" i="5" s="1"/>
  <c r="P223" i="5"/>
  <c r="C222" i="5"/>
  <c r="P222" i="5"/>
  <c r="C221" i="5"/>
  <c r="P245" i="5" s="1"/>
  <c r="C220" i="5"/>
  <c r="H214" i="5"/>
  <c r="G214" i="5"/>
  <c r="F214" i="5"/>
  <c r="E214" i="5"/>
  <c r="D214" i="5"/>
  <c r="C205" i="5"/>
  <c r="F207" i="5" s="1"/>
  <c r="O199" i="5"/>
  <c r="N199" i="5"/>
  <c r="M199" i="5"/>
  <c r="L199" i="5"/>
  <c r="K199" i="5"/>
  <c r="J199" i="5"/>
  <c r="I199" i="5"/>
  <c r="H199" i="5"/>
  <c r="G199" i="5"/>
  <c r="F199" i="5"/>
  <c r="E199" i="5"/>
  <c r="D199" i="5"/>
  <c r="O175" i="5"/>
  <c r="N175" i="5"/>
  <c r="M175" i="5"/>
  <c r="L175" i="5"/>
  <c r="K175" i="5"/>
  <c r="J175" i="5"/>
  <c r="I175" i="5"/>
  <c r="H175" i="5"/>
  <c r="G175" i="5"/>
  <c r="F175" i="5"/>
  <c r="E175" i="5"/>
  <c r="D175" i="5"/>
  <c r="C174" i="5"/>
  <c r="P198" i="5"/>
  <c r="C173" i="5"/>
  <c r="P197" i="5"/>
  <c r="C172" i="5"/>
  <c r="P196" i="5" s="1"/>
  <c r="P172" i="5"/>
  <c r="C171" i="5"/>
  <c r="P171" i="5"/>
  <c r="C170" i="5"/>
  <c r="P170" i="5" s="1"/>
  <c r="H164" i="5"/>
  <c r="G164" i="5"/>
  <c r="F164" i="5"/>
  <c r="E164" i="5"/>
  <c r="D164" i="5"/>
  <c r="C155" i="5"/>
  <c r="F157" i="5" s="1"/>
  <c r="O149" i="5"/>
  <c r="N149" i="5"/>
  <c r="M149" i="5"/>
  <c r="L149" i="5"/>
  <c r="K149" i="5"/>
  <c r="J149" i="5"/>
  <c r="I149" i="5"/>
  <c r="H149" i="5"/>
  <c r="G149" i="5"/>
  <c r="F149" i="5"/>
  <c r="E149" i="5"/>
  <c r="D149" i="5"/>
  <c r="O125" i="5"/>
  <c r="N125" i="5"/>
  <c r="M125" i="5"/>
  <c r="L125" i="5"/>
  <c r="K125" i="5"/>
  <c r="J125" i="5"/>
  <c r="I125" i="5"/>
  <c r="H125" i="5"/>
  <c r="G125" i="5"/>
  <c r="F125" i="5"/>
  <c r="E125" i="5"/>
  <c r="D125" i="5"/>
  <c r="C124" i="5"/>
  <c r="P124" i="5" s="1"/>
  <c r="L23" i="6" s="1"/>
  <c r="P148" i="5"/>
  <c r="L31" i="6" s="1"/>
  <c r="C123" i="5"/>
  <c r="P123" i="5" s="1"/>
  <c r="L22" i="6" s="1"/>
  <c r="C122" i="5"/>
  <c r="P122" i="5"/>
  <c r="L21" i="6" s="1"/>
  <c r="C121" i="5"/>
  <c r="C120" i="5"/>
  <c r="P144" i="5"/>
  <c r="L27" i="6" s="1"/>
  <c r="C225" i="6" s="1"/>
  <c r="H114" i="5"/>
  <c r="G114" i="5"/>
  <c r="F114" i="5"/>
  <c r="E114" i="5"/>
  <c r="D114" i="5"/>
  <c r="C105" i="5"/>
  <c r="H107" i="5" s="1"/>
  <c r="C130" i="5" s="1"/>
  <c r="D130" i="5" s="1"/>
  <c r="O99" i="5"/>
  <c r="N99" i="5"/>
  <c r="M99" i="5"/>
  <c r="L99" i="5"/>
  <c r="K99" i="5"/>
  <c r="J99" i="5"/>
  <c r="I99" i="5"/>
  <c r="H99" i="5"/>
  <c r="G99" i="5"/>
  <c r="F99" i="5"/>
  <c r="E99" i="5"/>
  <c r="D99" i="5"/>
  <c r="I87" i="5"/>
  <c r="O75" i="5"/>
  <c r="N75" i="5"/>
  <c r="M75" i="5"/>
  <c r="L75" i="5"/>
  <c r="K75" i="5"/>
  <c r="J75" i="5"/>
  <c r="I75" i="5"/>
  <c r="H75" i="5"/>
  <c r="G75" i="5"/>
  <c r="F75" i="5"/>
  <c r="E75" i="5"/>
  <c r="D75" i="5"/>
  <c r="C74" i="5"/>
  <c r="P98" i="5"/>
  <c r="K31" i="6"/>
  <c r="C73" i="5"/>
  <c r="P73" i="5"/>
  <c r="K22" i="6"/>
  <c r="C72" i="5"/>
  <c r="P72" i="5"/>
  <c r="K21" i="6"/>
  <c r="C71" i="5"/>
  <c r="P71" i="5"/>
  <c r="K20" i="6"/>
  <c r="C70" i="5"/>
  <c r="H64" i="5"/>
  <c r="G64" i="5"/>
  <c r="F64" i="5"/>
  <c r="E64" i="5"/>
  <c r="D64" i="5"/>
  <c r="C55" i="5"/>
  <c r="U197" i="2"/>
  <c r="T197" i="2"/>
  <c r="S197" i="2"/>
  <c r="R197" i="2"/>
  <c r="Q197" i="2"/>
  <c r="P197" i="2"/>
  <c r="O197" i="2"/>
  <c r="N197" i="2"/>
  <c r="M197" i="2"/>
  <c r="L197" i="2"/>
  <c r="K197" i="2"/>
  <c r="J197" i="2"/>
  <c r="I196" i="2"/>
  <c r="I195" i="2"/>
  <c r="I194" i="2"/>
  <c r="I193" i="2"/>
  <c r="I192" i="2"/>
  <c r="I191" i="2"/>
  <c r="I190" i="2"/>
  <c r="I189" i="2"/>
  <c r="I188" i="2"/>
  <c r="I187" i="2"/>
  <c r="I186" i="2"/>
  <c r="I185" i="2"/>
  <c r="I184" i="2"/>
  <c r="I183" i="2"/>
  <c r="I182" i="2"/>
  <c r="I181" i="2"/>
  <c r="U180" i="2"/>
  <c r="T180" i="2"/>
  <c r="T198" i="2"/>
  <c r="S180" i="2"/>
  <c r="S198" i="2"/>
  <c r="R180" i="2"/>
  <c r="R198" i="2"/>
  <c r="Q180" i="2"/>
  <c r="Q198" i="2"/>
  <c r="P180" i="2"/>
  <c r="P198" i="2"/>
  <c r="O180" i="2"/>
  <c r="O198" i="2"/>
  <c r="N180" i="2"/>
  <c r="N198" i="2"/>
  <c r="M180" i="2"/>
  <c r="M198" i="2"/>
  <c r="L180" i="2"/>
  <c r="L198" i="2"/>
  <c r="K180" i="2"/>
  <c r="K198" i="2"/>
  <c r="J180" i="2"/>
  <c r="J198" i="2"/>
  <c r="I179" i="2"/>
  <c r="I178" i="2"/>
  <c r="I177" i="2"/>
  <c r="I176" i="2"/>
  <c r="I175" i="2"/>
  <c r="I174" i="2"/>
  <c r="U166" i="2"/>
  <c r="T166" i="2"/>
  <c r="S166" i="2"/>
  <c r="R166" i="2"/>
  <c r="Q166" i="2"/>
  <c r="P166" i="2"/>
  <c r="O166" i="2"/>
  <c r="N166" i="2"/>
  <c r="M166" i="2"/>
  <c r="L166" i="2"/>
  <c r="K166" i="2"/>
  <c r="J166" i="2"/>
  <c r="I165" i="2"/>
  <c r="I164" i="2"/>
  <c r="I163" i="2"/>
  <c r="I162" i="2"/>
  <c r="I161" i="2"/>
  <c r="I160" i="2"/>
  <c r="I159" i="2"/>
  <c r="I158" i="2"/>
  <c r="I157" i="2"/>
  <c r="I156" i="2"/>
  <c r="I155" i="2"/>
  <c r="I154" i="2"/>
  <c r="I153" i="2"/>
  <c r="I152" i="2"/>
  <c r="I151" i="2"/>
  <c r="I150" i="2"/>
  <c r="U149" i="2"/>
  <c r="U167" i="2"/>
  <c r="T149" i="2"/>
  <c r="S149" i="2"/>
  <c r="R149" i="2"/>
  <c r="R167" i="2"/>
  <c r="Q149" i="2"/>
  <c r="Q167" i="2"/>
  <c r="P149" i="2"/>
  <c r="O149" i="2"/>
  <c r="N149" i="2"/>
  <c r="M149" i="2"/>
  <c r="L149" i="2"/>
  <c r="L167" i="2"/>
  <c r="K149" i="2"/>
  <c r="J149" i="2"/>
  <c r="I148" i="2"/>
  <c r="I147" i="2"/>
  <c r="I146" i="2"/>
  <c r="I145" i="2"/>
  <c r="I144" i="2"/>
  <c r="I143" i="2"/>
  <c r="U135" i="2"/>
  <c r="T135" i="2"/>
  <c r="S135" i="2"/>
  <c r="R135" i="2"/>
  <c r="Q135" i="2"/>
  <c r="P135" i="2"/>
  <c r="O135" i="2"/>
  <c r="N135" i="2"/>
  <c r="M135" i="2"/>
  <c r="L135" i="2"/>
  <c r="K135" i="2"/>
  <c r="J135" i="2"/>
  <c r="I134" i="2"/>
  <c r="I133" i="2"/>
  <c r="I132" i="2"/>
  <c r="I131" i="2"/>
  <c r="G29" i="6"/>
  <c r="I130" i="2"/>
  <c r="K35" i="6"/>
  <c r="I129" i="2"/>
  <c r="I128" i="2"/>
  <c r="K43" i="6"/>
  <c r="L43" i="6"/>
  <c r="I127" i="2"/>
  <c r="K42" i="6"/>
  <c r="I126" i="2"/>
  <c r="K41" i="6"/>
  <c r="I125" i="2"/>
  <c r="K40" i="6"/>
  <c r="I124" i="2"/>
  <c r="K39" i="6" s="1"/>
  <c r="I123" i="2"/>
  <c r="K38" i="6"/>
  <c r="I122" i="2"/>
  <c r="K37" i="6"/>
  <c r="I121" i="2"/>
  <c r="K36" i="6"/>
  <c r="I120" i="2"/>
  <c r="I119" i="2"/>
  <c r="U118" i="2"/>
  <c r="T118" i="2"/>
  <c r="T136" i="2"/>
  <c r="S118" i="2"/>
  <c r="S136" i="2"/>
  <c r="R118" i="2"/>
  <c r="Q118" i="2"/>
  <c r="P118" i="2"/>
  <c r="P136" i="2"/>
  <c r="O118" i="2"/>
  <c r="N118" i="2"/>
  <c r="M118" i="2"/>
  <c r="L118" i="2"/>
  <c r="L136" i="2"/>
  <c r="K118" i="2"/>
  <c r="K136" i="2"/>
  <c r="J118" i="2"/>
  <c r="I117" i="2"/>
  <c r="I116" i="2"/>
  <c r="I115" i="2"/>
  <c r="I114" i="2"/>
  <c r="I113" i="2"/>
  <c r="I112" i="2"/>
  <c r="U104" i="2"/>
  <c r="T104" i="2"/>
  <c r="S104" i="2"/>
  <c r="R104" i="2"/>
  <c r="Q104" i="2"/>
  <c r="P104" i="2"/>
  <c r="O104" i="2"/>
  <c r="N104" i="2"/>
  <c r="M104" i="2"/>
  <c r="L104" i="2"/>
  <c r="K104" i="2"/>
  <c r="J104" i="2"/>
  <c r="I103" i="2"/>
  <c r="I102" i="2"/>
  <c r="I101" i="2"/>
  <c r="I100" i="2"/>
  <c r="G25" i="6"/>
  <c r="I99" i="2"/>
  <c r="H35" i="6"/>
  <c r="I98" i="2"/>
  <c r="I97" i="2"/>
  <c r="H43" i="6"/>
  <c r="I43" i="6"/>
  <c r="I96" i="2"/>
  <c r="H42" i="6"/>
  <c r="I95" i="2"/>
  <c r="H41" i="6"/>
  <c r="I94" i="2"/>
  <c r="H40" i="6"/>
  <c r="I93" i="2"/>
  <c r="H39" i="6" s="1"/>
  <c r="I92" i="2"/>
  <c r="H38" i="6"/>
  <c r="I91" i="2"/>
  <c r="H37" i="6"/>
  <c r="I90" i="2"/>
  <c r="H36" i="6"/>
  <c r="I89" i="2"/>
  <c r="I88" i="2"/>
  <c r="U87" i="2"/>
  <c r="T87" i="2"/>
  <c r="T105" i="2"/>
  <c r="S87" i="2"/>
  <c r="R87" i="2"/>
  <c r="Q87" i="2"/>
  <c r="P87" i="2"/>
  <c r="O87" i="2"/>
  <c r="O105" i="2" s="1"/>
  <c r="N87" i="2"/>
  <c r="N105" i="2"/>
  <c r="M87" i="2"/>
  <c r="M105" i="2"/>
  <c r="L87" i="2"/>
  <c r="K87" i="2"/>
  <c r="J87" i="2"/>
  <c r="I86" i="2"/>
  <c r="I85" i="2"/>
  <c r="I84" i="2"/>
  <c r="I83" i="2"/>
  <c r="I82" i="2"/>
  <c r="I81" i="2"/>
  <c r="H34" i="6"/>
  <c r="F25" i="1"/>
  <c r="F24" i="1"/>
  <c r="F5" i="1"/>
  <c r="F6" i="1"/>
  <c r="F8" i="1"/>
  <c r="F9" i="1"/>
  <c r="F10" i="1"/>
  <c r="C148" i="6"/>
  <c r="C215" i="6"/>
  <c r="C193" i="6"/>
  <c r="C178" i="6"/>
  <c r="C166" i="6"/>
  <c r="G20" i="6"/>
  <c r="H63" i="6"/>
  <c r="H62" i="6"/>
  <c r="B4" i="6"/>
  <c r="C63" i="6"/>
  <c r="B5" i="6"/>
  <c r="C64" i="6"/>
  <c r="F64" i="6"/>
  <c r="B6" i="6"/>
  <c r="B8" i="6"/>
  <c r="P146" i="5"/>
  <c r="L29" i="6" s="1"/>
  <c r="E87" i="5"/>
  <c r="H87" i="5"/>
  <c r="I137" i="5"/>
  <c r="K87" i="5"/>
  <c r="L187" i="5"/>
  <c r="M87" i="5"/>
  <c r="L105" i="2"/>
  <c r="M136" i="2"/>
  <c r="J136" i="2"/>
  <c r="R136" i="2"/>
  <c r="I149" i="2"/>
  <c r="I180" i="2"/>
  <c r="K105" i="2"/>
  <c r="S105" i="2"/>
  <c r="K34" i="6"/>
  <c r="L34" i="6"/>
  <c r="I87" i="2"/>
  <c r="C225" i="5"/>
  <c r="P246" i="5"/>
  <c r="D206" i="5"/>
  <c r="G207" i="5"/>
  <c r="C229" i="5" s="1"/>
  <c r="E207" i="5"/>
  <c r="C227" i="5" s="1"/>
  <c r="D227" i="5" s="1"/>
  <c r="E227" i="5" s="1"/>
  <c r="F227" i="5" s="1"/>
  <c r="G227" i="5" s="1"/>
  <c r="H227" i="5" s="1"/>
  <c r="I227" i="5" s="1"/>
  <c r="J227" i="5" s="1"/>
  <c r="K227" i="5" s="1"/>
  <c r="L227" i="5" s="1"/>
  <c r="M227" i="5" s="1"/>
  <c r="N227" i="5" s="1"/>
  <c r="O227" i="5" s="1"/>
  <c r="O239" i="5" s="1"/>
  <c r="P173" i="5"/>
  <c r="F107" i="5"/>
  <c r="F113" i="5" s="1"/>
  <c r="F115" i="5" s="1"/>
  <c r="F56" i="5"/>
  <c r="G56" i="5"/>
  <c r="E57" i="5"/>
  <c r="C77" i="5" s="1"/>
  <c r="D77" i="5" s="1"/>
  <c r="E77" i="5" s="1"/>
  <c r="F77" i="5" s="1"/>
  <c r="G77" i="5" s="1"/>
  <c r="H77" i="5" s="1"/>
  <c r="I77" i="5" s="1"/>
  <c r="J77" i="5" s="1"/>
  <c r="K77" i="5" s="1"/>
  <c r="L77" i="5" s="1"/>
  <c r="M77" i="5" s="1"/>
  <c r="N77" i="5" s="1"/>
  <c r="O77" i="5" s="1"/>
  <c r="O89" i="5" s="1"/>
  <c r="H56" i="5"/>
  <c r="F57" i="5"/>
  <c r="D56" i="5"/>
  <c r="G57" i="5"/>
  <c r="C79" i="5" s="1"/>
  <c r="D79" i="5" s="1"/>
  <c r="E79" i="5" s="1"/>
  <c r="F79" i="5" s="1"/>
  <c r="G79" i="5" s="1"/>
  <c r="H79" i="5" s="1"/>
  <c r="I79" i="5" s="1"/>
  <c r="J79" i="5" s="1"/>
  <c r="K79" i="5" s="1"/>
  <c r="L79" i="5" s="1"/>
  <c r="M79" i="5" s="1"/>
  <c r="N79" i="5" s="1"/>
  <c r="O79" i="5" s="1"/>
  <c r="O91" i="5" s="1"/>
  <c r="H57" i="5"/>
  <c r="D57" i="5"/>
  <c r="D63" i="5" s="1"/>
  <c r="E56" i="5"/>
  <c r="C64" i="5"/>
  <c r="H46" i="6"/>
  <c r="P96" i="5"/>
  <c r="K29" i="6"/>
  <c r="I197" i="2"/>
  <c r="I198" i="2"/>
  <c r="P220" i="5"/>
  <c r="P244" i="5"/>
  <c r="P221" i="5"/>
  <c r="O237" i="5"/>
  <c r="P224" i="5"/>
  <c r="G187" i="5"/>
  <c r="P195" i="5"/>
  <c r="P174" i="5"/>
  <c r="J187" i="5"/>
  <c r="P120" i="5"/>
  <c r="L19" i="6" s="1"/>
  <c r="B219" i="6" s="1"/>
  <c r="N137" i="5"/>
  <c r="P147" i="5"/>
  <c r="L30" i="6" s="1"/>
  <c r="D87" i="5"/>
  <c r="L87" i="5"/>
  <c r="C84" i="5"/>
  <c r="C75" i="5"/>
  <c r="C82" i="5"/>
  <c r="N87" i="5"/>
  <c r="P70" i="5"/>
  <c r="K19" i="6"/>
  <c r="B218" i="6"/>
  <c r="P94" i="5"/>
  <c r="K27" i="6"/>
  <c r="C83" i="5"/>
  <c r="G87" i="5"/>
  <c r="O87" i="5"/>
  <c r="P97" i="5"/>
  <c r="K30" i="6"/>
  <c r="P74" i="5"/>
  <c r="K23" i="6"/>
  <c r="F87" i="5"/>
  <c r="J87" i="5"/>
  <c r="P95" i="5"/>
  <c r="K28" i="6"/>
  <c r="F63" i="6"/>
  <c r="C224" i="6"/>
  <c r="B224" i="6"/>
  <c r="E61" i="6"/>
  <c r="D11" i="4"/>
  <c r="J35" i="6"/>
  <c r="G27" i="6"/>
  <c r="G35" i="6"/>
  <c r="G23" i="6"/>
  <c r="H25" i="6"/>
  <c r="D35" i="6"/>
  <c r="D34" i="6"/>
  <c r="D46" i="6" s="1"/>
  <c r="C30" i="2"/>
  <c r="C65" i="6"/>
  <c r="F65" i="6"/>
  <c r="B7" i="6"/>
  <c r="C66" i="6"/>
  <c r="F66" i="6"/>
  <c r="C67" i="6"/>
  <c r="F67" i="6"/>
  <c r="B9" i="6"/>
  <c r="C68" i="6"/>
  <c r="F68" i="6"/>
  <c r="B10" i="6"/>
  <c r="C69" i="6"/>
  <c r="F69" i="6"/>
  <c r="B2" i="6"/>
  <c r="J37" i="6"/>
  <c r="J38" i="6"/>
  <c r="J39" i="6"/>
  <c r="J40" i="6"/>
  <c r="J41" i="6"/>
  <c r="J42" i="6"/>
  <c r="J36" i="6"/>
  <c r="D37" i="6"/>
  <c r="G37" i="6"/>
  <c r="D38" i="6"/>
  <c r="G38" i="6"/>
  <c r="I38" i="6"/>
  <c r="D39" i="6"/>
  <c r="G39" i="6"/>
  <c r="D40" i="6"/>
  <c r="G40" i="6"/>
  <c r="D41" i="6"/>
  <c r="G41" i="6"/>
  <c r="D42" i="6"/>
  <c r="G42" i="6"/>
  <c r="I63" i="2"/>
  <c r="E40" i="6"/>
  <c r="G36" i="6"/>
  <c r="D36" i="6"/>
  <c r="G28" i="6"/>
  <c r="G24" i="6"/>
  <c r="C19" i="6"/>
  <c r="C20" i="6"/>
  <c r="C61" i="6"/>
  <c r="H234" i="6"/>
  <c r="D234" i="6"/>
  <c r="J71" i="6"/>
  <c r="I146" i="6"/>
  <c r="C149" i="6"/>
  <c r="H28" i="6"/>
  <c r="H24" i="6"/>
  <c r="G19" i="6"/>
  <c r="H20" i="6"/>
  <c r="B201" i="6"/>
  <c r="C201" i="6"/>
  <c r="F40" i="6"/>
  <c r="B208" i="6"/>
  <c r="C208" i="6"/>
  <c r="F62" i="6"/>
  <c r="D28" i="6"/>
  <c r="L35" i="6"/>
  <c r="I35" i="6"/>
  <c r="L40" i="6"/>
  <c r="I40" i="6"/>
  <c r="I41" i="6"/>
  <c r="I37" i="6"/>
  <c r="I42" i="6"/>
  <c r="I49" i="2"/>
  <c r="I36" i="6"/>
  <c r="B54" i="5"/>
  <c r="B69" i="5" s="1"/>
  <c r="K68" i="5" s="1"/>
  <c r="H59" i="6"/>
  <c r="I59" i="6"/>
  <c r="E49" i="5"/>
  <c r="I49" i="5"/>
  <c r="C24" i="5"/>
  <c r="P48" i="5"/>
  <c r="J31" i="6"/>
  <c r="C23" i="5"/>
  <c r="P23" i="5"/>
  <c r="J22" i="6"/>
  <c r="C21" i="5"/>
  <c r="P21" i="5"/>
  <c r="J20" i="6"/>
  <c r="C22" i="5"/>
  <c r="P22" i="5"/>
  <c r="J21" i="6"/>
  <c r="C222" i="6"/>
  <c r="C221" i="6"/>
  <c r="B221" i="6"/>
  <c r="D37" i="5"/>
  <c r="C33" i="5"/>
  <c r="C34" i="5"/>
  <c r="C36" i="5"/>
  <c r="P47" i="5"/>
  <c r="J30" i="6"/>
  <c r="P24" i="5"/>
  <c r="J23" i="6"/>
  <c r="P46" i="5"/>
  <c r="J29" i="6"/>
  <c r="P45" i="5"/>
  <c r="J28" i="6"/>
  <c r="C28" i="5"/>
  <c r="D28" i="5" s="1"/>
  <c r="E28" i="5" s="1"/>
  <c r="F28" i="5" s="1"/>
  <c r="G28" i="5" s="1"/>
  <c r="H28" i="5" s="1"/>
  <c r="I28" i="5" s="1"/>
  <c r="J28" i="5" s="1"/>
  <c r="K28" i="5" s="1"/>
  <c r="L28" i="5" s="1"/>
  <c r="M28" i="5" s="1"/>
  <c r="N28" i="5" s="1"/>
  <c r="O28" i="5" s="1"/>
  <c r="C30" i="5"/>
  <c r="D30" i="5" s="1"/>
  <c r="E30" i="5" s="1"/>
  <c r="F30" i="5" s="1"/>
  <c r="G30" i="5" s="1"/>
  <c r="H30" i="5" s="1"/>
  <c r="I30" i="5" s="1"/>
  <c r="J30" i="5" s="1"/>
  <c r="K30" i="5" s="1"/>
  <c r="L30" i="5" s="1"/>
  <c r="M30" i="5" s="1"/>
  <c r="N30" i="5" s="1"/>
  <c r="O30" i="5" s="1"/>
  <c r="C29" i="5"/>
  <c r="D29" i="5" s="1"/>
  <c r="E29" i="5" s="1"/>
  <c r="F29" i="5" s="1"/>
  <c r="G29" i="5" s="1"/>
  <c r="H29" i="5" s="1"/>
  <c r="I29" i="5" s="1"/>
  <c r="J29" i="5" s="1"/>
  <c r="K29" i="5" s="1"/>
  <c r="L29" i="5" s="1"/>
  <c r="M29" i="5" s="1"/>
  <c r="N29" i="5" s="1"/>
  <c r="O29" i="5" s="1"/>
  <c r="C27" i="5"/>
  <c r="D27" i="5" s="1"/>
  <c r="E27" i="5" s="1"/>
  <c r="F27" i="5" s="1"/>
  <c r="G27" i="5" s="1"/>
  <c r="H27" i="5" s="1"/>
  <c r="I27" i="5" s="1"/>
  <c r="J27" i="5" s="1"/>
  <c r="K27" i="5" s="1"/>
  <c r="L27" i="5" s="1"/>
  <c r="M27" i="5" s="1"/>
  <c r="N27" i="5" s="1"/>
  <c r="O27" i="5" s="1"/>
  <c r="E25" i="5"/>
  <c r="E37" i="5"/>
  <c r="F25" i="5"/>
  <c r="F49" i="5"/>
  <c r="G37" i="5"/>
  <c r="F37" i="5"/>
  <c r="D38" i="5"/>
  <c r="E91" i="5"/>
  <c r="F63" i="5"/>
  <c r="F65" i="5"/>
  <c r="C78" i="5"/>
  <c r="D78" i="5" s="1"/>
  <c r="C76" i="5"/>
  <c r="D76" i="5" s="1"/>
  <c r="E76" i="5" s="1"/>
  <c r="F76" i="5" s="1"/>
  <c r="G76" i="5" s="1"/>
  <c r="H76" i="5" s="1"/>
  <c r="I76" i="5" s="1"/>
  <c r="J76" i="5" s="1"/>
  <c r="K76" i="5" s="1"/>
  <c r="L76" i="5" s="1"/>
  <c r="M76" i="5" s="1"/>
  <c r="N76" i="5" s="1"/>
  <c r="O76" i="5" s="1"/>
  <c r="O88" i="5" s="1"/>
  <c r="C56" i="5"/>
  <c r="I89" i="5"/>
  <c r="N89" i="5"/>
  <c r="F89" i="5"/>
  <c r="E89" i="5"/>
  <c r="D89" i="5"/>
  <c r="G89" i="5"/>
  <c r="M89" i="5"/>
  <c r="C80" i="5"/>
  <c r="D80" i="5" s="1"/>
  <c r="H63" i="5"/>
  <c r="H65" i="5" s="1"/>
  <c r="C42" i="5"/>
  <c r="C38" i="5"/>
  <c r="C37" i="5"/>
  <c r="C41" i="5"/>
  <c r="C40" i="5"/>
  <c r="C39" i="5"/>
  <c r="C31" i="5"/>
  <c r="G25" i="5"/>
  <c r="G49" i="5"/>
  <c r="E39" i="5"/>
  <c r="I39" i="5"/>
  <c r="M39" i="5"/>
  <c r="F39" i="5"/>
  <c r="J39" i="5"/>
  <c r="N39" i="5"/>
  <c r="G39" i="5"/>
  <c r="K39" i="5"/>
  <c r="O39" i="5"/>
  <c r="H39" i="5"/>
  <c r="L39" i="5"/>
  <c r="D39" i="5"/>
  <c r="H42" i="5"/>
  <c r="L42" i="5"/>
  <c r="D42" i="5"/>
  <c r="E42" i="5"/>
  <c r="I42" i="5"/>
  <c r="M42" i="5"/>
  <c r="F42" i="5"/>
  <c r="J42" i="5"/>
  <c r="N42" i="5"/>
  <c r="G42" i="5"/>
  <c r="K42" i="5"/>
  <c r="O42" i="5"/>
  <c r="F40" i="5"/>
  <c r="J40" i="5"/>
  <c r="N40" i="5"/>
  <c r="G40" i="5"/>
  <c r="K40" i="5"/>
  <c r="O40" i="5"/>
  <c r="H40" i="5"/>
  <c r="L40" i="5"/>
  <c r="D40" i="5"/>
  <c r="E40" i="5"/>
  <c r="I40" i="5"/>
  <c r="M40" i="5"/>
  <c r="G41" i="5"/>
  <c r="K41" i="5"/>
  <c r="O41" i="5"/>
  <c r="H41" i="5"/>
  <c r="L41" i="5"/>
  <c r="D41" i="5"/>
  <c r="E41" i="5"/>
  <c r="I41" i="5"/>
  <c r="M41" i="5"/>
  <c r="F41" i="5"/>
  <c r="J41" i="5"/>
  <c r="N41" i="5"/>
  <c r="U73" i="2"/>
  <c r="J73" i="2"/>
  <c r="K73" i="2"/>
  <c r="L73" i="2"/>
  <c r="M73" i="2"/>
  <c r="N73" i="2"/>
  <c r="O73" i="2"/>
  <c r="P73" i="2"/>
  <c r="Q73" i="2"/>
  <c r="R73" i="2"/>
  <c r="S73" i="2"/>
  <c r="T73" i="2"/>
  <c r="K56" i="2"/>
  <c r="L56" i="2"/>
  <c r="M56" i="2"/>
  <c r="N56" i="2"/>
  <c r="O56" i="2"/>
  <c r="P56" i="2"/>
  <c r="Q56" i="2"/>
  <c r="R56" i="2"/>
  <c r="S56" i="2"/>
  <c r="T56" i="2"/>
  <c r="U56" i="2"/>
  <c r="J56" i="2"/>
  <c r="I58" i="2"/>
  <c r="I59" i="2"/>
  <c r="I60" i="2"/>
  <c r="I61" i="2"/>
  <c r="I62" i="2"/>
  <c r="I64" i="2"/>
  <c r="I65" i="2"/>
  <c r="I66" i="2"/>
  <c r="E43" i="6"/>
  <c r="F43" i="6"/>
  <c r="I67" i="2"/>
  <c r="I68" i="2"/>
  <c r="E35" i="6"/>
  <c r="I69" i="2"/>
  <c r="I70" i="2"/>
  <c r="I71" i="2"/>
  <c r="I72" i="2"/>
  <c r="I57" i="2"/>
  <c r="I51" i="2"/>
  <c r="I52" i="2"/>
  <c r="I53" i="2"/>
  <c r="I54" i="2"/>
  <c r="I55" i="2"/>
  <c r="B2" i="2"/>
  <c r="H170" i="2" s="1"/>
  <c r="C37" i="2"/>
  <c r="C12" i="2"/>
  <c r="C41" i="2"/>
  <c r="G37" i="2"/>
  <c r="D37" i="2"/>
  <c r="F37" i="2"/>
  <c r="E37" i="2"/>
  <c r="F33" i="2"/>
  <c r="G30" i="2"/>
  <c r="F30" i="2"/>
  <c r="E30" i="2"/>
  <c r="D30" i="2"/>
  <c r="D27" i="2"/>
  <c r="E27" i="2"/>
  <c r="F27" i="2"/>
  <c r="G27" i="2"/>
  <c r="C27" i="2"/>
  <c r="D16" i="2"/>
  <c r="E16" i="2"/>
  <c r="F16" i="2"/>
  <c r="G16" i="2"/>
  <c r="C16" i="2"/>
  <c r="C11" i="2" s="1"/>
  <c r="D47" i="6" s="1"/>
  <c r="G33" i="2"/>
  <c r="E33" i="2"/>
  <c r="D33" i="2"/>
  <c r="G12" i="2"/>
  <c r="G41" i="2" s="1"/>
  <c r="D12" i="2"/>
  <c r="D41" i="2" s="1"/>
  <c r="G50" i="6" s="1"/>
  <c r="E12" i="2"/>
  <c r="E41" i="2" s="1"/>
  <c r="J50" i="6" s="1"/>
  <c r="F12" i="2"/>
  <c r="F41" i="2" s="1"/>
  <c r="G5" i="2"/>
  <c r="F5" i="2"/>
  <c r="C32" i="1"/>
  <c r="B211" i="6"/>
  <c r="C211" i="6"/>
  <c r="H139" i="2"/>
  <c r="F35" i="6"/>
  <c r="B203" i="6"/>
  <c r="C203" i="6"/>
  <c r="N88" i="5"/>
  <c r="D81" i="5"/>
  <c r="G88" i="5"/>
  <c r="C89" i="5"/>
  <c r="J48" i="6"/>
  <c r="G48" i="6"/>
  <c r="D50" i="6"/>
  <c r="D48" i="6"/>
  <c r="E38" i="6"/>
  <c r="F38" i="6"/>
  <c r="B206" i="6"/>
  <c r="C206" i="6"/>
  <c r="L38" i="6"/>
  <c r="E41" i="6"/>
  <c r="F41" i="6"/>
  <c r="B209" i="6"/>
  <c r="C209" i="6"/>
  <c r="L41" i="6"/>
  <c r="G21" i="6"/>
  <c r="H21" i="6"/>
  <c r="E42" i="6"/>
  <c r="F42" i="6"/>
  <c r="B210" i="6"/>
  <c r="C210" i="6"/>
  <c r="L42" i="6"/>
  <c r="E37" i="6"/>
  <c r="L37" i="6"/>
  <c r="M74" i="2"/>
  <c r="E36" i="6"/>
  <c r="L36" i="6"/>
  <c r="H49" i="5"/>
  <c r="H25" i="5"/>
  <c r="H37" i="5"/>
  <c r="H38" i="5"/>
  <c r="L38" i="5"/>
  <c r="E38" i="5"/>
  <c r="I38" i="5"/>
  <c r="M38" i="5"/>
  <c r="F38" i="5"/>
  <c r="J38" i="5"/>
  <c r="N38" i="5"/>
  <c r="G38" i="5"/>
  <c r="K38" i="5"/>
  <c r="O38" i="5"/>
  <c r="J74" i="2"/>
  <c r="J75" i="2"/>
  <c r="K49" i="2" s="1"/>
  <c r="R74" i="2"/>
  <c r="S74" i="2"/>
  <c r="Q74" i="2"/>
  <c r="F37" i="6"/>
  <c r="B205" i="6"/>
  <c r="C205" i="6"/>
  <c r="F36" i="6"/>
  <c r="F31" i="5"/>
  <c r="J31" i="5"/>
  <c r="J43" i="5"/>
  <c r="I25" i="5"/>
  <c r="I37" i="5"/>
  <c r="H31" i="5"/>
  <c r="H43" i="5"/>
  <c r="H50" i="5"/>
  <c r="N31" i="5"/>
  <c r="I43" i="5"/>
  <c r="I31" i="5"/>
  <c r="D31" i="5"/>
  <c r="F43" i="5"/>
  <c r="F50" i="5"/>
  <c r="K31" i="5"/>
  <c r="E43" i="5"/>
  <c r="E50" i="5"/>
  <c r="E31" i="5"/>
  <c r="O31" i="5"/>
  <c r="M31" i="5"/>
  <c r="G43" i="5"/>
  <c r="G50" i="5"/>
  <c r="G31" i="5"/>
  <c r="L31" i="5"/>
  <c r="D43" i="5"/>
  <c r="B204" i="6"/>
  <c r="C204" i="6"/>
  <c r="I50" i="5"/>
  <c r="J25" i="5"/>
  <c r="J49" i="5"/>
  <c r="J50" i="5"/>
  <c r="J37" i="5"/>
  <c r="K49" i="5"/>
  <c r="K25" i="5"/>
  <c r="K37" i="5"/>
  <c r="D25" i="5"/>
  <c r="L49" i="5"/>
  <c r="L25" i="5"/>
  <c r="L37" i="5"/>
  <c r="L43" i="5"/>
  <c r="K43" i="5"/>
  <c r="K50" i="5"/>
  <c r="L50" i="5"/>
  <c r="M25" i="5"/>
  <c r="M49" i="5"/>
  <c r="M37" i="5"/>
  <c r="M43" i="5"/>
  <c r="M50" i="5"/>
  <c r="N37" i="5"/>
  <c r="N25" i="5"/>
  <c r="N49" i="5"/>
  <c r="N43" i="5"/>
  <c r="N50" i="5"/>
  <c r="O25" i="5"/>
  <c r="O49" i="5"/>
  <c r="O37" i="5"/>
  <c r="O43" i="5"/>
  <c r="O50" i="5"/>
  <c r="C43" i="5"/>
  <c r="F11" i="2" l="1"/>
  <c r="I73" i="2"/>
  <c r="T74" i="2"/>
  <c r="P74" i="2"/>
  <c r="N74" i="2"/>
  <c r="L74" i="2"/>
  <c r="K74" i="2"/>
  <c r="U74" i="2"/>
  <c r="J105" i="2"/>
  <c r="P105" i="2"/>
  <c r="Q105" i="2"/>
  <c r="R105" i="2"/>
  <c r="U105" i="2"/>
  <c r="I118" i="2"/>
  <c r="I135" i="2"/>
  <c r="N136" i="2"/>
  <c r="Q136" i="2"/>
  <c r="U136" i="2"/>
  <c r="J167" i="2"/>
  <c r="K167" i="2"/>
  <c r="M167" i="2"/>
  <c r="N167" i="2"/>
  <c r="O167" i="2"/>
  <c r="P167" i="2"/>
  <c r="S167" i="2"/>
  <c r="T167" i="2"/>
  <c r="U198" i="2"/>
  <c r="C99" i="5"/>
  <c r="H15" i="5"/>
  <c r="I34" i="6"/>
  <c r="C86" i="5"/>
  <c r="C85" i="5"/>
  <c r="L137" i="5"/>
  <c r="J137" i="5"/>
  <c r="O137" i="5"/>
  <c r="M137" i="5"/>
  <c r="E137" i="5"/>
  <c r="K187" i="5"/>
  <c r="E187" i="5"/>
  <c r="M187" i="5"/>
  <c r="L237" i="5"/>
  <c r="E29" i="6"/>
  <c r="B199" i="6" s="1"/>
  <c r="C199" i="6" s="1"/>
  <c r="I166" i="2"/>
  <c r="I167" i="2" s="1"/>
  <c r="O136" i="2"/>
  <c r="I136" i="2"/>
  <c r="O74" i="2"/>
  <c r="E11" i="2"/>
  <c r="J47" i="6" s="1"/>
  <c r="J49" i="6" s="1"/>
  <c r="L39" i="6"/>
  <c r="I39" i="6"/>
  <c r="I104" i="2"/>
  <c r="I105" i="2" s="1"/>
  <c r="E39" i="6"/>
  <c r="F39" i="6" s="1"/>
  <c r="B207" i="6" s="1"/>
  <c r="C207" i="6" s="1"/>
  <c r="K75" i="2"/>
  <c r="L49" i="2" s="1"/>
  <c r="L75" i="2" s="1"/>
  <c r="M49" i="2" s="1"/>
  <c r="M75" i="2" s="1"/>
  <c r="N49" i="2" s="1"/>
  <c r="N75" i="2" s="1"/>
  <c r="O49" i="2" s="1"/>
  <c r="G11" i="2"/>
  <c r="F47" i="6"/>
  <c r="D49" i="6"/>
  <c r="I67" i="6" s="1"/>
  <c r="B195" i="6"/>
  <c r="C31" i="6"/>
  <c r="G46" i="6"/>
  <c r="I46" i="6" s="1"/>
  <c r="K237" i="5"/>
  <c r="J237" i="5"/>
  <c r="C232" i="5"/>
  <c r="F237" i="5"/>
  <c r="G237" i="5"/>
  <c r="C234" i="5"/>
  <c r="M237" i="5"/>
  <c r="N237" i="5"/>
  <c r="C236" i="5"/>
  <c r="C235" i="5"/>
  <c r="C241" i="5" s="1"/>
  <c r="C233" i="5"/>
  <c r="C239" i="5" s="1"/>
  <c r="C249" i="5"/>
  <c r="H187" i="5"/>
  <c r="I187" i="5"/>
  <c r="C182" i="5"/>
  <c r="N187" i="5"/>
  <c r="O187" i="5"/>
  <c r="C183" i="5"/>
  <c r="F187" i="5"/>
  <c r="C184" i="5"/>
  <c r="C199" i="5"/>
  <c r="G137" i="5"/>
  <c r="F137" i="5"/>
  <c r="D137" i="5"/>
  <c r="C149" i="5"/>
  <c r="K137" i="5"/>
  <c r="C133" i="5"/>
  <c r="C134" i="5"/>
  <c r="C135" i="5"/>
  <c r="C136" i="5"/>
  <c r="G206" i="5"/>
  <c r="J239" i="5"/>
  <c r="E206" i="5"/>
  <c r="D207" i="5"/>
  <c r="C226" i="5" s="1"/>
  <c r="D226" i="5" s="1"/>
  <c r="E226" i="5" s="1"/>
  <c r="F226" i="5" s="1"/>
  <c r="G226" i="5" s="1"/>
  <c r="H226" i="5" s="1"/>
  <c r="I226" i="5" s="1"/>
  <c r="J226" i="5" s="1"/>
  <c r="K226" i="5" s="1"/>
  <c r="L226" i="5" s="1"/>
  <c r="M226" i="5" s="1"/>
  <c r="N226" i="5" s="1"/>
  <c r="O226" i="5" s="1"/>
  <c r="O238" i="5" s="1"/>
  <c r="K239" i="5"/>
  <c r="H239" i="5"/>
  <c r="H207" i="5"/>
  <c r="C230" i="5" s="1"/>
  <c r="D230" i="5" s="1"/>
  <c r="E230" i="5" s="1"/>
  <c r="F230" i="5" s="1"/>
  <c r="G230" i="5" s="1"/>
  <c r="H230" i="5" s="1"/>
  <c r="I230" i="5" s="1"/>
  <c r="J230" i="5" s="1"/>
  <c r="K230" i="5" s="1"/>
  <c r="L230" i="5" s="1"/>
  <c r="M230" i="5" s="1"/>
  <c r="N230" i="5" s="1"/>
  <c r="O230" i="5" s="1"/>
  <c r="O242" i="5" s="1"/>
  <c r="D239" i="5"/>
  <c r="H206" i="5"/>
  <c r="C214" i="5"/>
  <c r="I239" i="5"/>
  <c r="E213" i="5"/>
  <c r="E215" i="5" s="1"/>
  <c r="F213" i="5"/>
  <c r="F215" i="5" s="1"/>
  <c r="C228" i="5"/>
  <c r="D228" i="5" s="1"/>
  <c r="N239" i="5"/>
  <c r="F206" i="5"/>
  <c r="M239" i="5"/>
  <c r="G213" i="5"/>
  <c r="G215" i="5" s="1"/>
  <c r="D237" i="5"/>
  <c r="E157" i="5"/>
  <c r="E163" i="5" s="1"/>
  <c r="E165" i="5" s="1"/>
  <c r="G156" i="5"/>
  <c r="H157" i="5"/>
  <c r="H163" i="5" s="1"/>
  <c r="H165" i="5" s="1"/>
  <c r="C164" i="5"/>
  <c r="C175" i="5"/>
  <c r="P194" i="5"/>
  <c r="D157" i="5"/>
  <c r="D163" i="5" s="1"/>
  <c r="D165" i="5" s="1"/>
  <c r="F156" i="5"/>
  <c r="D156" i="5"/>
  <c r="H156" i="5"/>
  <c r="C178" i="5"/>
  <c r="D178" i="5" s="1"/>
  <c r="F163" i="5"/>
  <c r="F165" i="5" s="1"/>
  <c r="C177" i="5"/>
  <c r="G157" i="5"/>
  <c r="E156" i="5"/>
  <c r="C186" i="5"/>
  <c r="D187" i="5"/>
  <c r="C185" i="5"/>
  <c r="C114" i="5"/>
  <c r="K46" i="6" s="1"/>
  <c r="L46" i="6" s="1"/>
  <c r="B225" i="6"/>
  <c r="G106" i="5"/>
  <c r="C128" i="5"/>
  <c r="D128" i="5" s="1"/>
  <c r="E128" i="5" s="1"/>
  <c r="F128" i="5" s="1"/>
  <c r="G128" i="5" s="1"/>
  <c r="H128" i="5" s="1"/>
  <c r="I128" i="5" s="1"/>
  <c r="J128" i="5" s="1"/>
  <c r="K128" i="5" s="1"/>
  <c r="L128" i="5" s="1"/>
  <c r="M128" i="5" s="1"/>
  <c r="N128" i="5" s="1"/>
  <c r="O128" i="5" s="1"/>
  <c r="O140" i="5" s="1"/>
  <c r="F106" i="5"/>
  <c r="G107" i="5"/>
  <c r="G113" i="5" s="1"/>
  <c r="G115" i="5" s="1"/>
  <c r="D106" i="5"/>
  <c r="H106" i="5"/>
  <c r="C125" i="5"/>
  <c r="E106" i="5"/>
  <c r="E107" i="5"/>
  <c r="E113" i="5" s="1"/>
  <c r="E115" i="5" s="1"/>
  <c r="D107" i="5"/>
  <c r="C126" i="5" s="1"/>
  <c r="D126" i="5" s="1"/>
  <c r="E126" i="5" s="1"/>
  <c r="E130" i="5"/>
  <c r="D142" i="5"/>
  <c r="P121" i="5"/>
  <c r="L20" i="6" s="1"/>
  <c r="P145" i="5"/>
  <c r="L28" i="6" s="1"/>
  <c r="H113" i="5"/>
  <c r="H115" i="5" s="1"/>
  <c r="C142" i="5"/>
  <c r="C87" i="5"/>
  <c r="D229" i="5"/>
  <c r="E239" i="5"/>
  <c r="F239" i="5"/>
  <c r="L239" i="5"/>
  <c r="G239" i="5"/>
  <c r="C138" i="5"/>
  <c r="D65" i="5"/>
  <c r="K91" i="5"/>
  <c r="G91" i="5"/>
  <c r="I88" i="5"/>
  <c r="D88" i="5"/>
  <c r="L89" i="5"/>
  <c r="H89" i="5"/>
  <c r="C90" i="5"/>
  <c r="D91" i="5"/>
  <c r="C81" i="5"/>
  <c r="F91" i="5"/>
  <c r="F88" i="5"/>
  <c r="K88" i="5"/>
  <c r="E63" i="5"/>
  <c r="E65" i="5" s="1"/>
  <c r="J89" i="5"/>
  <c r="N91" i="5"/>
  <c r="J88" i="5"/>
  <c r="H88" i="5"/>
  <c r="K89" i="5"/>
  <c r="C91" i="5"/>
  <c r="J91" i="5"/>
  <c r="H91" i="5"/>
  <c r="L88" i="5"/>
  <c r="M88" i="5"/>
  <c r="L91" i="5"/>
  <c r="I91" i="5"/>
  <c r="E88" i="5"/>
  <c r="C92" i="5"/>
  <c r="C88" i="5"/>
  <c r="G63" i="5"/>
  <c r="G65" i="5" s="1"/>
  <c r="M91" i="5"/>
  <c r="E80" i="5"/>
  <c r="D92" i="5"/>
  <c r="E78" i="5"/>
  <c r="D90" i="5"/>
  <c r="D93" i="5" s="1"/>
  <c r="D100" i="5" s="1"/>
  <c r="C60" i="5"/>
  <c r="D24" i="6"/>
  <c r="B189" i="6" s="1"/>
  <c r="C189" i="6" s="1"/>
  <c r="G59" i="6"/>
  <c r="C184" i="6"/>
  <c r="D25" i="6"/>
  <c r="F59" i="6"/>
  <c r="E59" i="6"/>
  <c r="L59" i="6"/>
  <c r="K59" i="6"/>
  <c r="J59" i="6"/>
  <c r="D59" i="6"/>
  <c r="C59" i="6"/>
  <c r="G55" i="6"/>
  <c r="H55" i="6" s="1"/>
  <c r="B191" i="6" s="1"/>
  <c r="C191" i="6" s="1"/>
  <c r="F46" i="6"/>
  <c r="G56" i="6"/>
  <c r="H56" i="6" s="1"/>
  <c r="B192" i="6" s="1"/>
  <c r="C192" i="6" s="1"/>
  <c r="F54" i="6"/>
  <c r="E54" i="6"/>
  <c r="G52" i="6"/>
  <c r="B104" i="5"/>
  <c r="H108" i="2"/>
  <c r="C67" i="5"/>
  <c r="C102" i="5"/>
  <c r="H77" i="2"/>
  <c r="H46" i="2"/>
  <c r="F3" i="1"/>
  <c r="C13" i="6" s="1"/>
  <c r="D14" i="6" s="1"/>
  <c r="B183" i="6" s="1"/>
  <c r="C183" i="6" s="1"/>
  <c r="F32" i="1"/>
  <c r="F23" i="1"/>
  <c r="F13" i="5"/>
  <c r="F15" i="5" s="1"/>
  <c r="C37" i="1"/>
  <c r="F6" i="5"/>
  <c r="H12" i="2"/>
  <c r="D6" i="5"/>
  <c r="F12" i="4"/>
  <c r="C3" i="1"/>
  <c r="F37" i="1"/>
  <c r="C5" i="2"/>
  <c r="C42" i="2" s="1"/>
  <c r="E6" i="5"/>
  <c r="I50" i="2"/>
  <c r="H10" i="1"/>
  <c r="I4" i="5"/>
  <c r="C4" i="2"/>
  <c r="D11" i="2"/>
  <c r="C20" i="5"/>
  <c r="C25" i="5" s="1"/>
  <c r="E5" i="2"/>
  <c r="D13" i="5"/>
  <c r="C23" i="1"/>
  <c r="D49" i="5"/>
  <c r="D50" i="5" s="1"/>
  <c r="C240" i="5" l="1"/>
  <c r="O75" i="2"/>
  <c r="P49" i="2" s="1"/>
  <c r="P75" i="2" s="1"/>
  <c r="Q49" i="2" s="1"/>
  <c r="Q75" i="2" s="1"/>
  <c r="R49" i="2" s="1"/>
  <c r="R75" i="2" s="1"/>
  <c r="S49" i="2" s="1"/>
  <c r="S75" i="2" s="1"/>
  <c r="T49" i="2" s="1"/>
  <c r="T75" i="2" s="1"/>
  <c r="U49" i="2" s="1"/>
  <c r="U75" i="2" s="1"/>
  <c r="K67" i="6"/>
  <c r="K68" i="6"/>
  <c r="L47" i="6"/>
  <c r="I68" i="6"/>
  <c r="D29" i="6"/>
  <c r="D30" i="6"/>
  <c r="C237" i="5"/>
  <c r="C137" i="5"/>
  <c r="M242" i="5"/>
  <c r="G242" i="5"/>
  <c r="I242" i="5"/>
  <c r="N242" i="5"/>
  <c r="N238" i="5"/>
  <c r="M238" i="5"/>
  <c r="C238" i="5"/>
  <c r="D238" i="5"/>
  <c r="D242" i="5"/>
  <c r="F242" i="5"/>
  <c r="E238" i="5"/>
  <c r="F238" i="5"/>
  <c r="D213" i="5"/>
  <c r="D215" i="5" s="1"/>
  <c r="H213" i="5"/>
  <c r="C213" i="5" s="1"/>
  <c r="C242" i="5"/>
  <c r="J238" i="5"/>
  <c r="K238" i="5"/>
  <c r="G238" i="5"/>
  <c r="I238" i="5"/>
  <c r="H238" i="5"/>
  <c r="H242" i="5"/>
  <c r="E242" i="5"/>
  <c r="L242" i="5"/>
  <c r="J242" i="5"/>
  <c r="L238" i="5"/>
  <c r="K242" i="5"/>
  <c r="C210" i="5"/>
  <c r="H210" i="5" s="1"/>
  <c r="H211" i="5" s="1"/>
  <c r="C231" i="5"/>
  <c r="E228" i="5"/>
  <c r="D240" i="5"/>
  <c r="C206" i="5"/>
  <c r="C190" i="5"/>
  <c r="C180" i="5"/>
  <c r="D180" i="5" s="1"/>
  <c r="E180" i="5" s="1"/>
  <c r="F180" i="5" s="1"/>
  <c r="G180" i="5" s="1"/>
  <c r="H180" i="5" s="1"/>
  <c r="I180" i="5" s="1"/>
  <c r="J180" i="5" s="1"/>
  <c r="K180" i="5" s="1"/>
  <c r="L180" i="5" s="1"/>
  <c r="C176" i="5"/>
  <c r="K192" i="5"/>
  <c r="F192" i="5"/>
  <c r="D192" i="5"/>
  <c r="E192" i="5"/>
  <c r="I192" i="5"/>
  <c r="C160" i="5"/>
  <c r="E160" i="5" s="1"/>
  <c r="E161" i="5" s="1"/>
  <c r="H192" i="5"/>
  <c r="D176" i="5"/>
  <c r="C188" i="5"/>
  <c r="C192" i="5"/>
  <c r="J192" i="5"/>
  <c r="G192" i="5"/>
  <c r="C156" i="5"/>
  <c r="C179" i="5"/>
  <c r="C191" i="5" s="1"/>
  <c r="G163" i="5"/>
  <c r="D177" i="5"/>
  <c r="C189" i="5"/>
  <c r="C187" i="5"/>
  <c r="D138" i="5"/>
  <c r="K140" i="5"/>
  <c r="H140" i="5"/>
  <c r="D113" i="5"/>
  <c r="D115" i="5" s="1"/>
  <c r="C115" i="5" s="1"/>
  <c r="K50" i="6" s="1"/>
  <c r="L50" i="6" s="1"/>
  <c r="J140" i="5"/>
  <c r="F140" i="5"/>
  <c r="L140" i="5"/>
  <c r="D140" i="5"/>
  <c r="I140" i="5"/>
  <c r="E140" i="5"/>
  <c r="C140" i="5"/>
  <c r="N140" i="5"/>
  <c r="M140" i="5"/>
  <c r="G140" i="5"/>
  <c r="C106" i="5"/>
  <c r="C127" i="5"/>
  <c r="C110" i="5"/>
  <c r="C129" i="5"/>
  <c r="D129" i="5" s="1"/>
  <c r="D141" i="5" s="1"/>
  <c r="F126" i="5"/>
  <c r="E138" i="5"/>
  <c r="F130" i="5"/>
  <c r="E142" i="5"/>
  <c r="C63" i="5"/>
  <c r="H48" i="6" s="1"/>
  <c r="I48" i="6" s="1"/>
  <c r="C65" i="5"/>
  <c r="H50" i="6" s="1"/>
  <c r="I50" i="6" s="1"/>
  <c r="E229" i="5"/>
  <c r="D241" i="5"/>
  <c r="D231" i="5"/>
  <c r="E178" i="5"/>
  <c r="D190" i="5"/>
  <c r="H49" i="6"/>
  <c r="C93" i="5"/>
  <c r="C100" i="5" s="1"/>
  <c r="D60" i="5"/>
  <c r="G60" i="5"/>
  <c r="H60" i="5"/>
  <c r="E60" i="5"/>
  <c r="F60" i="5"/>
  <c r="F78" i="5"/>
  <c r="E90" i="5"/>
  <c r="E81" i="5"/>
  <c r="F80" i="5"/>
  <c r="E92" i="5"/>
  <c r="B154" i="5"/>
  <c r="B119" i="5"/>
  <c r="K118" i="5" s="1"/>
  <c r="C117" i="5"/>
  <c r="C152" i="5"/>
  <c r="C22" i="1"/>
  <c r="C6" i="5"/>
  <c r="C10" i="5"/>
  <c r="C40" i="2"/>
  <c r="P47" i="2"/>
  <c r="P78" i="2" s="1"/>
  <c r="P109" i="2" s="1"/>
  <c r="P140" i="2" s="1"/>
  <c r="P171" i="2" s="1"/>
  <c r="D4" i="2"/>
  <c r="I56" i="2"/>
  <c r="I74" i="2" s="1"/>
  <c r="I75" i="2" s="1"/>
  <c r="E34" i="6"/>
  <c r="F34" i="6" s="1"/>
  <c r="B202" i="6" s="1"/>
  <c r="C43" i="2"/>
  <c r="C44" i="2" s="1"/>
  <c r="P44" i="5"/>
  <c r="J27" i="6" s="1"/>
  <c r="P20" i="5"/>
  <c r="J19" i="6" s="1"/>
  <c r="C49" i="5"/>
  <c r="C50" i="5" s="1"/>
  <c r="C13" i="5"/>
  <c r="D15" i="5"/>
  <c r="C15" i="5" s="1"/>
  <c r="E50" i="6" s="1"/>
  <c r="F50" i="6" s="1"/>
  <c r="G47" i="6"/>
  <c r="F22" i="1"/>
  <c r="D31" i="6" l="1"/>
  <c r="B200" i="6" s="1"/>
  <c r="C200" i="6" s="1"/>
  <c r="C243" i="5"/>
  <c r="C250" i="5" s="1"/>
  <c r="H215" i="5"/>
  <c r="C215" i="5" s="1"/>
  <c r="G210" i="5"/>
  <c r="G211" i="5" s="1"/>
  <c r="E210" i="5"/>
  <c r="E211" i="5" s="1"/>
  <c r="D210" i="5"/>
  <c r="D211" i="5" s="1"/>
  <c r="F210" i="5"/>
  <c r="F211" i="5" s="1"/>
  <c r="D243" i="5"/>
  <c r="D250" i="5" s="1"/>
  <c r="F228" i="5"/>
  <c r="E240" i="5"/>
  <c r="C193" i="5"/>
  <c r="C200" i="5" s="1"/>
  <c r="M180" i="5"/>
  <c r="L192" i="5"/>
  <c r="G160" i="5"/>
  <c r="G161" i="5" s="1"/>
  <c r="D160" i="5"/>
  <c r="D161" i="5" s="1"/>
  <c r="H160" i="5"/>
  <c r="H161" i="5" s="1"/>
  <c r="F160" i="5"/>
  <c r="F161" i="5" s="1"/>
  <c r="C161" i="5" s="1"/>
  <c r="E176" i="5"/>
  <c r="D188" i="5"/>
  <c r="D179" i="5"/>
  <c r="D181" i="5" s="1"/>
  <c r="C181" i="5"/>
  <c r="E177" i="5"/>
  <c r="D189" i="5"/>
  <c r="G165" i="5"/>
  <c r="C165" i="5" s="1"/>
  <c r="C163" i="5"/>
  <c r="C113" i="5"/>
  <c r="C131" i="5"/>
  <c r="E129" i="5"/>
  <c r="F129" i="5" s="1"/>
  <c r="C141" i="5"/>
  <c r="D110" i="5"/>
  <c r="H110" i="5"/>
  <c r="F110" i="5"/>
  <c r="E110" i="5"/>
  <c r="G110" i="5"/>
  <c r="G126" i="5"/>
  <c r="F138" i="5"/>
  <c r="D127" i="5"/>
  <c r="C139" i="5"/>
  <c r="G130" i="5"/>
  <c r="F142" i="5"/>
  <c r="E141" i="5"/>
  <c r="F229" i="5"/>
  <c r="E241" i="5"/>
  <c r="E231" i="5"/>
  <c r="F178" i="5"/>
  <c r="E190" i="5"/>
  <c r="K48" i="6"/>
  <c r="L48" i="6" s="1"/>
  <c r="K49" i="6"/>
  <c r="L49" i="6" s="1"/>
  <c r="G80" i="5"/>
  <c r="F92" i="5"/>
  <c r="E93" i="5"/>
  <c r="E100" i="5" s="1"/>
  <c r="G78" i="5"/>
  <c r="F90" i="5"/>
  <c r="F93" i="5" s="1"/>
  <c r="F100" i="5" s="1"/>
  <c r="F81" i="5"/>
  <c r="F61" i="5"/>
  <c r="I14" i="6"/>
  <c r="E61" i="5"/>
  <c r="H14" i="6"/>
  <c r="H61" i="5"/>
  <c r="K14" i="6"/>
  <c r="G61" i="5"/>
  <c r="J14" i="6"/>
  <c r="D61" i="5"/>
  <c r="G14" i="6"/>
  <c r="B204" i="5"/>
  <c r="B219" i="5" s="1"/>
  <c r="K218" i="5" s="1"/>
  <c r="B169" i="5"/>
  <c r="K168" i="5" s="1"/>
  <c r="C202" i="5"/>
  <c r="C217" i="5" s="1"/>
  <c r="C167" i="5"/>
  <c r="G8" i="6"/>
  <c r="D42" i="2"/>
  <c r="J80" i="2"/>
  <c r="J106" i="2" s="1"/>
  <c r="K80" i="2" s="1"/>
  <c r="K106" i="2" s="1"/>
  <c r="L80" i="2" s="1"/>
  <c r="L106" i="2" s="1"/>
  <c r="M80" i="2" s="1"/>
  <c r="M106" i="2" s="1"/>
  <c r="N80" i="2" s="1"/>
  <c r="N106" i="2" s="1"/>
  <c r="O80" i="2" s="1"/>
  <c r="O106" i="2" s="1"/>
  <c r="P80" i="2" s="1"/>
  <c r="P106" i="2" s="1"/>
  <c r="Q80" i="2" s="1"/>
  <c r="Q106" i="2" s="1"/>
  <c r="R80" i="2" s="1"/>
  <c r="R106" i="2" s="1"/>
  <c r="S80" i="2" s="1"/>
  <c r="S106" i="2" s="1"/>
  <c r="T80" i="2" s="1"/>
  <c r="T106" i="2" s="1"/>
  <c r="U80" i="2" s="1"/>
  <c r="U106" i="2" s="1"/>
  <c r="I80" i="2"/>
  <c r="I106" i="2" s="1"/>
  <c r="D40" i="2"/>
  <c r="E4" i="2"/>
  <c r="C202" i="6"/>
  <c r="C223" i="6"/>
  <c r="B223" i="6"/>
  <c r="E48" i="6"/>
  <c r="F48" i="6" s="1"/>
  <c r="E49" i="6"/>
  <c r="F49" i="6" s="1"/>
  <c r="C18" i="6"/>
  <c r="E20" i="6"/>
  <c r="B186" i="6" s="1"/>
  <c r="C186" i="6" s="1"/>
  <c r="G10" i="5"/>
  <c r="H10" i="5"/>
  <c r="E10" i="5"/>
  <c r="D10" i="5"/>
  <c r="F10" i="5"/>
  <c r="C220" i="6"/>
  <c r="B220" i="6"/>
  <c r="B217" i="6"/>
  <c r="I47" i="6"/>
  <c r="G49" i="6"/>
  <c r="C211" i="5" l="1"/>
  <c r="E243" i="5"/>
  <c r="E250" i="5" s="1"/>
  <c r="G228" i="5"/>
  <c r="F240" i="5"/>
  <c r="N180" i="5"/>
  <c r="M192" i="5"/>
  <c r="F176" i="5"/>
  <c r="E188" i="5"/>
  <c r="F177" i="5"/>
  <c r="E189" i="5"/>
  <c r="E179" i="5"/>
  <c r="D191" i="5"/>
  <c r="D193" i="5" s="1"/>
  <c r="D200" i="5" s="1"/>
  <c r="C143" i="5"/>
  <c r="C150" i="5" s="1"/>
  <c r="K15" i="6"/>
  <c r="H111" i="5"/>
  <c r="E111" i="5"/>
  <c r="H15" i="6"/>
  <c r="I15" i="6"/>
  <c r="F111" i="5"/>
  <c r="D111" i="5"/>
  <c r="G15" i="6"/>
  <c r="H126" i="5"/>
  <c r="G138" i="5"/>
  <c r="G111" i="5"/>
  <c r="J15" i="6"/>
  <c r="E127" i="5"/>
  <c r="D139" i="5"/>
  <c r="D143" i="5" s="1"/>
  <c r="D150" i="5" s="1"/>
  <c r="D131" i="5"/>
  <c r="G129" i="5"/>
  <c r="F141" i="5"/>
  <c r="H130" i="5"/>
  <c r="G142" i="5"/>
  <c r="C61" i="5"/>
  <c r="G229" i="5"/>
  <c r="F241" i="5"/>
  <c r="F231" i="5"/>
  <c r="G178" i="5"/>
  <c r="F190" i="5"/>
  <c r="H78" i="5"/>
  <c r="G90" i="5"/>
  <c r="G81" i="5"/>
  <c r="H80" i="5"/>
  <c r="G92" i="5"/>
  <c r="E40" i="2"/>
  <c r="F4" i="2"/>
  <c r="J13" i="6"/>
  <c r="G11" i="5"/>
  <c r="D20" i="6"/>
  <c r="D19" i="6"/>
  <c r="B185" i="6" s="1"/>
  <c r="C185" i="6" s="1"/>
  <c r="B213" i="6"/>
  <c r="C213" i="6" s="1"/>
  <c r="B212" i="6"/>
  <c r="I111" i="2"/>
  <c r="I137" i="2" s="1"/>
  <c r="J111" i="2"/>
  <c r="J137" i="2" s="1"/>
  <c r="K111" i="2" s="1"/>
  <c r="K137" i="2" s="1"/>
  <c r="L111" i="2" s="1"/>
  <c r="L137" i="2" s="1"/>
  <c r="M111" i="2" s="1"/>
  <c r="M137" i="2" s="1"/>
  <c r="N111" i="2" s="1"/>
  <c r="N137" i="2" s="1"/>
  <c r="O111" i="2" s="1"/>
  <c r="O137" i="2" s="1"/>
  <c r="P111" i="2" s="1"/>
  <c r="P137" i="2" s="1"/>
  <c r="Q111" i="2" s="1"/>
  <c r="Q137" i="2" s="1"/>
  <c r="R111" i="2" s="1"/>
  <c r="R137" i="2" s="1"/>
  <c r="S111" i="2" s="1"/>
  <c r="S137" i="2" s="1"/>
  <c r="T111" i="2" s="1"/>
  <c r="T137" i="2" s="1"/>
  <c r="U111" i="2" s="1"/>
  <c r="U137" i="2" s="1"/>
  <c r="E11" i="5"/>
  <c r="H13" i="6"/>
  <c r="B227" i="6" s="1"/>
  <c r="J68" i="6"/>
  <c r="J67" i="6"/>
  <c r="I49" i="6"/>
  <c r="H11" i="5"/>
  <c r="K13" i="6"/>
  <c r="I13" i="6"/>
  <c r="B228" i="6" s="1"/>
  <c r="F11" i="5"/>
  <c r="D11" i="5"/>
  <c r="G13" i="6"/>
  <c r="B226" i="6" s="1"/>
  <c r="D43" i="2"/>
  <c r="D44" i="2" s="1"/>
  <c r="C111" i="5" l="1"/>
  <c r="F243" i="5"/>
  <c r="F250" i="5" s="1"/>
  <c r="H228" i="5"/>
  <c r="G240" i="5"/>
  <c r="O180" i="5"/>
  <c r="O192" i="5" s="1"/>
  <c r="N192" i="5"/>
  <c r="G176" i="5"/>
  <c r="F188" i="5"/>
  <c r="F179" i="5"/>
  <c r="F181" i="5" s="1"/>
  <c r="E191" i="5"/>
  <c r="E193" i="5" s="1"/>
  <c r="E200" i="5" s="1"/>
  <c r="G177" i="5"/>
  <c r="F189" i="5"/>
  <c r="E181" i="5"/>
  <c r="C227" i="6"/>
  <c r="C226" i="6"/>
  <c r="C228" i="6"/>
  <c r="F127" i="5"/>
  <c r="E139" i="5"/>
  <c r="E143" i="5" s="1"/>
  <c r="E150" i="5" s="1"/>
  <c r="E131" i="5"/>
  <c r="I126" i="5"/>
  <c r="H138" i="5"/>
  <c r="I130" i="5"/>
  <c r="H142" i="5"/>
  <c r="H129" i="5"/>
  <c r="G141" i="5"/>
  <c r="H229" i="5"/>
  <c r="G241" i="5"/>
  <c r="G231" i="5"/>
  <c r="H178" i="5"/>
  <c r="G190" i="5"/>
  <c r="I80" i="5"/>
  <c r="H92" i="5"/>
  <c r="G93" i="5"/>
  <c r="G100" i="5" s="1"/>
  <c r="I78" i="5"/>
  <c r="H90" i="5"/>
  <c r="H81" i="5"/>
  <c r="C212" i="6"/>
  <c r="B214" i="6"/>
  <c r="H8" i="6"/>
  <c r="E42" i="2"/>
  <c r="C11" i="5"/>
  <c r="G4" i="2"/>
  <c r="G40" i="2" s="1"/>
  <c r="F40" i="2"/>
  <c r="J142" i="2"/>
  <c r="J168" i="2" s="1"/>
  <c r="K142" i="2" s="1"/>
  <c r="K168" i="2" s="1"/>
  <c r="L142" i="2" s="1"/>
  <c r="L168" i="2" s="1"/>
  <c r="M142" i="2" s="1"/>
  <c r="M168" i="2" s="1"/>
  <c r="N142" i="2" s="1"/>
  <c r="N168" i="2" s="1"/>
  <c r="O142" i="2" s="1"/>
  <c r="O168" i="2" s="1"/>
  <c r="P142" i="2" s="1"/>
  <c r="P168" i="2" s="1"/>
  <c r="Q142" i="2" s="1"/>
  <c r="Q168" i="2" s="1"/>
  <c r="R142" i="2" s="1"/>
  <c r="R168" i="2" s="1"/>
  <c r="S142" i="2" s="1"/>
  <c r="S168" i="2" s="1"/>
  <c r="T142" i="2" s="1"/>
  <c r="T168" i="2" s="1"/>
  <c r="U142" i="2" s="1"/>
  <c r="U168" i="2" s="1"/>
  <c r="I142" i="2"/>
  <c r="I168" i="2" s="1"/>
  <c r="G243" i="5" l="1"/>
  <c r="G250" i="5" s="1"/>
  <c r="I228" i="5"/>
  <c r="H240" i="5"/>
  <c r="H176" i="5"/>
  <c r="G188" i="5"/>
  <c r="H177" i="5"/>
  <c r="G189" i="5"/>
  <c r="G179" i="5"/>
  <c r="F191" i="5"/>
  <c r="F193" i="5" s="1"/>
  <c r="F200" i="5" s="1"/>
  <c r="J126" i="5"/>
  <c r="I138" i="5"/>
  <c r="G127" i="5"/>
  <c r="F139" i="5"/>
  <c r="F143" i="5" s="1"/>
  <c r="F150" i="5" s="1"/>
  <c r="F131" i="5"/>
  <c r="I129" i="5"/>
  <c r="H141" i="5"/>
  <c r="J130" i="5"/>
  <c r="I142" i="5"/>
  <c r="H93" i="5"/>
  <c r="H100" i="5" s="1"/>
  <c r="I229" i="5"/>
  <c r="H241" i="5"/>
  <c r="H231" i="5"/>
  <c r="I178" i="5"/>
  <c r="H190" i="5"/>
  <c r="J78" i="5"/>
  <c r="I90" i="5"/>
  <c r="I81" i="5"/>
  <c r="J80" i="5"/>
  <c r="I92" i="5"/>
  <c r="I173" i="2"/>
  <c r="I199" i="2" s="1"/>
  <c r="J173" i="2"/>
  <c r="J199" i="2" s="1"/>
  <c r="K173" i="2" s="1"/>
  <c r="K199" i="2" s="1"/>
  <c r="L173" i="2" s="1"/>
  <c r="L199" i="2" s="1"/>
  <c r="M173" i="2" s="1"/>
  <c r="M199" i="2" s="1"/>
  <c r="N173" i="2" s="1"/>
  <c r="N199" i="2" s="1"/>
  <c r="O173" i="2" s="1"/>
  <c r="O199" i="2" s="1"/>
  <c r="P173" i="2" s="1"/>
  <c r="P199" i="2" s="1"/>
  <c r="Q173" i="2" s="1"/>
  <c r="Q199" i="2" s="1"/>
  <c r="R173" i="2" s="1"/>
  <c r="R199" i="2" s="1"/>
  <c r="S173" i="2" s="1"/>
  <c r="S199" i="2" s="1"/>
  <c r="T173" i="2" s="1"/>
  <c r="T199" i="2" s="1"/>
  <c r="U173" i="2" s="1"/>
  <c r="U199" i="2" s="1"/>
  <c r="E43" i="2"/>
  <c r="E44" i="2" s="1"/>
  <c r="H243" i="5" l="1"/>
  <c r="H250" i="5" s="1"/>
  <c r="J228" i="5"/>
  <c r="I240" i="5"/>
  <c r="I176" i="5"/>
  <c r="H188" i="5"/>
  <c r="H179" i="5"/>
  <c r="G191" i="5"/>
  <c r="G193" i="5" s="1"/>
  <c r="G200" i="5" s="1"/>
  <c r="G181" i="5"/>
  <c r="I177" i="5"/>
  <c r="H189" i="5"/>
  <c r="K126" i="5"/>
  <c r="J138" i="5"/>
  <c r="H127" i="5"/>
  <c r="G139" i="5"/>
  <c r="G143" i="5" s="1"/>
  <c r="G150" i="5" s="1"/>
  <c r="G131" i="5"/>
  <c r="K130" i="5"/>
  <c r="J142" i="5"/>
  <c r="J129" i="5"/>
  <c r="I141" i="5"/>
  <c r="J229" i="5"/>
  <c r="I241" i="5"/>
  <c r="I231" i="5"/>
  <c r="J178" i="5"/>
  <c r="I190" i="5"/>
  <c r="K80" i="5"/>
  <c r="J92" i="5"/>
  <c r="I93" i="5"/>
  <c r="I100" i="5" s="1"/>
  <c r="K78" i="5"/>
  <c r="J90" i="5"/>
  <c r="J81" i="5"/>
  <c r="I8" i="6"/>
  <c r="F42" i="2"/>
  <c r="I243" i="5" l="1"/>
  <c r="I250" i="5" s="1"/>
  <c r="K228" i="5"/>
  <c r="J240" i="5"/>
  <c r="J176" i="5"/>
  <c r="I188" i="5"/>
  <c r="J177" i="5"/>
  <c r="I189" i="5"/>
  <c r="I179" i="5"/>
  <c r="H191" i="5"/>
  <c r="H193" i="5" s="1"/>
  <c r="H200" i="5" s="1"/>
  <c r="H181" i="5"/>
  <c r="H139" i="5"/>
  <c r="H143" i="5" s="1"/>
  <c r="H150" i="5" s="1"/>
  <c r="I127" i="5"/>
  <c r="H131" i="5"/>
  <c r="L126" i="5"/>
  <c r="K138" i="5"/>
  <c r="K129" i="5"/>
  <c r="J141" i="5"/>
  <c r="L130" i="5"/>
  <c r="K142" i="5"/>
  <c r="J93" i="5"/>
  <c r="J100" i="5" s="1"/>
  <c r="K229" i="5"/>
  <c r="J241" i="5"/>
  <c r="J231" i="5"/>
  <c r="K178" i="5"/>
  <c r="J190" i="5"/>
  <c r="L78" i="5"/>
  <c r="K90" i="5"/>
  <c r="K81" i="5"/>
  <c r="L80" i="5"/>
  <c r="K92" i="5"/>
  <c r="F43" i="2"/>
  <c r="F44" i="2" s="1"/>
  <c r="J243" i="5" l="1"/>
  <c r="J250" i="5" s="1"/>
  <c r="L228" i="5"/>
  <c r="K240" i="5"/>
  <c r="K176" i="5"/>
  <c r="J188" i="5"/>
  <c r="J179" i="5"/>
  <c r="I191" i="5"/>
  <c r="I193" i="5" s="1"/>
  <c r="I200" i="5" s="1"/>
  <c r="I181" i="5"/>
  <c r="K177" i="5"/>
  <c r="J189" i="5"/>
  <c r="M126" i="5"/>
  <c r="L138" i="5"/>
  <c r="I139" i="5"/>
  <c r="I143" i="5" s="1"/>
  <c r="I150" i="5" s="1"/>
  <c r="J127" i="5"/>
  <c r="I131" i="5"/>
  <c r="M130" i="5"/>
  <c r="L142" i="5"/>
  <c r="L129" i="5"/>
  <c r="K141" i="5"/>
  <c r="L229" i="5"/>
  <c r="K241" i="5"/>
  <c r="K231" i="5"/>
  <c r="L178" i="5"/>
  <c r="K190" i="5"/>
  <c r="M80" i="5"/>
  <c r="L92" i="5"/>
  <c r="K93" i="5"/>
  <c r="K100" i="5" s="1"/>
  <c r="M78" i="5"/>
  <c r="L90" i="5"/>
  <c r="L81" i="5"/>
  <c r="G42" i="2"/>
  <c r="J8" i="6"/>
  <c r="K243" i="5" l="1"/>
  <c r="K250" i="5" s="1"/>
  <c r="M228" i="5"/>
  <c r="L240" i="5"/>
  <c r="L176" i="5"/>
  <c r="K188" i="5"/>
  <c r="K179" i="5"/>
  <c r="J191" i="5"/>
  <c r="J193" i="5" s="1"/>
  <c r="J200" i="5" s="1"/>
  <c r="J181" i="5"/>
  <c r="L177" i="5"/>
  <c r="K189" i="5"/>
  <c r="N126" i="5"/>
  <c r="M138" i="5"/>
  <c r="K127" i="5"/>
  <c r="J139" i="5"/>
  <c r="J143" i="5" s="1"/>
  <c r="J150" i="5" s="1"/>
  <c r="J131" i="5"/>
  <c r="M129" i="5"/>
  <c r="L141" i="5"/>
  <c r="N130" i="5"/>
  <c r="M142" i="5"/>
  <c r="L93" i="5"/>
  <c r="L100" i="5" s="1"/>
  <c r="M229" i="5"/>
  <c r="L241" i="5"/>
  <c r="L231" i="5"/>
  <c r="M178" i="5"/>
  <c r="L190" i="5"/>
  <c r="N78" i="5"/>
  <c r="M90" i="5"/>
  <c r="M81" i="5"/>
  <c r="N80" i="5"/>
  <c r="M92" i="5"/>
  <c r="G43" i="2"/>
  <c r="G44" i="2" s="1"/>
  <c r="K8" i="6" s="1"/>
  <c r="L243" i="5" l="1"/>
  <c r="L250" i="5" s="1"/>
  <c r="N228" i="5"/>
  <c r="M240" i="5"/>
  <c r="M176" i="5"/>
  <c r="L188" i="5"/>
  <c r="M177" i="5"/>
  <c r="L189" i="5"/>
  <c r="L179" i="5"/>
  <c r="K191" i="5"/>
  <c r="K193" i="5" s="1"/>
  <c r="K200" i="5" s="1"/>
  <c r="K181" i="5"/>
  <c r="L127" i="5"/>
  <c r="K139" i="5"/>
  <c r="K143" i="5" s="1"/>
  <c r="K150" i="5" s="1"/>
  <c r="K131" i="5"/>
  <c r="O126" i="5"/>
  <c r="O138" i="5" s="1"/>
  <c r="N138" i="5"/>
  <c r="O130" i="5"/>
  <c r="O142" i="5" s="1"/>
  <c r="N142" i="5"/>
  <c r="N129" i="5"/>
  <c r="M141" i="5"/>
  <c r="N229" i="5"/>
  <c r="M241" i="5"/>
  <c r="M231" i="5"/>
  <c r="N178" i="5"/>
  <c r="M190" i="5"/>
  <c r="O80" i="5"/>
  <c r="O92" i="5" s="1"/>
  <c r="N92" i="5"/>
  <c r="M93" i="5"/>
  <c r="M100" i="5" s="1"/>
  <c r="O78" i="5"/>
  <c r="N90" i="5"/>
  <c r="N81" i="5"/>
  <c r="G10" i="6"/>
  <c r="B190" i="6" s="1"/>
  <c r="G9" i="6"/>
  <c r="B229" i="6" s="1"/>
  <c r="C229" i="6" s="1"/>
  <c r="O228" i="5" l="1"/>
  <c r="O240" i="5" s="1"/>
  <c r="N240" i="5"/>
  <c r="M243" i="5"/>
  <c r="M250" i="5" s="1"/>
  <c r="N176" i="5"/>
  <c r="M188" i="5"/>
  <c r="M179" i="5"/>
  <c r="L191" i="5"/>
  <c r="L193" i="5" s="1"/>
  <c r="L200" i="5" s="1"/>
  <c r="L181" i="5"/>
  <c r="N177" i="5"/>
  <c r="M189" i="5"/>
  <c r="M127" i="5"/>
  <c r="L139" i="5"/>
  <c r="L143" i="5" s="1"/>
  <c r="L150" i="5" s="1"/>
  <c r="L131" i="5"/>
  <c r="O129" i="5"/>
  <c r="N141" i="5"/>
  <c r="N93" i="5"/>
  <c r="N100" i="5" s="1"/>
  <c r="O229" i="5"/>
  <c r="N241" i="5"/>
  <c r="N243" i="5" s="1"/>
  <c r="N250" i="5" s="1"/>
  <c r="N231" i="5"/>
  <c r="O178" i="5"/>
  <c r="N190" i="5"/>
  <c r="O90" i="5"/>
  <c r="O93" i="5" s="1"/>
  <c r="O100" i="5" s="1"/>
  <c r="O81" i="5"/>
  <c r="C190" i="6"/>
  <c r="B230" i="6"/>
  <c r="C230" i="6" s="1"/>
  <c r="O176" i="5" l="1"/>
  <c r="O188" i="5" s="1"/>
  <c r="N188" i="5"/>
  <c r="N179" i="5"/>
  <c r="N181" i="5" s="1"/>
  <c r="M191" i="5"/>
  <c r="M193" i="5" s="1"/>
  <c r="M200" i="5" s="1"/>
  <c r="M181" i="5"/>
  <c r="O177" i="5"/>
  <c r="O189" i="5" s="1"/>
  <c r="N189" i="5"/>
  <c r="N127" i="5"/>
  <c r="M139" i="5"/>
  <c r="M143" i="5" s="1"/>
  <c r="M150" i="5" s="1"/>
  <c r="M131" i="5"/>
  <c r="O141" i="5"/>
  <c r="O231" i="5"/>
  <c r="O241" i="5"/>
  <c r="O243" i="5" s="1"/>
  <c r="O250" i="5" s="1"/>
  <c r="O190" i="5"/>
  <c r="O179" i="5" l="1"/>
  <c r="N191" i="5"/>
  <c r="N193" i="5" s="1"/>
  <c r="N200" i="5" s="1"/>
  <c r="O127" i="5"/>
  <c r="N139" i="5"/>
  <c r="N143" i="5" s="1"/>
  <c r="N150" i="5" s="1"/>
  <c r="N131" i="5"/>
  <c r="O191" i="5" l="1"/>
  <c r="O193" i="5" s="1"/>
  <c r="O200" i="5" s="1"/>
  <c r="O181" i="5"/>
  <c r="O139" i="5"/>
  <c r="O143" i="5" s="1"/>
  <c r="O150" i="5" s="1"/>
  <c r="O1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José Rivera</author>
  </authors>
  <commentList>
    <comment ref="D14" authorId="0" shapeId="0" xr:uid="{D885363F-A038-442B-99C9-A265F8741A20}">
      <text>
        <r>
          <rPr>
            <b/>
            <sz val="9"/>
            <color indexed="10"/>
            <rFont val="Tahoma"/>
            <family val="2"/>
          </rPr>
          <t>José Rivera:</t>
        </r>
        <r>
          <rPr>
            <sz val="9"/>
            <color indexed="10"/>
            <rFont val="Tahoma"/>
            <family val="2"/>
          </rPr>
          <t xml:space="preserve">
Incluya sólo el año, sin puntos ni separaciones.
Ejpl: 2025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José Antonio</author>
    <author>José Rivera</author>
  </authors>
  <commentList>
    <comment ref="D15" authorId="0" shapeId="0" xr:uid="{8599E272-F28D-4027-98BB-04DB65AFACF0}">
      <text>
        <r>
          <rPr>
            <b/>
            <sz val="9"/>
            <color indexed="10"/>
            <rFont val="Tahoma"/>
            <family val="2"/>
          </rPr>
          <t>José Antonio:</t>
        </r>
        <r>
          <rPr>
            <sz val="9"/>
            <color indexed="10"/>
            <rFont val="Tahoma"/>
            <family val="2"/>
          </rPr>
          <t xml:space="preserve">
Sólo debería quedar aquellos gastos de formalización del préstamo que se distribuyan a más de un año.</t>
        </r>
      </text>
    </comment>
    <comment ref="D20" authorId="0" shapeId="0" xr:uid="{EFDB92AB-73FD-4D9E-A277-DE983D666248}">
      <text>
        <r>
          <rPr>
            <b/>
            <sz val="9"/>
            <color indexed="10"/>
            <rFont val="Tahoma"/>
            <family val="2"/>
          </rPr>
          <t>José Antonio:</t>
        </r>
        <r>
          <rPr>
            <sz val="9"/>
            <color indexed="10"/>
            <rFont val="Tahoma"/>
            <family val="2"/>
          </rPr>
          <t xml:space="preserve">
Al menos han debido de quitar las "existencias iniciales" que se aplican al 100% en el primer periodo.</t>
        </r>
      </text>
    </comment>
    <comment ref="C23" authorId="0" shapeId="0" xr:uid="{8BC6437F-0D4A-45F1-BF63-D3A94E765E74}">
      <text>
        <r>
          <rPr>
            <b/>
            <sz val="9"/>
            <color indexed="10"/>
            <rFont val="Tahoma"/>
            <family val="2"/>
          </rPr>
          <t>José Antonio:</t>
        </r>
        <r>
          <rPr>
            <sz val="9"/>
            <color indexed="10"/>
            <rFont val="Tahoma"/>
            <family val="2"/>
          </rPr>
          <t xml:space="preserve">
Gatos de formalización de prestamos entre 1,5% y 5% del préstamo.</t>
        </r>
      </text>
    </comment>
    <comment ref="D24" authorId="0" shapeId="0" xr:uid="{71A703A8-91D4-4DBF-B26B-0156DE0AAEA7}">
      <text>
        <r>
          <rPr>
            <b/>
            <sz val="9"/>
            <color indexed="10"/>
            <rFont val="Tahoma"/>
            <family val="2"/>
          </rPr>
          <t>José Antonio:</t>
        </r>
        <r>
          <rPr>
            <sz val="9"/>
            <color indexed="10"/>
            <rFont val="Tahoma"/>
            <family val="2"/>
          </rPr>
          <t xml:space="preserve">
[+] Cuanto le falta para alcanzar el minimo.
[-] Cuanto SOBREPASA el minimo.</t>
        </r>
      </text>
    </comment>
    <comment ref="E29" authorId="1" shapeId="0" xr:uid="{F7D8F293-E8C5-42CE-B7E8-C3454349FF20}">
      <text>
        <r>
          <rPr>
            <b/>
            <sz val="9"/>
            <color indexed="81"/>
            <rFont val="Tahoma"/>
            <family val="2"/>
          </rPr>
          <t>Indica si es:
[+] Importe que puede ampliar Capital.
[-] Importe que sobrepasa el Capital.</t>
        </r>
      </text>
    </comment>
    <comment ref="D31" authorId="0" shapeId="0" xr:uid="{76251555-7EE3-40CC-9337-D29972861A39}">
      <text>
        <r>
          <rPr>
            <b/>
            <sz val="9"/>
            <color indexed="10"/>
            <rFont val="Tahoma"/>
            <family val="2"/>
          </rPr>
          <t>José Antonio:</t>
        </r>
        <r>
          <rPr>
            <sz val="9"/>
            <color indexed="10"/>
            <rFont val="Tahoma"/>
            <family val="2"/>
          </rPr>
          <t xml:space="preserve">
Total Financiación Ajena, no debe ser superior al 70%</t>
        </r>
      </text>
    </comment>
    <comment ref="B43" authorId="1" shapeId="0" xr:uid="{BF2C5465-401A-48F9-8365-34BDAEBB7CB1}">
      <text>
        <r>
          <rPr>
            <b/>
            <sz val="12"/>
            <color indexed="81"/>
            <rFont val="Arial"/>
            <family val="2"/>
          </rPr>
          <t>José Rivera:
Sin diferenciar entre variables y fijos.</t>
        </r>
      </text>
    </comment>
    <comment ref="B183" authorId="1" shapeId="0" xr:uid="{E927B47B-BB7D-41E4-B15F-350268E2784C}">
      <text>
        <r>
          <rPr>
            <b/>
            <sz val="9"/>
            <color indexed="10"/>
            <rFont val="Tahoma"/>
            <family val="2"/>
          </rPr>
          <t>José Rivera:</t>
        </r>
        <r>
          <rPr>
            <sz val="9"/>
            <color indexed="10"/>
            <rFont val="Tahoma"/>
            <family val="2"/>
          </rPr>
          <t xml:space="preserve">
Gastos de establecimiento</t>
        </r>
      </text>
    </comment>
    <comment ref="B184" authorId="1" shapeId="0" xr:uid="{883F50B3-991F-458B-9A28-EFAB8268C03E}">
      <text>
        <r>
          <rPr>
            <b/>
            <sz val="9"/>
            <color indexed="10"/>
            <rFont val="Tahoma"/>
            <family val="2"/>
          </rPr>
          <t>José Rivera:</t>
        </r>
        <r>
          <rPr>
            <sz val="9"/>
            <color indexed="10"/>
            <rFont val="Tahoma"/>
            <family val="2"/>
          </rPr>
          <t xml:space="preserve">
Gastos de establecimiento, 2º año</t>
        </r>
      </text>
    </comment>
    <comment ref="B185" authorId="1" shapeId="0" xr:uid="{A13ED34A-623F-4824-987E-AF1869C3C0C4}">
      <text>
        <r>
          <rPr>
            <b/>
            <sz val="11"/>
            <color indexed="10"/>
            <rFont val="Calibri"/>
            <family val="2"/>
            <scheme val="minor"/>
          </rPr>
          <t>José Rivera:</t>
        </r>
        <r>
          <rPr>
            <sz val="11"/>
            <color indexed="10"/>
            <rFont val="Calibri"/>
            <family val="2"/>
            <scheme val="minor"/>
          </rPr>
          <t xml:space="preserve">
Dotaciones Amortización</t>
        </r>
      </text>
    </comment>
    <comment ref="B186" authorId="1" shapeId="0" xr:uid="{48E26E67-75AA-4115-91E8-206D97F612DF}">
      <text>
        <r>
          <rPr>
            <b/>
            <sz val="9"/>
            <color indexed="10"/>
            <rFont val="Tahoma"/>
            <family val="2"/>
          </rPr>
          <t>José Rivera:</t>
        </r>
        <r>
          <rPr>
            <sz val="9"/>
            <color indexed="10"/>
            <rFont val="Tahoma"/>
            <family val="2"/>
          </rPr>
          <t xml:space="preserve">
Gastos de Amortización 2º año</t>
        </r>
      </text>
    </comment>
    <comment ref="B189" authorId="1" shapeId="0" xr:uid="{A483A532-A3E7-4B87-A058-794CBA92B177}">
      <text>
        <r>
          <rPr>
            <b/>
            <sz val="9"/>
            <color indexed="10"/>
            <rFont val="Tahoma"/>
            <family val="2"/>
          </rPr>
          <t>José Rivera:</t>
        </r>
        <r>
          <rPr>
            <sz val="9"/>
            <color indexed="10"/>
            <rFont val="Tahoma"/>
            <family val="2"/>
          </rPr>
          <t xml:space="preserve"> Gastos de la formalización de préstamos, si este importe es POSITIVO no alcanza ni el 1,5% mínimo. Si fuera (-) habrá que ver si sobrepasa en mucho el máximo.</t>
        </r>
      </text>
    </comment>
    <comment ref="B190" authorId="1" shapeId="0" xr:uid="{EB11EABC-71AE-48B1-A176-0D43CAF3809B}">
      <text>
        <r>
          <rPr>
            <b/>
            <sz val="9"/>
            <color indexed="10"/>
            <rFont val="Tahoma"/>
            <family val="2"/>
          </rPr>
          <t>José Rivera:</t>
        </r>
        <r>
          <rPr>
            <sz val="9"/>
            <color indexed="10"/>
            <rFont val="Tahoma"/>
            <family val="2"/>
          </rPr>
          <t xml:space="preserve">
TIR demasiado baja</t>
        </r>
      </text>
    </comment>
    <comment ref="B191" authorId="1" shapeId="0" xr:uid="{FF05BF93-D013-473F-BA38-1F017FB883B1}">
      <text>
        <r>
          <rPr>
            <b/>
            <sz val="9"/>
            <color indexed="10"/>
            <rFont val="Tahoma"/>
            <family val="2"/>
          </rPr>
          <t xml:space="preserve">José Rivera:
</t>
        </r>
        <r>
          <rPr>
            <sz val="9"/>
            <color indexed="10"/>
            <rFont val="Tahoma"/>
            <family val="2"/>
          </rPr>
          <t>Cuota con carencia no coincide</t>
        </r>
      </text>
    </comment>
    <comment ref="B192" authorId="1" shapeId="0" xr:uid="{50CCFD5A-6DA0-4088-B826-0C673619E5F0}">
      <text>
        <r>
          <rPr>
            <b/>
            <sz val="9"/>
            <color indexed="10"/>
            <rFont val="Tahoma"/>
            <family val="2"/>
          </rPr>
          <t>José Rivera:</t>
        </r>
        <r>
          <rPr>
            <sz val="9"/>
            <color indexed="10"/>
            <rFont val="Tahoma"/>
            <family val="2"/>
          </rPr>
          <t xml:space="preserve">
Cuota sin carencia no coincide</t>
        </r>
      </text>
    </comment>
    <comment ref="B199" authorId="1" shapeId="0" xr:uid="{5AE700DC-7ADD-4E67-A182-B8DA2C8ED0F7}">
      <text>
        <r>
          <rPr>
            <b/>
            <sz val="9"/>
            <color indexed="10"/>
            <rFont val="Tahoma"/>
            <family val="2"/>
          </rPr>
          <t>José Rivera:</t>
        </r>
        <r>
          <rPr>
            <sz val="9"/>
            <color indexed="10"/>
            <rFont val="Tahoma"/>
            <family val="2"/>
          </rPr>
          <t xml:space="preserve">
El capital comprometido por los socios, supera el autorizado</t>
        </r>
      </text>
    </comment>
    <comment ref="B200" authorId="1" shapeId="0" xr:uid="{5553B105-66DE-42EE-8F5F-D396F688C37C}">
      <text>
        <r>
          <rPr>
            <b/>
            <sz val="9"/>
            <color indexed="10"/>
            <rFont val="Tahoma"/>
            <family val="2"/>
          </rPr>
          <t>José Rivera:</t>
        </r>
        <r>
          <rPr>
            <sz val="9"/>
            <color indexed="10"/>
            <rFont val="Tahoma"/>
            <family val="2"/>
          </rPr>
          <t xml:space="preserve">
la financiación ajena supera el 70% permitido</t>
        </r>
      </text>
    </comment>
    <comment ref="B201" authorId="1" shapeId="0" xr:uid="{655324AA-8E31-40FD-9A1A-2CE2EABACEC4}">
      <text>
        <r>
          <rPr>
            <b/>
            <sz val="9"/>
            <color indexed="10"/>
            <rFont val="Tahoma"/>
            <family val="2"/>
          </rPr>
          <t>José Rivera:</t>
        </r>
        <r>
          <rPr>
            <sz val="9"/>
            <color indexed="10"/>
            <rFont val="Tahoma"/>
            <family val="2"/>
          </rPr>
          <t xml:space="preserve">
Cifra de la SS, menor al 40% del sueldo</t>
        </r>
      </text>
    </comment>
    <comment ref="B202" authorId="1" shapeId="0" xr:uid="{DFA040B2-45BE-4CD2-87AB-4D9B7FF5E8E5}">
      <text>
        <r>
          <rPr>
            <b/>
            <sz val="9"/>
            <color indexed="81"/>
            <rFont val="Tahoma"/>
            <family val="2"/>
          </rPr>
          <t>José Rivera:</t>
        </r>
        <r>
          <rPr>
            <sz val="9"/>
            <color indexed="81"/>
            <rFont val="Tahoma"/>
            <family val="2"/>
          </rPr>
          <t xml:space="preserve">
No coinciden las cifras de Ventas</t>
        </r>
      </text>
    </comment>
    <comment ref="B203" authorId="1" shapeId="0" xr:uid="{2F8D01C8-CD01-4B8E-9818-663E8E79370F}">
      <text>
        <r>
          <rPr>
            <b/>
            <sz val="9"/>
            <color indexed="81"/>
            <rFont val="Tahoma"/>
            <family val="2"/>
          </rPr>
          <t>José Rivera:</t>
        </r>
        <r>
          <rPr>
            <sz val="9"/>
            <color indexed="81"/>
            <rFont val="Tahoma"/>
            <family val="2"/>
          </rPr>
          <t xml:space="preserve">
José Rivera:
No coinciden las cifras de Sueldos</t>
        </r>
      </text>
    </comment>
    <comment ref="B204" authorId="1" shapeId="0" xr:uid="{132C7C40-B4B3-4031-918E-937C1530DB51}">
      <text>
        <r>
          <rPr>
            <b/>
            <sz val="9"/>
            <color indexed="81"/>
            <rFont val="Tahoma"/>
            <family val="2"/>
          </rPr>
          <t>José Rivera:</t>
        </r>
        <r>
          <rPr>
            <sz val="9"/>
            <color indexed="81"/>
            <rFont val="Tahoma"/>
            <family val="2"/>
          </rPr>
          <t xml:space="preserve">
José Rivera:
No coinciden las cifras de arrendamiento</t>
        </r>
      </text>
    </comment>
    <comment ref="B205" authorId="1" shapeId="0" xr:uid="{425C4130-2FCD-4C02-AF7E-153CE8F6CFAB}">
      <text>
        <r>
          <rPr>
            <b/>
            <sz val="9"/>
            <color indexed="81"/>
            <rFont val="Tahoma"/>
            <family val="2"/>
          </rPr>
          <t>José Rivera:</t>
        </r>
        <r>
          <rPr>
            <sz val="9"/>
            <color indexed="81"/>
            <rFont val="Tahoma"/>
            <family val="2"/>
          </rPr>
          <t xml:space="preserve">
No coinciden las cifras de Reparaciones</t>
        </r>
      </text>
    </comment>
    <comment ref="B206" authorId="1" shapeId="0" xr:uid="{C4C302E9-E6D2-48F8-A206-DBC47DA254ED}">
      <text>
        <r>
          <rPr>
            <b/>
            <sz val="9"/>
            <color indexed="81"/>
            <rFont val="Tahoma"/>
            <family val="2"/>
          </rPr>
          <t xml:space="preserve">José Rivera:
</t>
        </r>
        <r>
          <rPr>
            <sz val="9"/>
            <color indexed="81"/>
            <rFont val="Tahoma"/>
            <family val="2"/>
          </rPr>
          <t xml:space="preserve">No coinciden las cifras de servicios profesionales
</t>
        </r>
      </text>
    </comment>
    <comment ref="B207" authorId="1" shapeId="0" xr:uid="{E1F64C05-ED04-43D4-B31A-4B7938B2E0ED}">
      <text>
        <r>
          <rPr>
            <b/>
            <sz val="9"/>
            <color indexed="81"/>
            <rFont val="Tahoma"/>
            <family val="2"/>
          </rPr>
          <t xml:space="preserve">José Rivera:
</t>
        </r>
        <r>
          <rPr>
            <sz val="9"/>
            <color indexed="81"/>
            <rFont val="Tahoma"/>
            <family val="2"/>
          </rPr>
          <t xml:space="preserve">No coinciden las cifras de Transportes
</t>
        </r>
      </text>
    </comment>
    <comment ref="B208" authorId="1" shapeId="0" xr:uid="{FB9A9C00-D458-45C1-AAC7-305ADAF97E2C}">
      <text>
        <r>
          <rPr>
            <b/>
            <sz val="9"/>
            <color indexed="81"/>
            <rFont val="Tahoma"/>
            <family val="2"/>
          </rPr>
          <t>José Rivera:</t>
        </r>
        <r>
          <rPr>
            <sz val="9"/>
            <color indexed="81"/>
            <rFont val="Tahoma"/>
            <family val="2"/>
          </rPr>
          <t xml:space="preserve">
No coinciden las cifras de Primas de Seguro</t>
        </r>
      </text>
    </comment>
    <comment ref="B209" authorId="1" shapeId="0" xr:uid="{78794F83-126E-4F22-841B-4A8AA44955D8}">
      <text>
        <r>
          <rPr>
            <b/>
            <sz val="9"/>
            <color indexed="81"/>
            <rFont val="Tahoma"/>
            <family val="2"/>
          </rPr>
          <t>José Rivera:</t>
        </r>
        <r>
          <rPr>
            <sz val="9"/>
            <color indexed="81"/>
            <rFont val="Tahoma"/>
            <family val="2"/>
          </rPr>
          <t xml:space="preserve">
No coinciden las cifras de Servicios Bancarios</t>
        </r>
      </text>
    </comment>
    <comment ref="B210" authorId="1" shapeId="0" xr:uid="{16A141C7-1C28-42A0-A98A-12F17B21EA93}">
      <text>
        <r>
          <rPr>
            <b/>
            <sz val="9"/>
            <color indexed="81"/>
            <rFont val="Tahoma"/>
            <family val="2"/>
          </rPr>
          <t>José Rivera:</t>
        </r>
        <r>
          <rPr>
            <sz val="9"/>
            <color indexed="81"/>
            <rFont val="Tahoma"/>
            <family val="2"/>
          </rPr>
          <t xml:space="preserve">
No coinciden las cifras de Publicidad</t>
        </r>
      </text>
    </comment>
    <comment ref="B211" authorId="1" shapeId="0" xr:uid="{B254988C-65DF-41C9-8842-131BE0D6AB13}">
      <text>
        <r>
          <rPr>
            <b/>
            <sz val="9"/>
            <color indexed="81"/>
            <rFont val="Tahoma"/>
            <family val="2"/>
          </rPr>
          <t>José Rivera:</t>
        </r>
        <r>
          <rPr>
            <sz val="9"/>
            <color indexed="81"/>
            <rFont val="Tahoma"/>
            <family val="2"/>
          </rPr>
          <t xml:space="preserve">
No coinciden las cifras de Suministros, costes Totales</t>
        </r>
      </text>
    </comment>
    <comment ref="B212" authorId="1" shapeId="0" xr:uid="{02C46C73-4DD0-440A-8CB1-144D8A0F654F}">
      <text>
        <r>
          <rPr>
            <b/>
            <sz val="9"/>
            <color indexed="81"/>
            <rFont val="Tahoma"/>
            <family val="2"/>
          </rPr>
          <t>José Rivera:</t>
        </r>
        <r>
          <rPr>
            <sz val="9"/>
            <color indexed="81"/>
            <rFont val="Tahoma"/>
            <family val="2"/>
          </rPr>
          <t xml:space="preserve">
Costes Totales 1 año</t>
        </r>
      </text>
    </comment>
    <comment ref="B213" authorId="1" shapeId="0" xr:uid="{5836C892-1578-4DFE-B199-56154F5F4ECF}">
      <text>
        <r>
          <rPr>
            <b/>
            <sz val="9"/>
            <color indexed="81"/>
            <rFont val="Tahoma"/>
            <family val="2"/>
          </rPr>
          <t>José Rivera:</t>
        </r>
        <r>
          <rPr>
            <sz val="9"/>
            <color indexed="81"/>
            <rFont val="Tahoma"/>
            <family val="2"/>
          </rPr>
          <t xml:space="preserve">
Costes Totales 2 año</t>
        </r>
      </text>
    </comment>
    <comment ref="B214" authorId="1" shapeId="0" xr:uid="{1C9052AA-81BD-4764-9489-0F81B799E723}">
      <text>
        <r>
          <rPr>
            <b/>
            <sz val="9"/>
            <color indexed="81"/>
            <rFont val="Tahoma"/>
            <family val="2"/>
          </rPr>
          <t>José Rivera:</t>
        </r>
        <r>
          <rPr>
            <sz val="9"/>
            <color indexed="81"/>
            <rFont val="Tahoma"/>
            <family val="2"/>
          </rPr>
          <t xml:space="preserve">
Se activa sola si existen diferencias entre los cuadros de previsión</t>
        </r>
      </text>
    </comment>
    <comment ref="B220" authorId="1" shapeId="0" xr:uid="{7831C328-B3A6-4624-BA45-F183F025948C}">
      <text>
        <r>
          <rPr>
            <b/>
            <sz val="9"/>
            <color indexed="81"/>
            <rFont val="Tahoma"/>
            <family val="2"/>
          </rPr>
          <t>José Rivera:</t>
        </r>
        <r>
          <rPr>
            <sz val="9"/>
            <color indexed="81"/>
            <rFont val="Tahoma"/>
            <family val="2"/>
          </rPr>
          <t xml:space="preserve">
 producto 1, quedan por asignar unidades en el primer año.</t>
        </r>
      </text>
    </comment>
    <comment ref="B221" authorId="1" shapeId="0" xr:uid="{359FBF4E-C573-4677-8B5C-7AF6B607A3EA}">
      <text>
        <r>
          <rPr>
            <b/>
            <sz val="9"/>
            <color indexed="81"/>
            <rFont val="Tahoma"/>
            <family val="2"/>
          </rPr>
          <t>José Rivera:</t>
        </r>
        <r>
          <rPr>
            <sz val="9"/>
            <color indexed="81"/>
            <rFont val="Tahoma"/>
            <family val="2"/>
          </rPr>
          <t xml:space="preserve">
 producto 2, quedan por asignar unidades en el primer año.</t>
        </r>
      </text>
    </comment>
    <comment ref="B222" authorId="1" shapeId="0" xr:uid="{22D004AF-DA6A-4829-B857-E91DFA0F4742}">
      <text>
        <r>
          <rPr>
            <b/>
            <sz val="9"/>
            <color indexed="81"/>
            <rFont val="Tahoma"/>
            <family val="2"/>
          </rPr>
          <t>José Rivera:</t>
        </r>
        <r>
          <rPr>
            <sz val="9"/>
            <color indexed="81"/>
            <rFont val="Tahoma"/>
            <family val="2"/>
          </rPr>
          <t xml:space="preserve">
 producto 3, quedan por asignar unidades en el primer año.</t>
        </r>
      </text>
    </comment>
    <comment ref="B223" authorId="1" shapeId="0" xr:uid="{FCB0C79F-FC61-4465-8EEC-A60C3BDFFCA2}">
      <text>
        <r>
          <rPr>
            <b/>
            <sz val="9"/>
            <color indexed="81"/>
            <rFont val="Tahoma"/>
            <family val="2"/>
          </rPr>
          <t>José Rivera:</t>
        </r>
        <r>
          <rPr>
            <sz val="9"/>
            <color indexed="81"/>
            <rFont val="Tahoma"/>
            <family val="2"/>
          </rPr>
          <t xml:space="preserve">
Diferencia de precios en Producto P1 en el año 1º</t>
        </r>
      </text>
    </comment>
    <comment ref="B224" authorId="1" shapeId="0" xr:uid="{11309433-C30B-498D-8366-9557F9306D56}">
      <text>
        <r>
          <rPr>
            <b/>
            <sz val="9"/>
            <color indexed="81"/>
            <rFont val="Tahoma"/>
            <family val="2"/>
          </rPr>
          <t>José Rivera:</t>
        </r>
        <r>
          <rPr>
            <sz val="9"/>
            <color indexed="81"/>
            <rFont val="Tahoma"/>
            <family val="2"/>
          </rPr>
          <t xml:space="preserve">
Diferencia de precios en Producto P1 en el año 2º</t>
        </r>
      </text>
    </comment>
    <comment ref="B225" authorId="1" shapeId="0" xr:uid="{D0FC4CC1-8503-4213-8719-D73054C1C8CB}">
      <text>
        <r>
          <rPr>
            <b/>
            <sz val="9"/>
            <color indexed="81"/>
            <rFont val="Tahoma"/>
            <family val="2"/>
          </rPr>
          <t>José Rivera:</t>
        </r>
        <r>
          <rPr>
            <sz val="9"/>
            <color indexed="81"/>
            <rFont val="Tahoma"/>
            <family val="2"/>
          </rPr>
          <t xml:space="preserve">
Diferencia de precios en Producto P1 en el año 3º</t>
        </r>
      </text>
    </comment>
    <comment ref="B226" authorId="1" shapeId="0" xr:uid="{43A0BD4B-5789-4133-8999-05A0760B6609}">
      <text>
        <r>
          <rPr>
            <b/>
            <sz val="9"/>
            <color indexed="81"/>
            <rFont val="Tahoma"/>
            <family val="2"/>
          </rPr>
          <t>José Rivera:</t>
        </r>
        <r>
          <rPr>
            <sz val="9"/>
            <color indexed="81"/>
            <rFont val="Tahoma"/>
            <family val="2"/>
          </rPr>
          <t xml:space="preserve">
Discordancias en el Punto Muerto de P1 en el año 1º</t>
        </r>
      </text>
    </comment>
    <comment ref="B227" authorId="1" shapeId="0" xr:uid="{2FB9A578-13BC-4C92-8FB2-0BF0BA05C00B}">
      <text>
        <r>
          <rPr>
            <b/>
            <sz val="9"/>
            <color indexed="81"/>
            <rFont val="Tahoma"/>
            <family val="2"/>
          </rPr>
          <t>José Rivera:</t>
        </r>
        <r>
          <rPr>
            <sz val="9"/>
            <color indexed="81"/>
            <rFont val="Tahoma"/>
            <family val="2"/>
          </rPr>
          <t xml:space="preserve">
Discordancias en el Punto Muerto de P2 en el año 1º</t>
        </r>
      </text>
    </comment>
    <comment ref="B228" authorId="1" shapeId="0" xr:uid="{E4F53A80-0704-4D80-8730-1F7C29CCFA83}">
      <text>
        <r>
          <rPr>
            <b/>
            <sz val="9"/>
            <color indexed="81"/>
            <rFont val="Tahoma"/>
            <family val="2"/>
          </rPr>
          <t>José Rivera:</t>
        </r>
        <r>
          <rPr>
            <sz val="9"/>
            <color indexed="81"/>
            <rFont val="Tahoma"/>
            <family val="2"/>
          </rPr>
          <t xml:space="preserve">
Discordancias en el Punto Muerto de P3 en el año 1º</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José Rivera</author>
  </authors>
  <commentList>
    <comment ref="E2" authorId="0" shapeId="0" xr:uid="{EA09F009-83CC-441C-BD23-4027CFC62E29}">
      <text>
        <r>
          <rPr>
            <sz val="12"/>
            <color indexed="10"/>
            <rFont val="Arial"/>
            <family val="2"/>
          </rPr>
          <t xml:space="preserve">Establecimiento del número de años consecutivos a partir del inicial en que se distribuirán los Gastos de primer establecimiento y las Inversiones. </t>
        </r>
      </text>
    </comment>
    <comment ref="B4" authorId="0" shapeId="0" xr:uid="{0504011E-88DF-4A81-B902-F11333209E57}">
      <text>
        <r>
          <rPr>
            <sz val="11"/>
            <color indexed="10"/>
            <rFont val="Arial"/>
            <family val="2"/>
          </rPr>
          <t xml:space="preserve">Los permisos y licencias suponen, el pago por una comprobación administrativa previa del ajuste de las actividades privadas a los intereses públicos. 
Son un procedimiento tradicional de intervención administrativa, por el que se paga, para poder dar comienzo o continuidad a una determinada actividad.
</t>
        </r>
      </text>
    </comment>
    <comment ref="B7" authorId="0" shapeId="0" xr:uid="{1477DA2E-5321-4885-85B0-EE971D1EEE37}">
      <text>
        <r>
          <rPr>
            <sz val="12"/>
            <color indexed="10"/>
            <rFont val="Arial"/>
            <family val="2"/>
          </rPr>
          <t>Se corresponde entre un 1,5% y un 5% del nominal del préstamo, dependiendo de si es personal o hipotecario. También dependerá de las gestiones realizadas con la entidad financiera. Se inclye: 
* Gastos de apertura
* Notaría, registros y gestión de escrituras.
* Tasaciones…
El % de aplicación dependerá de la duración del propio préstamo.</t>
        </r>
      </text>
    </comment>
    <comment ref="B13" authorId="0" shapeId="0" xr:uid="{B8B6FBFA-3FAE-4A64-A3E1-1742EC232C27}">
      <text>
        <r>
          <rPr>
            <sz val="12"/>
            <color indexed="10"/>
            <rFont val="Arial"/>
            <family val="2"/>
          </rPr>
          <t>El préstamo será:
* A tipo de interés fijo, durante todos los periodos y podrán diferenciarse periodos de carencia (</t>
        </r>
        <r>
          <rPr>
            <i/>
            <sz val="12"/>
            <color indexed="10"/>
            <rFont val="Arial"/>
            <family val="2"/>
          </rPr>
          <t>al inicio del préstamo</t>
        </r>
        <r>
          <rPr>
            <sz val="12"/>
            <color indexed="10"/>
            <rFont val="Arial"/>
            <family val="2"/>
          </rPr>
          <t>) y periodos sin carencia.</t>
        </r>
      </text>
    </comment>
    <comment ref="B15" authorId="0" shapeId="0" xr:uid="{85122549-B9E1-46F3-A33A-E4DBC71B693D}">
      <text>
        <r>
          <rPr>
            <sz val="12"/>
            <color indexed="10"/>
            <rFont val="Arial"/>
            <family val="2"/>
          </rPr>
          <t xml:space="preserve">El préstamo puede contar con periodos de carencia, en donde sólo se pagan intereses, pero no se amortiza capital. Señale los </t>
        </r>
        <r>
          <rPr>
            <b/>
            <sz val="12"/>
            <color indexed="10"/>
            <rFont val="Arial"/>
            <family val="2"/>
          </rPr>
          <t>meses</t>
        </r>
        <r>
          <rPr>
            <sz val="12"/>
            <color indexed="10"/>
            <rFont val="Arial"/>
            <family val="2"/>
          </rPr>
          <t xml:space="preserve"> en que cocuerren estas circustancias. Por norma general vienen a ser 12 o 24méses en préstamos de entre 60 a 120 meses,</t>
        </r>
      </text>
    </comment>
    <comment ref="B16" authorId="0" shapeId="0" xr:uid="{44A0F30E-F334-488F-9C75-105CE49308FB}">
      <text>
        <r>
          <rPr>
            <sz val="12"/>
            <color indexed="10"/>
            <rFont val="Arial"/>
            <family val="2"/>
          </rPr>
          <t>Señale el resto de meses, a partir de los meses iniciales de carencia (</t>
        </r>
        <r>
          <rPr>
            <i/>
            <sz val="12"/>
            <color indexed="10"/>
            <rFont val="Arial"/>
            <family val="2"/>
          </rPr>
          <t>si existieran</t>
        </r>
        <r>
          <rPr>
            <sz val="12"/>
            <color indexed="10"/>
            <rFont val="Arial"/>
            <family val="2"/>
          </rPr>
          <t>). Es decir; el número de meses durante los que cocuerren estas circustancias y donde se atenderá una cuota fija, compuesta tanto de intereses como de la amortización del capital.</t>
        </r>
        <r>
          <rPr>
            <sz val="9"/>
            <color indexed="81"/>
            <rFont val="Tahoma"/>
            <family val="2"/>
          </rPr>
          <t xml:space="preserve">
</t>
        </r>
      </text>
    </comment>
    <comment ref="B26" authorId="0" shapeId="0" xr:uid="{54E496BD-D5ED-4BE1-B2E4-9CF296BF7543}">
      <text>
        <r>
          <rPr>
            <sz val="12"/>
            <color indexed="10"/>
            <rFont val="Tahoma"/>
            <family val="2"/>
          </rPr>
          <t>Aquellos productos que necesitamos para comenzar nuestra actividad y que por lo general se amortizarán en el primer año de actividad.</t>
        </r>
      </text>
    </comment>
    <comment ref="B36" authorId="0" shapeId="0" xr:uid="{0EC135DE-9824-4372-BC3E-6DC80401E1F2}">
      <text>
        <r>
          <rPr>
            <sz val="12"/>
            <color indexed="10"/>
            <rFont val="Arial"/>
            <family val="2"/>
          </rPr>
          <t>El fondo de comercio está definido como la capacidad de generar beneficios gracias a activos intangibles que pueden generar beneficios futuros, como son: el valor de la marca, la cartera de clientes, su posicionamiento, el 'know how' o el valor de patentes.</t>
        </r>
        <r>
          <rPr>
            <sz val="9"/>
            <color indexed="81"/>
            <rFont val="Tahoma"/>
            <family val="2"/>
          </rPr>
          <t xml:space="preserve">
</t>
        </r>
      </text>
    </comment>
    <comment ref="B39" authorId="0" shapeId="0" xr:uid="{59A00BB8-4E7D-47E0-8577-2AFA94695A1A}">
      <text>
        <r>
          <rPr>
            <sz val="12"/>
            <color indexed="10"/>
            <rFont val="Arial"/>
            <family val="2"/>
          </rPr>
          <t>La caución alude a la palabra “cautela” o “prevención” y su objetivo es asegurar a una parte de un contrato o acuerdo de que se cumplirá con los compromisos pactados. En caso de incumplimiento, la garantía se activará y la parte que ha confiado en el acuerdo no se verá perjudicada.</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José Rivera</author>
  </authors>
  <commentList>
    <comment ref="B28" authorId="0" shapeId="0" xr:uid="{73FCDF6C-FA9D-44E2-A67A-0AC1AA111DCA}">
      <text>
        <r>
          <rPr>
            <sz val="12"/>
            <color indexed="10"/>
            <rFont val="Arial"/>
            <family val="2"/>
          </rPr>
          <t>No se incluyen aquí los relativos al Impuesto de Sociedades o Sobre el Beneficio.</t>
        </r>
      </text>
    </comment>
    <comment ref="B37" authorId="0" shapeId="0" xr:uid="{872A21AA-7168-438F-8840-66EC52D208B3}">
      <text>
        <r>
          <rPr>
            <sz val="12"/>
            <color indexed="10"/>
            <rFont val="Arial"/>
            <family val="2"/>
          </rPr>
          <t xml:space="preserve">Sólo conoce por los datos de la Tabla de Establecimiento, los importes correspondientes al primer año, el resto deberá calcularse manualmente en función de los indices establecidos.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José Rivera</author>
    <author>José Antonio</author>
  </authors>
  <commentList>
    <comment ref="B5" authorId="0" shapeId="0" xr:uid="{99CF38BC-26BC-47E3-9463-6D318C62F111}">
      <text>
        <r>
          <rPr>
            <sz val="12"/>
            <color indexed="10"/>
            <rFont val="Arial"/>
            <family val="2"/>
          </rPr>
          <t>Introducir el número de unidades producidas y vendidas durante el año, de cada producto.</t>
        </r>
      </text>
    </comment>
    <comment ref="B7" authorId="1" shapeId="0" xr:uid="{EBC94A8B-2AF2-4B1C-9821-2021639B76E1}">
      <text>
        <r>
          <rPr>
            <sz val="12"/>
            <color indexed="10"/>
            <rFont val="Arial"/>
            <family val="2"/>
          </rPr>
          <t>Introducir el importe de los Costes Fijos anuales de este primer año, que se repartirán en función de la unidades producidas de cada uno de los diferentes productos.</t>
        </r>
      </text>
    </comment>
    <comment ref="P17" authorId="1" shapeId="0" xr:uid="{DE74870E-F317-4472-A35E-5DBCD71C3DD8}">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20" authorId="0" shapeId="0" xr:uid="{252B437B-0D72-4A9C-9461-C500B984CF5F}">
      <text>
        <r>
          <rPr>
            <sz val="12"/>
            <color indexed="10"/>
            <rFont val="Arial"/>
            <family val="2"/>
          </rPr>
          <t>Debe distribuir las unidades de cada producto por meses. Tenga en cuenta que algunas actividades pueden tener estacionalidad o temporalidad.</t>
        </r>
      </text>
    </comment>
    <comment ref="P43" authorId="1" shapeId="0" xr:uid="{1DDF230E-1E76-46DB-9797-C8D9856BCD2C}">
      <text>
        <r>
          <rPr>
            <sz val="12"/>
            <color indexed="10"/>
            <rFont val="Arial"/>
            <family val="2"/>
          </rPr>
          <t>En caso de utilizar precios diferentes para un producto, esta columna indica el precio medio a tener presente durante todo el periodo.
Por ello</t>
        </r>
        <r>
          <rPr>
            <b/>
            <sz val="12"/>
            <color indexed="10"/>
            <rFont val="Arial"/>
            <family val="2"/>
          </rPr>
          <t xml:space="preserve"> revise los precios indicados en el apartado inicial "Precio Unitarios por Producto" </t>
        </r>
      </text>
    </comment>
    <comment ref="B44" authorId="0" shapeId="0" xr:uid="{1FF80F4F-6E4C-4DCD-971C-D7B72B290759}">
      <text>
        <r>
          <rPr>
            <sz val="12"/>
            <color indexed="10"/>
            <rFont val="Arial"/>
            <family val="2"/>
          </rPr>
          <t>El precio puede variar en determinados meses. Tenga presente que para obtener un resultado coherente, deberá tener asignadas unidades de ese mismo producto en dicho mes.</t>
        </r>
      </text>
    </comment>
    <comment ref="B55" authorId="0" shapeId="0" xr:uid="{42D62B3C-EA26-4931-8675-768B4870794B}">
      <text>
        <r>
          <rPr>
            <sz val="12"/>
            <color indexed="10"/>
            <rFont val="Arial"/>
            <family val="2"/>
          </rPr>
          <t>Introducir el número de unidades producidas y vendidas durante el año, de cada producto.</t>
        </r>
      </text>
    </comment>
    <comment ref="B57" authorId="1" shapeId="0" xr:uid="{D14847CD-A803-43E0-83FA-873A2C5A34CB}">
      <text>
        <r>
          <rPr>
            <sz val="12"/>
            <color indexed="10"/>
            <rFont val="Arial"/>
            <family val="2"/>
          </rPr>
          <t>Introducir el importe de los Costes Fijos anuales de este año, que se repartirán en función de la unidades producidas de cada uno de los diferentes productos.</t>
        </r>
      </text>
    </comment>
    <comment ref="P67" authorId="1" shapeId="0" xr:uid="{80702DBF-93C6-4647-81EF-ABF5AE92EDC9}">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70" authorId="0" shapeId="0" xr:uid="{FA005881-FEE9-463B-AE68-149688D5F624}">
      <text>
        <r>
          <rPr>
            <sz val="12"/>
            <color indexed="10"/>
            <rFont val="Arial"/>
            <family val="2"/>
          </rPr>
          <t>Debe distribuir las unidades de cada producto por meses. Tenga en cuenta que algunas actividades pueden tener estacionalidad o temporalidad.</t>
        </r>
      </text>
    </comment>
    <comment ref="P93" authorId="1" shapeId="0" xr:uid="{AE007636-81AC-4C52-A453-09D031227488}">
      <text>
        <r>
          <rPr>
            <sz val="12"/>
            <color indexed="10"/>
            <rFont val="Arial"/>
            <family val="2"/>
          </rPr>
          <t xml:space="preserve">En caso de utilizar precios diferentes para un producto, esta columna indica el precio medio a tener presente durante todo el periodo.
Por ello revise los precios indicados en el apartado inicial "Precio Unitarios por Producto" </t>
        </r>
      </text>
    </comment>
    <comment ref="B94" authorId="0" shapeId="0" xr:uid="{26FDDCA3-B1D4-47DC-9745-0801D04579F6}">
      <text>
        <r>
          <rPr>
            <sz val="12"/>
            <color indexed="10"/>
            <rFont val="Arial"/>
            <family val="2"/>
          </rPr>
          <t>El precio puede variar en determinados meses. Tenga presente que para obtener un resultado coherente, deberá tener asignadas unidades de ese mismo producto en dicho mes.</t>
        </r>
      </text>
    </comment>
    <comment ref="B105" authorId="0" shapeId="0" xr:uid="{1F77DABC-1AEF-4D5E-BFC1-14D7FCBE63EB}">
      <text>
        <r>
          <rPr>
            <sz val="12"/>
            <color indexed="10"/>
            <rFont val="Arial"/>
            <family val="2"/>
          </rPr>
          <t>Introducir el número de unidades producidas y vendidas durante el año, de cada producto.</t>
        </r>
      </text>
    </comment>
    <comment ref="B107" authorId="1" shapeId="0" xr:uid="{FE8ED1E9-43EF-4869-B64A-DABA804695EF}">
      <text>
        <r>
          <rPr>
            <sz val="12"/>
            <color indexed="10"/>
            <rFont val="Arial"/>
            <family val="2"/>
          </rPr>
          <t>Introducir el importe de los Costes Fijos anuales de este año, que se repartirán en función de la unidades producidas de cada uno de los diferentes productos.</t>
        </r>
      </text>
    </comment>
    <comment ref="P117" authorId="1" shapeId="0" xr:uid="{4A6CF79E-A17E-450A-ABA5-C292703CD6FC}">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120" authorId="0" shapeId="0" xr:uid="{82CB4867-0F7B-40A5-A647-9266ED7AF7C1}">
      <text>
        <r>
          <rPr>
            <sz val="12"/>
            <color indexed="10"/>
            <rFont val="Arial"/>
            <family val="2"/>
          </rPr>
          <t>Debe distribuir las unidades de cada producto por meses. Tenga en cuenta que algunas actividades pueden tener estacionalidad o temporalidad.</t>
        </r>
      </text>
    </comment>
    <comment ref="P143" authorId="1" shapeId="0" xr:uid="{17941FB4-E2C1-4B9D-BE06-2E7449A511C7}">
      <text>
        <r>
          <rPr>
            <sz val="12"/>
            <color indexed="10"/>
            <rFont val="Arial"/>
            <family val="2"/>
          </rPr>
          <t xml:space="preserve">En caso de utilizar precios diferentes para un producto, esta columna indica el precio medio a tener presente durante todo el periodo.
Por ello revise los precios indicados en el apartado inicial "Precio Unitarios por Producto" </t>
        </r>
      </text>
    </comment>
    <comment ref="B144" authorId="0" shapeId="0" xr:uid="{DD313E08-A97C-4290-B212-0FF0826D829E}">
      <text>
        <r>
          <rPr>
            <sz val="12"/>
            <color indexed="10"/>
            <rFont val="Arial"/>
            <family val="2"/>
          </rPr>
          <t>El precio puede variar en determinados meses. Tenga presente que para obtener un resultado coherente, deberá tener asignadas unidades de ese mismo producto en dicho mes.</t>
        </r>
      </text>
    </comment>
    <comment ref="B155" authorId="0" shapeId="0" xr:uid="{BFB0C324-A3CF-40DF-8171-A7BDD09FE672}">
      <text>
        <r>
          <rPr>
            <sz val="12"/>
            <color indexed="10"/>
            <rFont val="Arial"/>
            <family val="2"/>
          </rPr>
          <t>Introducir el número de unidades producidas y vendidas durante el año, de cada producto.</t>
        </r>
      </text>
    </comment>
    <comment ref="B157" authorId="1" shapeId="0" xr:uid="{858ED025-13ED-4495-98A7-83800F8024E7}">
      <text>
        <r>
          <rPr>
            <sz val="12"/>
            <color indexed="10"/>
            <rFont val="Arial"/>
            <family val="2"/>
          </rPr>
          <t>Introducir el importe de los Costes Fijos anuales de este año, que se repartirán en función de la unidades producidas de cada uno de los diferentes productos.</t>
        </r>
      </text>
    </comment>
    <comment ref="P167" authorId="1" shapeId="0" xr:uid="{188AF4C9-D328-4084-B65E-CBF456E0CA92}">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170" authorId="0" shapeId="0" xr:uid="{C651322B-5AB6-4A59-9375-838C6E62CF38}">
      <text>
        <r>
          <rPr>
            <sz val="12"/>
            <color indexed="10"/>
            <rFont val="Arial"/>
            <family val="2"/>
          </rPr>
          <t>Debe distribuir las unidades de cada producto por meses. Tenga en cuenta que algunas actividades pueden tener estacionalidad o temporalidad.</t>
        </r>
      </text>
    </comment>
    <comment ref="P193" authorId="1" shapeId="0" xr:uid="{2F18D03D-D4D5-48C2-AA1D-07F028F51371}">
      <text>
        <r>
          <rPr>
            <sz val="12"/>
            <color indexed="10"/>
            <rFont val="Arial"/>
            <family val="2"/>
          </rPr>
          <t xml:space="preserve">En caso de utilizar precios diferentes para un producto, esta columna indica el precio medio a tener presente durante todo el periodo.
Por ello revise los precios indicados en el apartado inicial "Precio Unitarios por Producto" </t>
        </r>
      </text>
    </comment>
    <comment ref="B194" authorId="0" shapeId="0" xr:uid="{6E474AF8-AA11-4848-956D-FA740E77AAD3}">
      <text>
        <r>
          <rPr>
            <sz val="12"/>
            <color indexed="10"/>
            <rFont val="Arial"/>
            <family val="2"/>
          </rPr>
          <t>El precio puede variar en determinados meses. Tenga presente que para obtener un resultado coherente, deberá tener asignadas unidades de ese mismo producto en dicho mes.</t>
        </r>
      </text>
    </comment>
    <comment ref="B205" authorId="0" shapeId="0" xr:uid="{F785C10E-D701-4C51-B730-5D8A9E8979FA}">
      <text>
        <r>
          <rPr>
            <sz val="12"/>
            <color indexed="10"/>
            <rFont val="Arial"/>
            <family val="2"/>
          </rPr>
          <t>Introducir el número de unidades producidas y vendidas durante el año, de cada producto.</t>
        </r>
      </text>
    </comment>
    <comment ref="B207" authorId="1" shapeId="0" xr:uid="{9E58B829-DA89-42A5-B9B4-8D76C520F483}">
      <text>
        <r>
          <rPr>
            <sz val="12"/>
            <color indexed="10"/>
            <rFont val="Arial"/>
            <family val="2"/>
          </rPr>
          <t>Introducir el importe de los Costes Fijos anuales de este año, que se repartirán en función de la unidades producidas de cada uno de los diferentes productos.</t>
        </r>
      </text>
    </comment>
    <comment ref="P217" authorId="1" shapeId="0" xr:uid="{65A44BE4-1F81-43EC-9869-8DA9691B7A2D}">
      <text>
        <r>
          <rPr>
            <sz val="12"/>
            <color indexed="10"/>
            <rFont val="Tahoma"/>
            <family val="2"/>
          </rPr>
          <t>Suma las unidades producidas y vendidas en cada mes.
Si sobrepasa las unidades inicialmente asignadas a un producto en el año, apareceran referenciadas en negativo y color rojo. 
Ajuste sus datos hasta que aparezcan a cero.</t>
        </r>
      </text>
    </comment>
    <comment ref="C220" authorId="0" shapeId="0" xr:uid="{D2B557AA-45CC-4573-9BCA-EB0CF4BF3EAF}">
      <text>
        <r>
          <rPr>
            <sz val="12"/>
            <color indexed="10"/>
            <rFont val="Arial"/>
            <family val="2"/>
          </rPr>
          <t>Debe distribuir las unidades de cada producto por meses. Tenga en cuenta que algunas actividades pueden tener estacionalidad o temporalidad.</t>
        </r>
      </text>
    </comment>
    <comment ref="P243" authorId="1" shapeId="0" xr:uid="{180E83D5-A3BC-4047-BC36-F33A850C31F2}">
      <text>
        <r>
          <rPr>
            <sz val="12"/>
            <color indexed="10"/>
            <rFont val="Arial"/>
            <family val="2"/>
          </rPr>
          <t xml:space="preserve">En caso de utilizar precios diferentes para un producto, esta columna indica el precio medio a tener presente durante todo el periodo.
Por ello revise los precios indicados en el apartado inicial "Precio Unitarios por Producto" </t>
        </r>
      </text>
    </comment>
    <comment ref="B244" authorId="0" shapeId="0" xr:uid="{F4E08824-4F0E-427E-88FA-3875EE3B6800}">
      <text>
        <r>
          <rPr>
            <sz val="12"/>
            <color indexed="10"/>
            <rFont val="Arial"/>
            <family val="2"/>
          </rPr>
          <t>El precio puede variar en determinados meses. Tenga presente que para obtener un resultado coherente, deberá tener asignadas unidades de ese mismo producto en dicho mes.</t>
        </r>
      </text>
    </comment>
  </commentList>
</comments>
</file>

<file path=xl/sharedStrings.xml><?xml version="1.0" encoding="utf-8"?>
<sst xmlns="http://schemas.openxmlformats.org/spreadsheetml/2006/main" count="992" uniqueCount="401">
  <si>
    <t>AVERTENCIA LEGAL</t>
  </si>
  <si>
    <t>El presente documento-archivo está protegido por Derechos de Autor pertenecientes a la Universidad de Córdoba. El mismo sólo tiene valor didáctico, por lo que no se recomienda y queda prohibida su utilización fuera de dicho ámbito formativo del curso al que se dirige.</t>
  </si>
  <si>
    <t>INDICACIONES INICIALES:</t>
  </si>
  <si>
    <r>
      <t xml:space="preserve">Sólo puede </t>
    </r>
    <r>
      <rPr>
        <b/>
        <sz val="11"/>
        <color rgb="FFFF0000"/>
        <rFont val="Calibri"/>
        <family val="2"/>
        <scheme val="minor"/>
      </rPr>
      <t>introducir datos o textos</t>
    </r>
    <r>
      <rPr>
        <sz val="11"/>
        <color theme="1"/>
        <rFont val="Calibri"/>
        <family val="2"/>
        <scheme val="minor"/>
      </rPr>
      <t xml:space="preserve"> en aquellas </t>
    </r>
    <r>
      <rPr>
        <b/>
        <sz val="11"/>
        <color theme="1"/>
        <rFont val="Calibri"/>
        <family val="2"/>
        <scheme val="minor"/>
      </rPr>
      <t xml:space="preserve">celdas desbloqueadas, </t>
    </r>
    <r>
      <rPr>
        <b/>
        <sz val="11"/>
        <color rgb="FFFF0000"/>
        <rFont val="Calibri"/>
        <family val="2"/>
        <scheme val="minor"/>
      </rPr>
      <t>no incluya fórmulas por simples que estas sean.</t>
    </r>
  </si>
  <si>
    <r>
      <t xml:space="preserve">El </t>
    </r>
    <r>
      <rPr>
        <b/>
        <sz val="11"/>
        <color theme="1"/>
        <rFont val="Calibri"/>
        <family val="2"/>
        <scheme val="minor"/>
      </rPr>
      <t>Capital</t>
    </r>
    <r>
      <rPr>
        <sz val="11"/>
        <color theme="1"/>
        <rFont val="Calibri"/>
        <family val="2"/>
        <scheme val="minor"/>
      </rPr>
      <t xml:space="preserve"> aportado por cada socio (componentes del grupo) </t>
    </r>
    <r>
      <rPr>
        <b/>
        <sz val="11"/>
        <color theme="1"/>
        <rFont val="Calibri"/>
        <family val="2"/>
        <scheme val="minor"/>
      </rPr>
      <t>no será superior</t>
    </r>
    <r>
      <rPr>
        <sz val="11"/>
        <color theme="1"/>
        <rFont val="Calibri"/>
        <family val="2"/>
        <scheme val="minor"/>
      </rPr>
      <t xml:space="preserve"> a:</t>
    </r>
  </si>
  <si>
    <t>Por componente del grupo de trabajo.</t>
  </si>
  <si>
    <r>
      <t xml:space="preserve">Se debe tener en cuenta que los </t>
    </r>
    <r>
      <rPr>
        <b/>
        <sz val="11"/>
        <color theme="1"/>
        <rFont val="Calibri"/>
        <family val="2"/>
        <scheme val="minor"/>
      </rPr>
      <t>recursos ajenos</t>
    </r>
    <r>
      <rPr>
        <sz val="11"/>
        <color theme="1"/>
        <rFont val="Calibri"/>
        <family val="2"/>
        <scheme val="minor"/>
      </rPr>
      <t xml:space="preserve"> </t>
    </r>
    <r>
      <rPr>
        <b/>
        <sz val="11"/>
        <color theme="1"/>
        <rFont val="Calibri"/>
        <family val="2"/>
        <scheme val="minor"/>
      </rPr>
      <t>no</t>
    </r>
    <r>
      <rPr>
        <sz val="11"/>
        <color theme="1"/>
        <rFont val="Calibri"/>
        <family val="2"/>
        <scheme val="minor"/>
      </rPr>
      <t xml:space="preserve"> deberían </t>
    </r>
    <r>
      <rPr>
        <b/>
        <sz val="11"/>
        <color theme="1"/>
        <rFont val="Calibri"/>
        <family val="2"/>
        <scheme val="minor"/>
      </rPr>
      <t>sobrepasar</t>
    </r>
    <r>
      <rPr>
        <sz val="11"/>
        <color theme="1"/>
        <rFont val="Calibri"/>
        <family val="2"/>
        <scheme val="minor"/>
      </rPr>
      <t xml:space="preserve"> el:</t>
    </r>
  </si>
  <si>
    <r>
      <t xml:space="preserve">Del total de </t>
    </r>
    <r>
      <rPr>
        <b/>
        <sz val="11"/>
        <color rgb="FFFF0000"/>
        <rFont val="Calibri"/>
        <family val="2"/>
        <scheme val="minor"/>
      </rPr>
      <t>financiación necesaria</t>
    </r>
    <r>
      <rPr>
        <sz val="11"/>
        <color rgb="FFFF0000"/>
        <rFont val="Calibri"/>
        <family val="2"/>
        <scheme val="minor"/>
      </rPr>
      <t>.</t>
    </r>
  </si>
  <si>
    <r>
      <rPr>
        <b/>
        <sz val="11"/>
        <color rgb="FFFF0000"/>
        <rFont val="Calibri"/>
        <family val="2"/>
        <scheme val="minor"/>
      </rPr>
      <t>Las subvenciones deberán ser reales y estar amparadas legalmente.</t>
    </r>
    <r>
      <rPr>
        <sz val="11"/>
        <color theme="1"/>
        <rFont val="Calibri"/>
        <family val="2"/>
        <scheme val="minor"/>
      </rPr>
      <t xml:space="preserve"> No debiéndose confiar en las subvenciones como vía principal de financiación de un nuevo proyecto.</t>
    </r>
  </si>
  <si>
    <t>Versión:</t>
  </si>
  <si>
    <r>
      <rPr>
        <b/>
        <u/>
        <sz val="11"/>
        <color rgb="FFFF0000"/>
        <rFont val="Calibri"/>
        <family val="2"/>
        <scheme val="minor"/>
      </rPr>
      <t>IMPORTANTE:</t>
    </r>
    <r>
      <rPr>
        <sz val="11"/>
        <color theme="1"/>
        <rFont val="Calibri"/>
        <family val="2"/>
        <scheme val="minor"/>
      </rPr>
      <t xml:space="preserve"> Antes de empezar a introducir datos, lea con detenimiento el documento "</t>
    </r>
    <r>
      <rPr>
        <i/>
        <sz val="11"/>
        <color theme="1"/>
        <rFont val="Calibri"/>
        <family val="2"/>
        <scheme val="minor"/>
      </rPr>
      <t>Plan de Empresa.pdf</t>
    </r>
    <r>
      <rPr>
        <sz val="11"/>
        <color theme="1"/>
        <rFont val="Calibri"/>
        <family val="2"/>
        <scheme val="minor"/>
      </rPr>
      <t>" también proporcionado.</t>
    </r>
  </si>
  <si>
    <t>NOMBRE DE LA EMPRESA:</t>
  </si>
  <si>
    <t>SecondNote</t>
  </si>
  <si>
    <t>AÑO de Inicio de la Actividad:</t>
  </si>
  <si>
    <t>Grupo de Trabajo (G#M#W#):</t>
  </si>
  <si>
    <t>G1M1W7</t>
  </si>
  <si>
    <r>
      <t>Componentes</t>
    </r>
    <r>
      <rPr>
        <i/>
        <sz val="18"/>
        <color theme="0"/>
        <rFont val="Calibri"/>
        <family val="2"/>
        <scheme val="minor"/>
      </rPr>
      <t xml:space="preserve"> </t>
    </r>
    <r>
      <rPr>
        <i/>
        <sz val="14"/>
        <color theme="0"/>
        <rFont val="Calibri"/>
        <family val="2"/>
        <scheme val="minor"/>
      </rPr>
      <t>(Sólo aquellos que ha participado)</t>
    </r>
  </si>
  <si>
    <r>
      <t xml:space="preserve">APELLIDOS, NOMBRE:       De los componentes que han participado en la elaboración del Plan de Empresa.                                  </t>
    </r>
    <r>
      <rPr>
        <i/>
        <sz val="14"/>
        <color theme="0"/>
        <rFont val="Calibri"/>
        <family val="2"/>
        <scheme val="minor"/>
      </rPr>
      <t>(El primero se corresponderá con el líder de la actividad)</t>
    </r>
  </si>
  <si>
    <t>1º</t>
  </si>
  <si>
    <t>El Khiraoui, Khalid</t>
  </si>
  <si>
    <t>Líder</t>
  </si>
  <si>
    <t>2º</t>
  </si>
  <si>
    <t>Campos Rodríguez, Jaime</t>
  </si>
  <si>
    <t>3º</t>
  </si>
  <si>
    <t>Gómez Amaro, Alejandro</t>
  </si>
  <si>
    <t>4º</t>
  </si>
  <si>
    <t>5º</t>
  </si>
  <si>
    <t>COMENTARIO ESCUETO QUE DEFINA SU ACTIVIDAD Y SUS PRODUCTOS:</t>
  </si>
  <si>
    <t>SecondNote es un servicio de música en streaming con un editor de audio incorporado, mediante el que los usuarios puedan escuchar canciones y crear remixes y/o covers de las canciones existentes en el servicio de manera sencilla. Nuestros productos son, además de la propia música como servicio, de diferentes artistas, ofrecemos varios tipos de suscripciones de pago que ofrecen ventajas.     En el caso de los 5 productos que aparecen en el Excel, nos encontramos con los productos 1, 2 y 3, albumes digitales, a traves de los cuales de forma oficial adquieres acceso a todas las canciones de estos tres artistas; Y los porductos 4 y 5 en los cuales ademas de tener acceso a todos los artistas anteriormente mencionados se te facilitan una serie de servicios con los cuales generar covers, remixes y demás modificaciones de dicho contenido legalmente.</t>
  </si>
  <si>
    <t>GRUPO:</t>
  </si>
  <si>
    <t xml:space="preserve">Fecha: </t>
  </si>
  <si>
    <t>Universidad de Córdoba</t>
  </si>
  <si>
    <t>COMPONENTES:</t>
  </si>
  <si>
    <t>ACTIVIDAD Y PRODUCTO</t>
  </si>
  <si>
    <t>Grado de Ingeniería Informática, Curso: 23/24</t>
  </si>
  <si>
    <t>Líder:</t>
  </si>
  <si>
    <t>Asignatura de Economía y Administración de Empresas</t>
  </si>
  <si>
    <t>Hoja de comprobaciones a la fecha</t>
  </si>
  <si>
    <t>TIPO DE INTERÉS</t>
  </si>
  <si>
    <t>INVERSIÓN</t>
  </si>
  <si>
    <t>FLUJOS DE CAJA</t>
  </si>
  <si>
    <t>Versión</t>
  </si>
  <si>
    <t>VAN</t>
  </si>
  <si>
    <t>FORMATO NEGATIVOS</t>
  </si>
  <si>
    <t>TIR</t>
  </si>
  <si>
    <t>Gastos de Establecimiento</t>
  </si>
  <si>
    <t>Diferencias</t>
  </si>
  <si>
    <t>Debería ser</t>
  </si>
  <si>
    <t>PUNTO MUERTO</t>
  </si>
  <si>
    <t>P1</t>
  </si>
  <si>
    <t>P2</t>
  </si>
  <si>
    <t>P3</t>
  </si>
  <si>
    <t>P4</t>
  </si>
  <si>
    <t>P5</t>
  </si>
  <si>
    <t>a1 del 1 año</t>
  </si>
  <si>
    <t>año 1</t>
  </si>
  <si>
    <t>b1 del 1 año</t>
  </si>
  <si>
    <t>año 2</t>
  </si>
  <si>
    <t>b1 del 2 año</t>
  </si>
  <si>
    <t>año 3</t>
  </si>
  <si>
    <t>Inversiones</t>
  </si>
  <si>
    <t>Unidades vendidas pendientes de asignar por Productos</t>
  </si>
  <si>
    <t>a2 del 1 año</t>
  </si>
  <si>
    <t>Seguridad Social a cargo de la empresa</t>
  </si>
  <si>
    <t>c2 del 1 año</t>
  </si>
  <si>
    <t>c2 del 2 año</t>
  </si>
  <si>
    <t>c2 del 3 año</t>
  </si>
  <si>
    <t>40% sueldos b1 año 1</t>
  </si>
  <si>
    <t>SS b1 del 1 año</t>
  </si>
  <si>
    <t>SS b2 del 1 año</t>
  </si>
  <si>
    <t>Gastos Financieros</t>
  </si>
  <si>
    <t>a1 G. Formlz.Préstm.</t>
  </si>
  <si>
    <t>40% sueldos b1 año 2</t>
  </si>
  <si>
    <t>1,5% del préstamo en a1</t>
  </si>
  <si>
    <t>Mínimo</t>
  </si>
  <si>
    <t>SS b1 del 2 año</t>
  </si>
  <si>
    <t>5% del préstamo en a1</t>
  </si>
  <si>
    <t>Máximo</t>
  </si>
  <si>
    <t>SS b2 del 2 año</t>
  </si>
  <si>
    <t>Diferencia entre precios asignados por Productos</t>
  </si>
  <si>
    <t>c1 VS c2 del 1 año</t>
  </si>
  <si>
    <t>c1 VS c2 del 2 año</t>
  </si>
  <si>
    <t>c1 VS c2 del 3 año</t>
  </si>
  <si>
    <t>Financiación</t>
  </si>
  <si>
    <t>40% sueldos b1 año 3</t>
  </si>
  <si>
    <t>Capital b1 de X años</t>
  </si>
  <si>
    <t>Máx. Autorizado</t>
  </si>
  <si>
    <t>SS b1 del 3 año</t>
  </si>
  <si>
    <t>Subve. b1 del 1 año</t>
  </si>
  <si>
    <t>SS b2 del 3 año</t>
  </si>
  <si>
    <t xml:space="preserve"> </t>
  </si>
  <si>
    <t>Prést.  b1 del 1 año</t>
  </si>
  <si>
    <t>Total Financiación</t>
  </si>
  <si>
    <t>De financiación sin Capital</t>
  </si>
  <si>
    <t>b2 del 1 año</t>
  </si>
  <si>
    <t>b2 del 2 año</t>
  </si>
  <si>
    <t>b1 del 3 año</t>
  </si>
  <si>
    <t>b2 del 3 año</t>
  </si>
  <si>
    <t>Ventas</t>
  </si>
  <si>
    <t>Sueldos</t>
  </si>
  <si>
    <t>Arrendamientos</t>
  </si>
  <si>
    <t>Reparaciones y conservación</t>
  </si>
  <si>
    <t>Servicios profesionales independientes</t>
  </si>
  <si>
    <t>Transportes</t>
  </si>
  <si>
    <t>Primas de seguros</t>
  </si>
  <si>
    <t>Servicios bancarios</t>
  </si>
  <si>
    <t>Publicidad, promoción</t>
  </si>
  <si>
    <t>Suministros</t>
  </si>
  <si>
    <t>c1 del 1 año</t>
  </si>
  <si>
    <t>c1 del 2 año</t>
  </si>
  <si>
    <t>c1 del 3 año</t>
  </si>
  <si>
    <t>Costes Fijo Totales</t>
  </si>
  <si>
    <t>Costes Variables Totales</t>
  </si>
  <si>
    <t>COSTES TOTALES DE PRODUCCION</t>
  </si>
  <si>
    <t>Beneficios</t>
  </si>
  <si>
    <t>CÁLCULOS DE PRÉSTAMO A INTERÉS FIJO</t>
  </si>
  <si>
    <t>DATOS</t>
  </si>
  <si>
    <t>Gastos de apertura:  Mín.1,5%</t>
  </si>
  <si>
    <t>Importe</t>
  </si>
  <si>
    <t>Gastos de apertura: Máx. 5%</t>
  </si>
  <si>
    <t>TIN (Tipo de Interés Nominal)  Anual</t>
  </si>
  <si>
    <t>Cuota Mensual</t>
  </si>
  <si>
    <t>Cuota Anual</t>
  </si>
  <si>
    <t>b1 del año 1</t>
  </si>
  <si>
    <t>b1 del año 2</t>
  </si>
  <si>
    <t>b1 del año 3</t>
  </si>
  <si>
    <t>b1 del año 4</t>
  </si>
  <si>
    <t>Periodos de Carencia en meses</t>
  </si>
  <si>
    <t>Importe en Periodos CON Carencia</t>
  </si>
  <si>
    <t>Resto de Periodos sin Carencia en meses</t>
  </si>
  <si>
    <t>Importe en Periodos SIN Carencia</t>
  </si>
  <si>
    <t>año 4</t>
  </si>
  <si>
    <t>año 5</t>
  </si>
  <si>
    <t>Interés</t>
  </si>
  <si>
    <t>Capital Amortizado</t>
  </si>
  <si>
    <t>Hoja de Recomendacioens y Salvedades a la fecha</t>
  </si>
  <si>
    <t>AJUSTES /AÑO</t>
  </si>
  <si>
    <t>I.V.A AL 21% PAGAR</t>
  </si>
  <si>
    <t>I.V.A AL 10% PAGAR</t>
  </si>
  <si>
    <t xml:space="preserve">GRÁFICOS DE LA EVOLUCIÓN MENSUAL DE VENTAS, PRECIOS Y PUNTO MUERTO POR PRODUCTOS DEL GRUPO: </t>
  </si>
  <si>
    <t>Recomendaciones/Salvedades/General</t>
  </si>
  <si>
    <t>Recomendaciones, salvedades e información a tener en cuenta, relativa a la Hoja de Cálculo, facilitada por el grupo:</t>
  </si>
  <si>
    <t>R/S/G</t>
  </si>
  <si>
    <t>CANTIDADES</t>
  </si>
  <si>
    <t>OBSERVACIÓN</t>
  </si>
  <si>
    <t>GENERAL</t>
  </si>
  <si>
    <t>G</t>
  </si>
  <si>
    <t>No evaluable al no realiza entrega.</t>
  </si>
  <si>
    <r>
      <t xml:space="preserve">No evaluable al </t>
    </r>
    <r>
      <rPr>
        <sz val="11"/>
        <color rgb="FFFF0000"/>
        <rFont val="Calibri"/>
        <family val="2"/>
        <scheme val="minor"/>
      </rPr>
      <t>no entregar el PDF</t>
    </r>
    <r>
      <rPr>
        <sz val="11"/>
        <color theme="1"/>
        <rFont val="Calibri"/>
        <family val="2"/>
        <scheme val="minor"/>
      </rPr>
      <t xml:space="preserve"> necesario que pueda referenciar los datos de la Hoja de Cálculo al Plan de Empresa.</t>
    </r>
  </si>
  <si>
    <r>
      <t xml:space="preserve">La </t>
    </r>
    <r>
      <rPr>
        <sz val="11"/>
        <color rgb="FFFF0000"/>
        <rFont val="Calibri"/>
        <family val="2"/>
        <scheme val="minor"/>
      </rPr>
      <t xml:space="preserve">Hoja de Cálculo no se ha actualizado </t>
    </r>
    <r>
      <rPr>
        <sz val="11"/>
        <color theme="1"/>
        <rFont val="Calibri"/>
        <family val="2"/>
        <scheme val="minor"/>
      </rPr>
      <t>a su versión propuesta.</t>
    </r>
  </si>
  <si>
    <r>
      <t>No puedo evaluarse al estar</t>
    </r>
    <r>
      <rPr>
        <sz val="11"/>
        <color rgb="FFFF0000"/>
        <rFont val="Calibri"/>
        <family val="2"/>
        <scheme val="minor"/>
      </rPr>
      <t xml:space="preserve"> corrompida la seguridad</t>
    </r>
    <r>
      <rPr>
        <sz val="11"/>
        <color theme="1"/>
        <rFont val="Calibri"/>
        <family val="2"/>
        <scheme val="minor"/>
      </rPr>
      <t xml:space="preserve"> de la Hoja de Cálculo proporcionada.</t>
    </r>
  </si>
  <si>
    <r>
      <t>No evaluable. Sólo se presenta</t>
    </r>
    <r>
      <rPr>
        <sz val="11"/>
        <color rgb="FFFF0000"/>
        <rFont val="Calibri"/>
        <family val="2"/>
        <scheme val="minor"/>
      </rPr>
      <t xml:space="preserve"> un producto</t>
    </r>
    <r>
      <rPr>
        <sz val="11"/>
        <color theme="1"/>
        <rFont val="Calibri"/>
        <family val="2"/>
        <scheme val="minor"/>
      </rPr>
      <t xml:space="preserve"> cuando era preceptivo un mínimo de dos. </t>
    </r>
  </si>
  <si>
    <r>
      <t>No evaluable.No presenta datos completos para los</t>
    </r>
    <r>
      <rPr>
        <sz val="11"/>
        <color rgb="FFFF0000"/>
        <rFont val="Calibri"/>
        <family val="2"/>
        <scheme val="minor"/>
      </rPr>
      <t xml:space="preserve"> cinco periodos solicitados.</t>
    </r>
  </si>
  <si>
    <r>
      <t xml:space="preserve">Aunque la idea es buena, el plan presentado </t>
    </r>
    <r>
      <rPr>
        <sz val="11"/>
        <color rgb="FFFF0000"/>
        <rFont val="Calibri"/>
        <family val="2"/>
        <scheme val="minor"/>
      </rPr>
      <t>carece de información necesaria para ser calificada</t>
    </r>
    <r>
      <rPr>
        <sz val="11"/>
        <color theme="1"/>
        <rFont val="Calibri"/>
        <family val="2"/>
        <scheme val="minor"/>
      </rPr>
      <t xml:space="preserve">, al menos sería necesario que los diferentes cuadros coincidieran. Por otro lado, no se entiende porqué producir con lo que supone en inversión: inmovilizado, materiales, maquinaria... y el riesgo que ello conlleva, cuando podrían ser producido </t>
    </r>
    <r>
      <rPr>
        <sz val="11"/>
        <color rgb="FFFF0000"/>
        <rFont val="Calibri"/>
        <family val="2"/>
        <scheme val="minor"/>
      </rPr>
      <t>externamente</t>
    </r>
    <r>
      <rPr>
        <sz val="11"/>
        <color theme="1"/>
        <rFont val="Calibri"/>
        <family val="2"/>
        <scheme val="minor"/>
      </rPr>
      <t>.</t>
    </r>
  </si>
  <si>
    <r>
      <t xml:space="preserve">Los </t>
    </r>
    <r>
      <rPr>
        <sz val="11"/>
        <color rgb="FFFF0000"/>
        <rFont val="Calibri"/>
        <family val="2"/>
        <scheme val="minor"/>
      </rPr>
      <t>gastos de apertura y localización inicial de las instalaciones no son demasiado realistas</t>
    </r>
    <r>
      <rPr>
        <sz val="11"/>
        <rFont val="Calibri"/>
        <family val="2"/>
        <scheme val="minor"/>
      </rPr>
      <t>, no incluyen edificios, maquinaria... salvo que sean alquilados, en cuyo caso tendría repercusión en los siguientes años. Por otra parte el análisis del beneficio es bastante tosco.</t>
    </r>
  </si>
  <si>
    <r>
      <t xml:space="preserve">Creo que la </t>
    </r>
    <r>
      <rPr>
        <sz val="11"/>
        <color rgb="FFFF0000"/>
        <rFont val="Calibri"/>
        <family val="2"/>
        <scheme val="minor"/>
      </rPr>
      <t>idea es buena</t>
    </r>
    <r>
      <rPr>
        <sz val="11"/>
        <rFont val="Calibri"/>
        <family val="2"/>
        <scheme val="minor"/>
      </rPr>
      <t xml:space="preserve">, aunque deberían tomarse en consideración, al menos por lo que </t>
    </r>
    <r>
      <rPr>
        <sz val="11"/>
        <color rgb="FFFF0000"/>
        <rFont val="Calibri"/>
        <family val="2"/>
        <scheme val="minor"/>
      </rPr>
      <t>respecta a los costes</t>
    </r>
    <r>
      <rPr>
        <sz val="11"/>
        <rFont val="Calibri"/>
        <family val="2"/>
        <scheme val="minor"/>
      </rPr>
      <t>: Montar una fábrica, empleados y equiparla, cuando inicialmente cabría la posibilidad de adquirirlos por parte de empresas especializadas.</t>
    </r>
  </si>
  <si>
    <r>
      <t xml:space="preserve">El texto una vez escrito se </t>
    </r>
    <r>
      <rPr>
        <sz val="11"/>
        <color rgb="FFFF0000"/>
        <rFont val="Calibri"/>
        <family val="2"/>
        <scheme val="minor"/>
      </rPr>
      <t>debe repasar</t>
    </r>
    <r>
      <rPr>
        <sz val="11"/>
        <color theme="1"/>
        <rFont val="Calibri"/>
        <family val="2"/>
        <scheme val="minor"/>
      </rPr>
      <t xml:space="preserve"> una y otra vez para no cometer errores ni repeticiones innecesarias. </t>
    </r>
    <r>
      <rPr>
        <sz val="11"/>
        <color rgb="FFFF0000"/>
        <rFont val="Calibri"/>
        <family val="2"/>
        <scheme val="minor"/>
      </rPr>
      <t>Por otro lado el mismo carece de estimaciones</t>
    </r>
    <r>
      <rPr>
        <sz val="11"/>
        <color theme="1"/>
        <rFont val="Calibri"/>
        <family val="2"/>
        <scheme val="minor"/>
      </rPr>
      <t xml:space="preserve">, se explican detalladamente aquello que deberían de contener pero no se definen cuantitativamente y ni por asomo se calculan. Ello es aplicable a todos los efectos, </t>
    </r>
    <r>
      <rPr>
        <sz val="11"/>
        <color rgb="FFFF0000"/>
        <rFont val="Calibri"/>
        <family val="2"/>
        <scheme val="minor"/>
      </rPr>
      <t>empezando por los costes de terrenos, edificaciones, material y terminando por el relativo al personal.</t>
    </r>
  </si>
  <si>
    <t>Desconozco cómo calificarlo aunque estoy seguro de un plan de empresa no se trata.</t>
  </si>
  <si>
    <t>P</t>
  </si>
  <si>
    <t>Deben de leer detenidamente las Normas de calificación, redacción y estilo, en ellas se dan pautas que aplicar al trabajo que presentan</t>
  </si>
  <si>
    <r>
      <t>Aunque el esfuerzo en la presentación es alto, deben de</t>
    </r>
    <r>
      <rPr>
        <sz val="11"/>
        <color rgb="FFFF0000"/>
        <rFont val="Calibri"/>
        <family val="2"/>
        <scheme val="minor"/>
      </rPr>
      <t xml:space="preserve"> cuidar la homogeneidad </t>
    </r>
    <r>
      <rPr>
        <sz val="11"/>
        <color theme="1"/>
        <rFont val="Calibri"/>
        <family val="2"/>
        <scheme val="minor"/>
      </rPr>
      <t>en la misma, un mismo estilo para todo el documento ayudaría mucho. </t>
    </r>
  </si>
  <si>
    <r>
      <t>Las cifras</t>
    </r>
    <r>
      <rPr>
        <sz val="11"/>
        <color rgb="FFFF0000"/>
        <rFont val="Calibri"/>
        <family val="2"/>
        <scheme val="minor"/>
      </rPr>
      <t xml:space="preserve"> expresadas en unidades monetarias,</t>
    </r>
    <r>
      <rPr>
        <sz val="11"/>
        <color theme="1"/>
        <rFont val="Calibri"/>
        <family val="2"/>
        <scheme val="minor"/>
      </rPr>
      <t xml:space="preserve"> como es el caso de nuestra moneda, el euro (€). Se deben de realizar con separación entre miles mediante (.) seguida de separación de los decimales, céntimos, tras una (,) y con dos dígitos, seguidos de la unidad monetaria correspondiente o símbolo que la identifique, en formato semejante a: #.###,##.-€</t>
    </r>
  </si>
  <si>
    <t>Deberían haber contactado conmigo para cambiar de actividad, a la expuesta en la idea de negocio.</t>
  </si>
  <si>
    <t>Deben de conocer y reconocer aquellas partidas en las que incluyen algún importe, si desconocen lo que son, no las rellenen o al menos busque lo que significan en un diccionario o el Google.</t>
  </si>
  <si>
    <t>INICIO</t>
  </si>
  <si>
    <t>S</t>
  </si>
  <si>
    <r>
      <t xml:space="preserve">Deben de poner año de comienzo, </t>
    </r>
    <r>
      <rPr>
        <sz val="11"/>
        <color rgb="FFFF0000"/>
        <rFont val="Calibri"/>
        <family val="2"/>
        <scheme val="minor"/>
      </rPr>
      <t>sólo el año (por ejemplo, el 2022 o 2023)</t>
    </r>
    <r>
      <rPr>
        <sz val="11"/>
        <color theme="1"/>
        <rFont val="Calibri"/>
        <family val="2"/>
        <scheme val="minor"/>
      </rPr>
      <t xml:space="preserve"> de la actividad, para que éste se traslade a los cuadros y sus respectivos periodos anuales.</t>
    </r>
  </si>
  <si>
    <t>R</t>
  </si>
  <si>
    <r>
      <t xml:space="preserve">Deben de poner </t>
    </r>
    <r>
      <rPr>
        <sz val="11"/>
        <color rgb="FFFF0000"/>
        <rFont val="Calibri"/>
        <family val="2"/>
        <scheme val="minor"/>
      </rPr>
      <t>nombre al fichero</t>
    </r>
    <r>
      <rPr>
        <sz val="11"/>
        <color theme="1"/>
        <rFont val="Calibri"/>
        <family val="2"/>
        <scheme val="minor"/>
      </rPr>
      <t xml:space="preserve"> de la Hoja de Cálculo Excel, según se ha solicitado.</t>
    </r>
  </si>
  <si>
    <r>
      <t xml:space="preserve">Deben de poner </t>
    </r>
    <r>
      <rPr>
        <sz val="11"/>
        <color rgb="FFFF0000"/>
        <rFont val="Calibri"/>
        <family val="2"/>
        <scheme val="minor"/>
      </rPr>
      <t>nombre a la empresa</t>
    </r>
    <r>
      <rPr>
        <sz val="11"/>
        <color theme="1"/>
        <rFont val="Calibri"/>
        <family val="2"/>
        <scheme val="minor"/>
      </rPr>
      <t xml:space="preserve"> para que éste se traslade a los cuadros que se presentan en las diferentes pestañas de la Hoja de Cálculo.</t>
    </r>
  </si>
  <si>
    <r>
      <t xml:space="preserve">Deben de poner </t>
    </r>
    <r>
      <rPr>
        <sz val="11"/>
        <color rgb="FFFF0000"/>
        <rFont val="Calibri"/>
        <family val="2"/>
        <scheme val="minor"/>
      </rPr>
      <t>año de comienzo de la actividad</t>
    </r>
    <r>
      <rPr>
        <sz val="11"/>
        <color theme="1"/>
        <rFont val="Calibri"/>
        <family val="2"/>
        <scheme val="minor"/>
      </rPr>
      <t xml:space="preserve"> para que éste se traslade a los cuadros y sus respectivos periodos anuales, que se presentan en las diferentes pestañas de la Hoja de Cálculo.</t>
    </r>
  </si>
  <si>
    <r>
      <t xml:space="preserve">Deben de poner </t>
    </r>
    <r>
      <rPr>
        <sz val="11"/>
        <color rgb="FFFF0000"/>
        <rFont val="Calibri"/>
        <family val="2"/>
        <scheme val="minor"/>
      </rPr>
      <t xml:space="preserve">nombre al grupo, </t>
    </r>
    <r>
      <rPr>
        <sz val="11"/>
        <rFont val="Calibri"/>
        <family val="2"/>
        <scheme val="minor"/>
      </rPr>
      <t>para poder ser i</t>
    </r>
    <r>
      <rPr>
        <sz val="11"/>
        <color theme="1"/>
        <rFont val="Calibri"/>
        <family val="2"/>
        <scheme val="minor"/>
      </rPr>
      <t>dentificados.</t>
    </r>
  </si>
  <si>
    <r>
      <t xml:space="preserve">Deben de poner correctamente el </t>
    </r>
    <r>
      <rPr>
        <sz val="11"/>
        <color rgb="FFFF0000"/>
        <rFont val="Calibri"/>
        <family val="2"/>
        <scheme val="minor"/>
      </rPr>
      <t>nombre del grupo,</t>
    </r>
    <r>
      <rPr>
        <sz val="11"/>
        <color theme="1"/>
        <rFont val="Calibri"/>
        <family val="2"/>
        <scheme val="minor"/>
      </rPr>
      <t xml:space="preserve"> según se ha solicitado.</t>
    </r>
  </si>
  <si>
    <r>
      <t>Deben de identificar a</t>
    </r>
    <r>
      <rPr>
        <sz val="11"/>
        <color rgb="FFFF0000"/>
        <rFont val="Calibri"/>
        <family val="2"/>
        <scheme val="minor"/>
      </rPr>
      <t xml:space="preserve"> todos los participantes,</t>
    </r>
    <r>
      <rPr>
        <sz val="11"/>
        <rFont val="Calibri"/>
        <family val="2"/>
        <scheme val="minor"/>
      </rPr>
      <t xml:space="preserve"> el primero de ellos en la posición de líder.</t>
    </r>
  </si>
  <si>
    <r>
      <t>Deben de identificar a</t>
    </r>
    <r>
      <rPr>
        <sz val="11"/>
        <color rgb="FFFF0000"/>
        <rFont val="Calibri"/>
        <family val="2"/>
        <scheme val="minor"/>
      </rPr>
      <t xml:space="preserve"> todos los participantes,</t>
    </r>
    <r>
      <rPr>
        <sz val="11"/>
        <rFont val="Calibri"/>
        <family val="2"/>
        <scheme val="minor"/>
      </rPr>
      <t xml:space="preserve"> correctamente, tal y como se le ha solicitado:</t>
    </r>
    <r>
      <rPr>
        <sz val="11"/>
        <color rgb="FFFF0000"/>
        <rFont val="Calibri"/>
        <family val="2"/>
        <scheme val="minor"/>
      </rPr>
      <t xml:space="preserve"> Apellidos, Nombre.</t>
    </r>
  </si>
  <si>
    <r>
      <t xml:space="preserve">Deben especificar tanto la </t>
    </r>
    <r>
      <rPr>
        <sz val="11"/>
        <color rgb="FFFF0000"/>
        <rFont val="Calibri"/>
        <family val="2"/>
        <scheme val="minor"/>
      </rPr>
      <t>actividad</t>
    </r>
    <r>
      <rPr>
        <sz val="11"/>
        <color theme="1"/>
        <rFont val="Calibri"/>
        <family val="2"/>
        <scheme val="minor"/>
      </rPr>
      <t xml:space="preserve"> realizada como los </t>
    </r>
    <r>
      <rPr>
        <sz val="11"/>
        <color rgb="FFFF0000"/>
        <rFont val="Calibri"/>
        <family val="2"/>
        <scheme val="minor"/>
      </rPr>
      <t>productos</t>
    </r>
    <r>
      <rPr>
        <sz val="11"/>
        <color theme="1"/>
        <rFont val="Calibri"/>
        <family val="2"/>
        <scheme val="minor"/>
      </rPr>
      <t xml:space="preserve"> constitutivos de la misma.</t>
    </r>
  </si>
  <si>
    <r>
      <t xml:space="preserve">Deben especificar mejor la </t>
    </r>
    <r>
      <rPr>
        <sz val="11"/>
        <color rgb="FFFF0000"/>
        <rFont val="Calibri"/>
        <family val="2"/>
        <scheme val="minor"/>
      </rPr>
      <t>actividad</t>
    </r>
    <r>
      <rPr>
        <sz val="11"/>
        <color theme="1"/>
        <rFont val="Calibri"/>
        <family val="2"/>
        <scheme val="minor"/>
      </rPr>
      <t xml:space="preserve"> de su empresa.</t>
    </r>
  </si>
  <si>
    <r>
      <t xml:space="preserve">Deben especificar mejor los diferentes </t>
    </r>
    <r>
      <rPr>
        <sz val="11"/>
        <color rgb="FFFF0000"/>
        <rFont val="Calibri"/>
        <family val="2"/>
        <scheme val="minor"/>
      </rPr>
      <t>productos</t>
    </r>
    <r>
      <rPr>
        <sz val="11"/>
        <color theme="1"/>
        <rFont val="Calibri"/>
        <family val="2"/>
        <scheme val="minor"/>
      </rPr>
      <t xml:space="preserve"> de su empresa.</t>
    </r>
  </si>
  <si>
    <t>ESTABLECIMIENTO</t>
  </si>
  <si>
    <r>
      <rPr>
        <sz val="11"/>
        <color rgb="FFFF0000"/>
        <rFont val="Calibri"/>
        <family val="2"/>
        <scheme val="minor"/>
      </rPr>
      <t>NO asignan el número de años</t>
    </r>
    <r>
      <rPr>
        <sz val="11"/>
        <color theme="1"/>
        <rFont val="Calibri"/>
        <family val="2"/>
        <scheme val="minor"/>
      </rPr>
      <t xml:space="preserve"> en que se distribuyen los </t>
    </r>
    <r>
      <rPr>
        <sz val="11"/>
        <color rgb="FFFF0000"/>
        <rFont val="Calibri"/>
        <family val="2"/>
        <scheme val="minor"/>
      </rPr>
      <t>gastos de establecimiento</t>
    </r>
    <r>
      <rPr>
        <sz val="11"/>
        <color theme="1"/>
        <rFont val="Calibri"/>
        <family val="2"/>
        <scheme val="minor"/>
      </rPr>
      <t>.</t>
    </r>
  </si>
  <si>
    <r>
      <rPr>
        <sz val="11"/>
        <color rgb="FFFF0000"/>
        <rFont val="Calibri"/>
        <family val="2"/>
        <scheme val="minor"/>
      </rPr>
      <t>Gastos de formalización de préstamos,</t>
    </r>
    <r>
      <rPr>
        <sz val="11"/>
        <color theme="1"/>
        <rFont val="Calibri"/>
        <family val="2"/>
        <scheme val="minor"/>
      </rPr>
      <t xml:space="preserve"> se corresponde con un importe total, no con un porcentaje y este a distribuir o no entre varios años. También, Deben </t>
    </r>
    <r>
      <rPr>
        <sz val="11"/>
        <color rgb="FFFF0000"/>
        <rFont val="Calibri"/>
        <family val="2"/>
        <scheme val="minor"/>
      </rPr>
      <t xml:space="preserve">indicar los meses de que consta el préstamo </t>
    </r>
    <r>
      <rPr>
        <sz val="11"/>
        <color theme="1"/>
        <rFont val="Calibri"/>
        <family val="2"/>
        <scheme val="minor"/>
      </rPr>
      <t>y su carencia si la hubiera, también en meses.</t>
    </r>
  </si>
  <si>
    <t>COHERENCIA</t>
  </si>
  <si>
    <t>Existen diferencias entre los importes de las diferentes tablas presentadas en las diferentes pestañas, deberá corregir los mismos de manera que haya coherencia entre ellos. El no hacerlos implica que los resultados serían poco o nada concluyentes.</t>
  </si>
  <si>
    <r>
      <t xml:space="preserve">El importe destinado a </t>
    </r>
    <r>
      <rPr>
        <sz val="11"/>
        <color rgb="FFFF0000"/>
        <rFont val="Calibri"/>
        <family val="2"/>
        <scheme val="minor"/>
      </rPr>
      <t xml:space="preserve">XXXX </t>
    </r>
    <r>
      <rPr>
        <sz val="11"/>
        <color theme="1"/>
        <rFont val="Calibri"/>
        <family val="2"/>
        <scheme val="minor"/>
      </rPr>
      <t xml:space="preserve">me </t>
    </r>
    <r>
      <rPr>
        <sz val="11"/>
        <color rgb="FFFF0000"/>
        <rFont val="Calibri"/>
        <family val="2"/>
        <scheme val="minor"/>
      </rPr>
      <t>parece excesivo,</t>
    </r>
    <r>
      <rPr>
        <sz val="11"/>
        <rFont val="Calibri"/>
        <family val="2"/>
        <scheme val="minor"/>
      </rPr>
      <t xml:space="preserve"> para su actividad y se debe justificar en el Plan de empresa…</t>
    </r>
  </si>
  <si>
    <t>No ha asignado ningún valor para préstamos, recuerde lo explicado sobre el apalancamiento financiero.</t>
  </si>
  <si>
    <t>Los valores asignados al préstamo no están bien definidos.</t>
  </si>
  <si>
    <t>s</t>
  </si>
  <si>
    <t>PREVISIÓN</t>
  </si>
  <si>
    <r>
      <t xml:space="preserve">La </t>
    </r>
    <r>
      <rPr>
        <sz val="11"/>
        <color rgb="FFFF0000"/>
        <rFont val="Calibri"/>
        <family val="2"/>
        <scheme val="minor"/>
      </rPr>
      <t xml:space="preserve">subvención que proponen </t>
    </r>
    <r>
      <rPr>
        <sz val="11"/>
        <color theme="1"/>
        <rFont val="Calibri"/>
        <family val="2"/>
        <scheme val="minor"/>
      </rPr>
      <t>deberá venir justificada en el texto del Plan de empresa.</t>
    </r>
  </si>
  <si>
    <r>
      <t xml:space="preserve">El </t>
    </r>
    <r>
      <rPr>
        <sz val="11"/>
        <color rgb="FFFF0000"/>
        <rFont val="Calibri"/>
        <family val="2"/>
        <scheme val="minor"/>
      </rPr>
      <t>capital comprometido por los socios</t>
    </r>
    <r>
      <rPr>
        <sz val="11"/>
        <color theme="1"/>
        <rFont val="Calibri"/>
        <family val="2"/>
        <scheme val="minor"/>
      </rPr>
      <t xml:space="preserve"> inicialmente se amplía año a año… difícil salvo que realice </t>
    </r>
    <r>
      <rPr>
        <sz val="11"/>
        <color rgb="FFFF0000"/>
        <rFont val="Calibri"/>
        <family val="2"/>
        <scheme val="minor"/>
      </rPr>
      <t>ampliaciones de capital</t>
    </r>
    <r>
      <rPr>
        <sz val="11"/>
        <color theme="1"/>
        <rFont val="Calibri"/>
        <family val="2"/>
        <scheme val="minor"/>
      </rPr>
      <t>, cosa poco probable, a lo que hay que añadir que ha superado el autorizado por la actividad y establecido en la pestaña INICIO, Repase también los porcentajes de financiación ajena y compruebe que esta no supera el 70% de la financiación total</t>
    </r>
  </si>
  <si>
    <r>
      <t xml:space="preserve">Las </t>
    </r>
    <r>
      <rPr>
        <sz val="11"/>
        <color rgb="FFFF0000"/>
        <rFont val="Calibri"/>
        <family val="2"/>
        <scheme val="minor"/>
      </rPr>
      <t>subvenciones</t>
    </r>
    <r>
      <rPr>
        <sz val="11"/>
        <color theme="1"/>
        <rFont val="Calibri"/>
        <family val="2"/>
        <scheme val="minor"/>
      </rPr>
      <t xml:space="preserve"> se presentan de forma repetida año a año… algo difícil salvo que realice </t>
    </r>
    <r>
      <rPr>
        <sz val="11"/>
        <color rgb="FFFF0000"/>
        <rFont val="Calibri"/>
        <family val="2"/>
        <scheme val="minor"/>
      </rPr>
      <t>ampliaciones recursos fijos</t>
    </r>
    <r>
      <rPr>
        <sz val="11"/>
        <color theme="1"/>
        <rFont val="Calibri"/>
        <family val="2"/>
        <scheme val="minor"/>
      </rPr>
      <t>, cosa poco probable, a lo que hay que añadir que ha superado el autorizado por la actividad y establecido en la pestaña INICIO, Repase también los porcentajes de financiación ajena y compruebe que esta no supera el 70% de la financiación total</t>
    </r>
  </si>
  <si>
    <r>
      <t xml:space="preserve">Existen </t>
    </r>
    <r>
      <rPr>
        <sz val="11"/>
        <color rgb="FFFF0000"/>
        <rFont val="Calibri"/>
        <family val="2"/>
        <scheme val="minor"/>
      </rPr>
      <t>diferencias poco significativas</t>
    </r>
    <r>
      <rPr>
        <sz val="11"/>
        <color theme="1"/>
        <rFont val="Calibri"/>
        <family val="2"/>
        <scheme val="minor"/>
      </rPr>
      <t xml:space="preserve">, de céntimos a corregir. Ésta se debe a la cifra aportada en el apartado de </t>
    </r>
    <r>
      <rPr>
        <sz val="11"/>
        <color rgb="FFFF0000"/>
        <rFont val="Calibri"/>
        <family val="2"/>
        <scheme val="minor"/>
      </rPr>
      <t>primas de seguro, publicidad y promociones.</t>
    </r>
    <r>
      <rPr>
        <sz val="11"/>
        <color theme="1"/>
        <rFont val="Calibri"/>
        <family val="2"/>
        <scheme val="minor"/>
      </rPr>
      <t>.. del CUADRO DE RESULTADOS PREVISIONALES, Deberá repasar igualmente el resto de periodos, para que no existan estas diferencias en el resto de años que se presentan.</t>
    </r>
  </si>
  <si>
    <r>
      <t>Los</t>
    </r>
    <r>
      <rPr>
        <sz val="11"/>
        <color rgb="FFFF0000"/>
        <rFont val="Calibri"/>
        <family val="2"/>
        <scheme val="minor"/>
      </rPr>
      <t xml:space="preserve"> Gastos de primer establecimiento no</t>
    </r>
    <r>
      <rPr>
        <sz val="11"/>
        <color theme="1"/>
        <rFont val="Calibri"/>
        <family val="2"/>
        <scheme val="minor"/>
      </rPr>
      <t xml:space="preserve"> suelen distribuirse en varios años, sólo el relativo a Gatos de formalización del préstamo sería aconsejable hacerlo. Además, en el apartado siguiente sería donde deben de </t>
    </r>
    <r>
      <rPr>
        <sz val="11"/>
        <color rgb="FFFF0000"/>
        <rFont val="Calibri"/>
        <family val="2"/>
        <scheme val="minor"/>
      </rPr>
      <t>distribuir las inversiones</t>
    </r>
    <r>
      <rPr>
        <sz val="11"/>
        <color theme="1"/>
        <rFont val="Calibri"/>
        <family val="2"/>
        <scheme val="minor"/>
      </rPr>
      <t xml:space="preserve"> a realizar en los años que las deseen amortizar, en el cuadro de TOTAL INVERSIONES.</t>
    </r>
  </si>
  <si>
    <t>UMBRAL</t>
  </si>
  <si>
    <r>
      <rPr>
        <sz val="11"/>
        <color rgb="FFFF0000"/>
        <rFont val="Calibri"/>
        <family val="2"/>
        <scheme val="minor"/>
      </rPr>
      <t>Sólo han puesto un producto o servicio</t>
    </r>
    <r>
      <rPr>
        <sz val="11"/>
        <color theme="1"/>
        <rFont val="Calibri"/>
        <family val="2"/>
        <scheme val="minor"/>
      </rPr>
      <t>, el plan tal como se indicó debería tener al menos dos productos o servicios</t>
    </r>
  </si>
  <si>
    <r>
      <t xml:space="preserve">Hay </t>
    </r>
    <r>
      <rPr>
        <sz val="11"/>
        <color rgb="FFFF0000"/>
        <rFont val="Calibri"/>
        <family val="2"/>
        <scheme val="minor"/>
      </rPr>
      <t>unidades pendientes de asignar del producto P1 en el año 1º</t>
    </r>
    <r>
      <rPr>
        <sz val="11"/>
        <color theme="1"/>
        <rFont val="Calibri"/>
        <family val="2"/>
        <scheme val="minor"/>
      </rPr>
      <t>, generando discrepancias entre las unidades que se han asignado en el cuadro por años y el desagregado por meses.</t>
    </r>
  </si>
  <si>
    <r>
      <t>Hay</t>
    </r>
    <r>
      <rPr>
        <sz val="11"/>
        <color rgb="FFFF0000"/>
        <rFont val="Calibri"/>
        <family val="2"/>
        <scheme val="minor"/>
      </rPr>
      <t xml:space="preserve"> unidades pendientes de asignar del producto P1 en el año 2º</t>
    </r>
    <r>
      <rPr>
        <sz val="11"/>
        <color theme="1"/>
        <rFont val="Calibri"/>
        <family val="2"/>
        <scheme val="minor"/>
      </rPr>
      <t>, generando discrepancias entre las unidades que se han asignado en el cuadro por años y el desagregado por meses.</t>
    </r>
  </si>
  <si>
    <r>
      <t xml:space="preserve">Hay </t>
    </r>
    <r>
      <rPr>
        <sz val="11"/>
        <color rgb="FFFF0000"/>
        <rFont val="Calibri"/>
        <family val="2"/>
        <scheme val="minor"/>
      </rPr>
      <t>unidades pendientes de asignar del producto P1 en el año 3º</t>
    </r>
    <r>
      <rPr>
        <sz val="11"/>
        <color theme="1"/>
        <rFont val="Calibri"/>
        <family val="2"/>
        <scheme val="minor"/>
      </rPr>
      <t>, generando discrepancias entre las unidades que se han asignado en el cuadro por años y el desagregado por meses.</t>
    </r>
  </si>
  <si>
    <t>Deberían haberla descargado nuevamente ya que los resultados han quedado comprometidos. Para la próxima entrega descarguela nuevamente y utilicen sólo los programas oficiales proporcionados por la UCO.</t>
  </si>
  <si>
    <t>VALORACIÓN ENTREGA PLAN DE EMPRESA</t>
  </si>
  <si>
    <t>VALORACIÓN EXPOSICION</t>
  </si>
  <si>
    <t xml:space="preserve">GRUPO DE TRABAJO </t>
  </si>
  <si>
    <t>VALORACIÓN HOJA DE CÁLCULO</t>
  </si>
  <si>
    <t>CONCEPTO</t>
  </si>
  <si>
    <t>PONDERACIÓN</t>
  </si>
  <si>
    <t>PUNTUACIÓN</t>
  </si>
  <si>
    <t>INCIDENCIAS</t>
  </si>
  <si>
    <t>Presentación</t>
  </si>
  <si>
    <t>Inicio</t>
  </si>
  <si>
    <t>Expresión Visual</t>
  </si>
  <si>
    <t>Establecimiento</t>
  </si>
  <si>
    <t>Comunicación</t>
  </si>
  <si>
    <t>Previsión</t>
  </si>
  <si>
    <t>Ritmo</t>
  </si>
  <si>
    <t>Umbral</t>
  </si>
  <si>
    <t>Contenido</t>
  </si>
  <si>
    <t>Coherencia</t>
  </si>
  <si>
    <t>Comprensión</t>
  </si>
  <si>
    <t>Viabilidad</t>
  </si>
  <si>
    <t>Tiempo</t>
  </si>
  <si>
    <t>GLOBAL</t>
  </si>
  <si>
    <t>Finalización</t>
  </si>
  <si>
    <t>VALORACIÓN PLAN DE EMPRESA</t>
  </si>
  <si>
    <t>Modificar</t>
  </si>
  <si>
    <t xml:space="preserve">Expresión </t>
  </si>
  <si>
    <t>No realista</t>
  </si>
  <si>
    <t>Argumentación</t>
  </si>
  <si>
    <t>Poco realista</t>
  </si>
  <si>
    <t>Análisis</t>
  </si>
  <si>
    <t>Incoherencia</t>
  </si>
  <si>
    <t>Mal</t>
  </si>
  <si>
    <t>Homogeneidad</t>
  </si>
  <si>
    <t>Bien</t>
  </si>
  <si>
    <t>Gráficos y Tablas</t>
  </si>
  <si>
    <t>Coincidencia</t>
  </si>
  <si>
    <t>Nº de años para Distribuir</t>
  </si>
  <si>
    <t>Importe Anual</t>
  </si>
  <si>
    <t>GASTOS DE ESTABLECIMIENTO</t>
  </si>
  <si>
    <t xml:space="preserve">Permisos </t>
  </si>
  <si>
    <t>Licencias de actividades</t>
  </si>
  <si>
    <t xml:space="preserve">Altas IAE y SS de autónomos, etc… </t>
  </si>
  <si>
    <t>Gastos de formalización de préstamos</t>
  </si>
  <si>
    <t>Gastos de asesoramiento, consultoría, gestoría</t>
  </si>
  <si>
    <t>Gastos de primera promoción de la empresa</t>
  </si>
  <si>
    <t>Otros gastos constitutivos o de puesta en marcha</t>
  </si>
  <si>
    <t>INFORMACION ADICIONAL</t>
  </si>
  <si>
    <t>Importe Préstamo Inicial</t>
  </si>
  <si>
    <t>Tipo de interés anual</t>
  </si>
  <si>
    <t xml:space="preserve">Periodos de Carencia en meses. </t>
  </si>
  <si>
    <t xml:space="preserve">Periodos de NO Carencia en meses. </t>
  </si>
  <si>
    <t>AMORTIZACIÓN</t>
  </si>
  <si>
    <t xml:space="preserve"> TOTAL INVERSIONES</t>
  </si>
  <si>
    <t>INMOVILIZADO MATERIAL</t>
  </si>
  <si>
    <t>Terrenos y/o locales</t>
  </si>
  <si>
    <r>
      <t xml:space="preserve">Acondicionamiento de locales o terrenos </t>
    </r>
    <r>
      <rPr>
        <i/>
        <sz val="11"/>
        <color theme="1"/>
        <rFont val="Calibri"/>
        <family val="2"/>
        <scheme val="minor"/>
      </rPr>
      <t>(obras, pintura, cerramientos, etc.)</t>
    </r>
  </si>
  <si>
    <r>
      <t xml:space="preserve">Existencias iniciales </t>
    </r>
    <r>
      <rPr>
        <i/>
        <sz val="11"/>
        <color theme="1"/>
        <rFont val="Calibri"/>
        <family val="2"/>
        <scheme val="minor"/>
      </rPr>
      <t>(primeras compras de productos)</t>
    </r>
  </si>
  <si>
    <t>Maquinaria, herramientas, utillaje</t>
  </si>
  <si>
    <t>Mobiliario</t>
  </si>
  <si>
    <t>Medios de transporte</t>
  </si>
  <si>
    <r>
      <t>Equipos informáticos</t>
    </r>
    <r>
      <rPr>
        <i/>
        <sz val="11"/>
        <color theme="1"/>
        <rFont val="Calibri"/>
        <family val="2"/>
        <scheme val="minor"/>
      </rPr>
      <t xml:space="preserve"> (ordenadores, periféricos)</t>
    </r>
  </si>
  <si>
    <r>
      <t xml:space="preserve">Instalaciones </t>
    </r>
    <r>
      <rPr>
        <i/>
        <sz val="11"/>
        <color theme="1"/>
        <rFont val="Calibri"/>
        <family val="2"/>
        <scheme val="minor"/>
      </rPr>
      <t>(electricidad, gas, fontanería…etc.)</t>
    </r>
  </si>
  <si>
    <t>INMOVILIZADO INMATERIAL</t>
  </si>
  <si>
    <t>Adquisición de patentes</t>
  </si>
  <si>
    <t>Licencias</t>
  </si>
  <si>
    <t>Canon de entrada en red de franquicias</t>
  </si>
  <si>
    <t xml:space="preserve">Precio de traspaso de negocios, fondo de comercio. </t>
  </si>
  <si>
    <t>IMOVILIZADO FINANCIERO</t>
  </si>
  <si>
    <t xml:space="preserve">Fianza de determinadas mensualidades de alquiler </t>
  </si>
  <si>
    <t>Cauciones o depósitos de otro tipo</t>
  </si>
  <si>
    <t>CUENTA DE RESULTADOS PREVISIONALES por años</t>
  </si>
  <si>
    <t>CONCEPTO/ PERIODO</t>
  </si>
  <si>
    <t>A. INGRESOS</t>
  </si>
  <si>
    <t xml:space="preserve">Subvenciones  </t>
  </si>
  <si>
    <t>Capital</t>
  </si>
  <si>
    <t>Otros ingresos Financieros</t>
  </si>
  <si>
    <t>B. GASTOS</t>
  </si>
  <si>
    <t xml:space="preserve">Compras </t>
  </si>
  <si>
    <t xml:space="preserve">·         Materias primas  </t>
  </si>
  <si>
    <t xml:space="preserve">·         Productos semielaborados  </t>
  </si>
  <si>
    <t xml:space="preserve">·         Otros Suministros de Carácter Variables  </t>
  </si>
  <si>
    <t xml:space="preserve">Servicios  </t>
  </si>
  <si>
    <t xml:space="preserve">·         Gastos en I+D </t>
  </si>
  <si>
    <t xml:space="preserve">·         Arrendamientos    </t>
  </si>
  <si>
    <t xml:space="preserve">·         Reparaciones y conservación  </t>
  </si>
  <si>
    <t>·         Servicios profesionales independientes.</t>
  </si>
  <si>
    <t xml:space="preserve">·         Transportes   </t>
  </si>
  <si>
    <t xml:space="preserve">·         Primas de seguros  </t>
  </si>
  <si>
    <t xml:space="preserve">·         Servicios bancarios    </t>
  </si>
  <si>
    <t xml:space="preserve">·         Publicidad, promoción.   </t>
  </si>
  <si>
    <t xml:space="preserve">·         Otros suministros de Carácter Fijo  </t>
  </si>
  <si>
    <t xml:space="preserve">Otros servicios  </t>
  </si>
  <si>
    <t xml:space="preserve">Tributos  </t>
  </si>
  <si>
    <t>·         Impuestos, contribuciones y tasas</t>
  </si>
  <si>
    <t>·         Ajustes IVA  (Repercutido-Soportado)</t>
  </si>
  <si>
    <t xml:space="preserve">Gastos de personal    </t>
  </si>
  <si>
    <t xml:space="preserve">·         Sueldos   </t>
  </si>
  <si>
    <t xml:space="preserve">·         Seguridad Social a cargo de la empresa  </t>
  </si>
  <si>
    <t>Gastos financieros</t>
  </si>
  <si>
    <t xml:space="preserve">·         Amortización de Deudas </t>
  </si>
  <si>
    <t xml:space="preserve">·         Intereses  </t>
  </si>
  <si>
    <t xml:space="preserve">·         Descuentos sobre ventas    </t>
  </si>
  <si>
    <t xml:space="preserve">Dotaciones para amortización   </t>
  </si>
  <si>
    <t xml:space="preserve">·         De gastos de establecimiento    </t>
  </si>
  <si>
    <t xml:space="preserve">·         Del inmovilizado </t>
  </si>
  <si>
    <t xml:space="preserve">C. Margen bruto </t>
  </si>
  <si>
    <r>
      <t>D. Resultados antes de impuestos (A-B</t>
    </r>
    <r>
      <rPr>
        <b/>
        <sz val="12"/>
        <color theme="0"/>
        <rFont val="Calibri"/>
        <family val="2"/>
      </rPr>
      <t>±</t>
    </r>
    <r>
      <rPr>
        <b/>
        <sz val="12.1"/>
        <color theme="0"/>
        <rFont val="Calibri"/>
        <family val="2"/>
      </rPr>
      <t>F</t>
    </r>
    <r>
      <rPr>
        <b/>
        <vertAlign val="subscript"/>
        <sz val="12.1"/>
        <color theme="0"/>
        <rFont val="Calibri"/>
        <family val="2"/>
      </rPr>
      <t>(n-1)</t>
    </r>
    <r>
      <rPr>
        <b/>
        <sz val="12"/>
        <color theme="0"/>
        <rFont val="Calibri"/>
        <family val="2"/>
        <scheme val="minor"/>
      </rPr>
      <t xml:space="preserve">) </t>
    </r>
  </si>
  <si>
    <t xml:space="preserve">E. Impuesto de Sociedades </t>
  </si>
  <si>
    <t xml:space="preserve">F. Resultado (D-E) </t>
  </si>
  <si>
    <t xml:space="preserve">        CUENTA DE TESORERIA PREVISIONAL correspondiente al año</t>
  </si>
  <si>
    <t>TOTAL</t>
  </si>
  <si>
    <t xml:space="preserve">Enero </t>
  </si>
  <si>
    <t>Febrero</t>
  </si>
  <si>
    <t>Marzo</t>
  </si>
  <si>
    <t>Abril</t>
  </si>
  <si>
    <t>Mayo</t>
  </si>
  <si>
    <t>Junio</t>
  </si>
  <si>
    <t>Julio</t>
  </si>
  <si>
    <t>Agosto</t>
  </si>
  <si>
    <t>Septiembre</t>
  </si>
  <si>
    <t>Octubre</t>
  </si>
  <si>
    <t>Noviembre</t>
  </si>
  <si>
    <t>Diciembre</t>
  </si>
  <si>
    <t xml:space="preserve">A. Saldo Inicial </t>
  </si>
  <si>
    <t xml:space="preserve">Cobros de Ventas </t>
  </si>
  <si>
    <t xml:space="preserve">Subvenciones </t>
  </si>
  <si>
    <t xml:space="preserve">Capital </t>
  </si>
  <si>
    <t>Ingresos Financieros</t>
  </si>
  <si>
    <t xml:space="preserve">Desinversiones </t>
  </si>
  <si>
    <t xml:space="preserve">Otros Cobros </t>
  </si>
  <si>
    <t xml:space="preserve">B. Total Cobros </t>
  </si>
  <si>
    <t>Pagos por compras</t>
  </si>
  <si>
    <t xml:space="preserve">Proveedores de I+D  </t>
  </si>
  <si>
    <t xml:space="preserve">Arrendamientos  </t>
  </si>
  <si>
    <t xml:space="preserve">Reparaciones y conservación </t>
  </si>
  <si>
    <t xml:space="preserve">Servicios profesionales </t>
  </si>
  <si>
    <t xml:space="preserve">Transportes  </t>
  </si>
  <si>
    <t xml:space="preserve">Primas de seguros  </t>
  </si>
  <si>
    <t xml:space="preserve">Servicios bancarios  </t>
  </si>
  <si>
    <t xml:space="preserve">Publicidad y promoción </t>
  </si>
  <si>
    <t>Suministros  (sin diferenciar)</t>
  </si>
  <si>
    <t xml:space="preserve">Salarios  </t>
  </si>
  <si>
    <t xml:space="preserve">Seguridad Social  </t>
  </si>
  <si>
    <t xml:space="preserve">Financieros  </t>
  </si>
  <si>
    <t xml:space="preserve">Inversiones  </t>
  </si>
  <si>
    <t xml:space="preserve">Otros Pagos </t>
  </si>
  <si>
    <t xml:space="preserve">C. Total Pagos </t>
  </si>
  <si>
    <t xml:space="preserve">D. Saldo Neto ( B-C) </t>
  </si>
  <si>
    <t xml:space="preserve">E. Saldo Final (A+D) </t>
  </si>
  <si>
    <t>RESULTADO POR PRODUCTOS</t>
  </si>
  <si>
    <t>T0TAL</t>
  </si>
  <si>
    <t>DISTRIBUCIÓN POR PRODUCTOS</t>
  </si>
  <si>
    <t xml:space="preserve"> P1 </t>
  </si>
  <si>
    <t xml:space="preserve"> P2</t>
  </si>
  <si>
    <t xml:space="preserve"> P3</t>
  </si>
  <si>
    <t xml:space="preserve"> P4</t>
  </si>
  <si>
    <t xml:space="preserve"> P5</t>
  </si>
  <si>
    <t>Unidades</t>
  </si>
  <si>
    <t xml:space="preserve"> % sobre TOTAL unidades</t>
  </si>
  <si>
    <t>Coste Fijo anuales</t>
  </si>
  <si>
    <t>Costes Variables Unitarios por productos</t>
  </si>
  <si>
    <t>Precios de Venta Unitarios por productos</t>
  </si>
  <si>
    <t>Punto muerto en unidades</t>
  </si>
  <si>
    <t>Punto muerto en importe</t>
  </si>
  <si>
    <t>TOTAL PRODUCCIÓN</t>
  </si>
  <si>
    <t xml:space="preserve">Costes Totales </t>
  </si>
  <si>
    <t>Ingresos Totales</t>
  </si>
  <si>
    <t>Bº. ó (- Pérdidas) TOTALES</t>
  </si>
  <si>
    <t>RESULTADOS POR PRODUCTOS Y MESES del año</t>
  </si>
  <si>
    <t>Unidades pendientes de asignar</t>
  </si>
  <si>
    <t>DISTRIBUCIÓN POR PRODUCTOS Y MESES del año</t>
  </si>
  <si>
    <t>Unidades previstas vender de P1</t>
  </si>
  <si>
    <t>Unidades previstas vender de P2</t>
  </si>
  <si>
    <t>Unidades previstas vender de P3</t>
  </si>
  <si>
    <t>Unidades previstas vender de P4</t>
  </si>
  <si>
    <t>Unidades previstas vender de P5</t>
  </si>
  <si>
    <t>TOTAL UNIDADES  PREVISTAS VENDER</t>
  </si>
  <si>
    <t>Costes fijos asignados a P1</t>
  </si>
  <si>
    <t>Costes fijos asignados a P2</t>
  </si>
  <si>
    <t>Costes fijos asignados a P3</t>
  </si>
  <si>
    <t>Costes fijos asignados a P4</t>
  </si>
  <si>
    <t>Costes fijos asignados a P5</t>
  </si>
  <si>
    <t>TOTAL COSTES FIJOS</t>
  </si>
  <si>
    <t>Costes variables  asignados a P1</t>
  </si>
  <si>
    <t>Costes variables  asignados a P2</t>
  </si>
  <si>
    <t>Costes variables  asignados a P3</t>
  </si>
  <si>
    <t>Costes variables  asignados a P4</t>
  </si>
  <si>
    <t>Costes variables  asignados a P5</t>
  </si>
  <si>
    <t xml:space="preserve">TOTAL COSTES VARIABLES </t>
  </si>
  <si>
    <t>Costes Totales asignados a P1</t>
  </si>
  <si>
    <t>Costes Totales asignados a P2</t>
  </si>
  <si>
    <t>Costes Totales asignados a P3</t>
  </si>
  <si>
    <t>Costes Totales asignados a P4</t>
  </si>
  <si>
    <t>Costes Totales asignados a P5</t>
  </si>
  <si>
    <t>TOTAL COSTES TOTALES</t>
  </si>
  <si>
    <t>Precio Medio</t>
  </si>
  <si>
    <t>Precio Unitario P1</t>
  </si>
  <si>
    <t>Precio Unitario P2</t>
  </si>
  <si>
    <t>Precio Unitario P3</t>
  </si>
  <si>
    <t>Precio Unitario P4</t>
  </si>
  <si>
    <t>Precio Unitario P5</t>
  </si>
  <si>
    <t>INGRESOS TOTALES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</si>
</sst>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0.00\ &quot;€&quot;"/>
    <numFmt numFmtId="8" formatCode="#,##0.00\ &quot;€&quot;;[Red]\-#,##0.00\ &quot;€&quot;"/>
    <numFmt numFmtId="44" formatCode="_-* #,##0.00\ &quot;€&quot;_-;\-* #,##0.00\ &quot;€&quot;_-;_-* &quot;-&quot;??\ &quot;€&quot;_-;_-@_-"/>
    <numFmt numFmtId="43" formatCode="_-* #,##0.00_-;\-* #,##0.00_-;_-* &quot;-&quot;??_-;_-@_-"/>
    <numFmt numFmtId="164" formatCode="#,##0.00\ &quot;€&quot;"/>
    <numFmt numFmtId="165" formatCode="_-* #,##0_-;\-* #,##0_-;_-* &quot;-&quot;??_-;_-@_-"/>
    <numFmt numFmtId="166" formatCode="_-* #,##0.000_-;\-* #,##0.000_-;_-* &quot;-&quot;??_-;_-@_-"/>
    <numFmt numFmtId="167" formatCode="#,##0_ ;[Red]\-#,##0\ "/>
  </numFmts>
  <fonts count="57">
    <font>
      <sz val="11"/>
      <color theme="1"/>
      <name val="Calibri"/>
      <family val="2"/>
      <scheme val="minor"/>
    </font>
    <font>
      <sz val="11"/>
      <color theme="1"/>
      <name val="Calibri"/>
      <family val="2"/>
      <scheme val="minor"/>
    </font>
    <font>
      <b/>
      <sz val="12"/>
      <color theme="0"/>
      <name val="Calibri"/>
      <family val="2"/>
      <scheme val="minor"/>
    </font>
    <font>
      <b/>
      <sz val="14"/>
      <color theme="0"/>
      <name val="Calibri"/>
      <family val="2"/>
      <scheme val="minor"/>
    </font>
    <font>
      <sz val="8"/>
      <name val="Calibri"/>
      <family val="2"/>
      <scheme val="minor"/>
    </font>
    <font>
      <b/>
      <sz val="16"/>
      <color theme="0"/>
      <name val="Calibri"/>
      <family val="2"/>
      <scheme val="minor"/>
    </font>
    <font>
      <b/>
      <sz val="11"/>
      <color theme="1"/>
      <name val="Calibri"/>
      <family val="2"/>
      <scheme val="minor"/>
    </font>
    <font>
      <b/>
      <sz val="12"/>
      <color theme="3"/>
      <name val="Calibri"/>
      <family val="2"/>
      <scheme val="minor"/>
    </font>
    <font>
      <sz val="12"/>
      <color theme="0"/>
      <name val="Calibri"/>
      <family val="2"/>
      <scheme val="minor"/>
    </font>
    <font>
      <sz val="12"/>
      <color theme="1"/>
      <name val="Calibri"/>
      <family val="2"/>
      <scheme val="minor"/>
    </font>
    <font>
      <b/>
      <sz val="12"/>
      <color theme="1"/>
      <name val="Calibri"/>
      <family val="2"/>
      <scheme val="minor"/>
    </font>
    <font>
      <b/>
      <sz val="12"/>
      <name val="Calibri"/>
      <family val="2"/>
      <scheme val="minor"/>
    </font>
    <font>
      <sz val="11"/>
      <color theme="3"/>
      <name val="Calibri"/>
      <family val="2"/>
      <scheme val="minor"/>
    </font>
    <font>
      <b/>
      <sz val="14"/>
      <color theme="3"/>
      <name val="Calibri"/>
      <family val="2"/>
      <scheme val="minor"/>
    </font>
    <font>
      <sz val="12"/>
      <color indexed="10"/>
      <name val="Arial"/>
      <family val="2"/>
    </font>
    <font>
      <sz val="12"/>
      <color indexed="10"/>
      <name val="Tahoma"/>
      <family val="2"/>
    </font>
    <font>
      <sz val="16"/>
      <color theme="1"/>
      <name val="Calibri"/>
      <family val="2"/>
      <scheme val="minor"/>
    </font>
    <font>
      <sz val="18"/>
      <color theme="1"/>
      <name val="Arial"/>
      <family val="2"/>
    </font>
    <font>
      <b/>
      <sz val="18"/>
      <color theme="0"/>
      <name val="Calibri"/>
      <family val="2"/>
      <scheme val="minor"/>
    </font>
    <font>
      <b/>
      <sz val="16"/>
      <color theme="1"/>
      <name val="Calibri"/>
      <family val="2"/>
      <scheme val="minor"/>
    </font>
    <font>
      <b/>
      <sz val="18"/>
      <color theme="1"/>
      <name val="Arial"/>
      <family val="2"/>
    </font>
    <font>
      <b/>
      <sz val="11"/>
      <color theme="0"/>
      <name val="Calibri"/>
      <family val="2"/>
      <scheme val="minor"/>
    </font>
    <font>
      <sz val="9"/>
      <color indexed="81"/>
      <name val="Tahoma"/>
      <family val="2"/>
    </font>
    <font>
      <sz val="11"/>
      <color indexed="10"/>
      <name val="Arial"/>
      <family val="2"/>
    </font>
    <font>
      <i/>
      <sz val="11"/>
      <color theme="1"/>
      <name val="Calibri"/>
      <family val="2"/>
      <scheme val="minor"/>
    </font>
    <font>
      <b/>
      <sz val="11"/>
      <color theme="3"/>
      <name val="Calibri"/>
      <family val="2"/>
      <scheme val="minor"/>
    </font>
    <font>
      <i/>
      <sz val="14"/>
      <color theme="0"/>
      <name val="Calibri"/>
      <family val="2"/>
      <scheme val="minor"/>
    </font>
    <font>
      <b/>
      <i/>
      <u/>
      <sz val="11"/>
      <color rgb="FFFF0000"/>
      <name val="Calibri"/>
      <family val="2"/>
      <scheme val="minor"/>
    </font>
    <font>
      <b/>
      <sz val="11"/>
      <color rgb="FFFF0000"/>
      <name val="Calibri"/>
      <family val="2"/>
      <scheme val="minor"/>
    </font>
    <font>
      <b/>
      <sz val="9"/>
      <color indexed="10"/>
      <name val="Tahoma"/>
      <family val="2"/>
    </font>
    <font>
      <sz val="9"/>
      <color indexed="10"/>
      <name val="Tahoma"/>
      <family val="2"/>
    </font>
    <font>
      <b/>
      <sz val="11"/>
      <name val="Calibri"/>
      <family val="2"/>
      <scheme val="minor"/>
    </font>
    <font>
      <b/>
      <i/>
      <sz val="14"/>
      <color theme="3"/>
      <name val="Calibri"/>
      <family val="2"/>
      <scheme val="minor"/>
    </font>
    <font>
      <sz val="11"/>
      <color rgb="FFFF0000"/>
      <name val="Calibri"/>
      <family val="2"/>
      <scheme val="minor"/>
    </font>
    <font>
      <sz val="11"/>
      <name val="Calibri"/>
      <family val="2"/>
      <scheme val="minor"/>
    </font>
    <font>
      <sz val="18"/>
      <color theme="0"/>
      <name val="Calibri"/>
      <family val="2"/>
      <scheme val="minor"/>
    </font>
    <font>
      <sz val="20"/>
      <color theme="0"/>
      <name val="Calibri"/>
      <family val="2"/>
      <scheme val="minor"/>
    </font>
    <font>
      <sz val="24"/>
      <color theme="0"/>
      <name val="Calibri"/>
      <family val="2"/>
      <scheme val="minor"/>
    </font>
    <font>
      <b/>
      <sz val="12"/>
      <color indexed="81"/>
      <name val="Arial"/>
      <family val="2"/>
    </font>
    <font>
      <sz val="9"/>
      <color rgb="FFFF0000"/>
      <name val="Calibri"/>
      <family val="2"/>
      <scheme val="minor"/>
    </font>
    <font>
      <i/>
      <sz val="18"/>
      <color theme="0"/>
      <name val="Calibri"/>
      <family val="2"/>
      <scheme val="minor"/>
    </font>
    <font>
      <sz val="12"/>
      <color rgb="FFFF0000"/>
      <name val="Calibri"/>
      <family val="2"/>
      <scheme val="minor"/>
    </font>
    <font>
      <i/>
      <sz val="12"/>
      <color indexed="10"/>
      <name val="Arial"/>
      <family val="2"/>
    </font>
    <font>
      <b/>
      <sz val="9"/>
      <color theme="0"/>
      <name val="Calibri"/>
      <family val="2"/>
      <scheme val="minor"/>
    </font>
    <font>
      <b/>
      <sz val="9"/>
      <color indexed="81"/>
      <name val="Tahoma"/>
      <family val="2"/>
    </font>
    <font>
      <sz val="11"/>
      <color indexed="10"/>
      <name val="Calibri"/>
      <family val="2"/>
      <scheme val="minor"/>
    </font>
    <font>
      <b/>
      <sz val="11"/>
      <color indexed="10"/>
      <name val="Calibri"/>
      <family val="2"/>
      <scheme val="minor"/>
    </font>
    <font>
      <b/>
      <sz val="12"/>
      <color indexed="10"/>
      <name val="Arial"/>
      <family val="2"/>
    </font>
    <font>
      <b/>
      <u/>
      <sz val="11"/>
      <color rgb="FFFF0000"/>
      <name val="Calibri"/>
      <family val="2"/>
      <scheme val="minor"/>
    </font>
    <font>
      <b/>
      <i/>
      <u/>
      <sz val="12"/>
      <color rgb="FFFF0000"/>
      <name val="Calibri"/>
      <family val="2"/>
      <scheme val="minor"/>
    </font>
    <font>
      <b/>
      <i/>
      <sz val="11"/>
      <color rgb="FFFF0000"/>
      <name val="Calibri"/>
      <family val="2"/>
      <scheme val="minor"/>
    </font>
    <font>
      <b/>
      <sz val="12"/>
      <color theme="0"/>
      <name val="Calibri"/>
      <family val="2"/>
    </font>
    <font>
      <b/>
      <sz val="12.1"/>
      <color theme="0"/>
      <name val="Calibri"/>
      <family val="2"/>
    </font>
    <font>
      <b/>
      <vertAlign val="subscript"/>
      <sz val="12.1"/>
      <color theme="0"/>
      <name val="Calibri"/>
      <family val="2"/>
    </font>
    <font>
      <sz val="11"/>
      <color theme="0"/>
      <name val="Calibri"/>
      <family val="2"/>
      <scheme val="minor"/>
    </font>
    <font>
      <sz val="11"/>
      <color rgb="FF9C0006"/>
      <name val="Calibri"/>
      <family val="2"/>
      <scheme val="minor"/>
    </font>
    <font>
      <sz val="11"/>
      <color rgb="FF0F0F0F"/>
      <name val="Segoe UI"/>
      <family val="2"/>
    </font>
  </fonts>
  <fills count="15">
    <fill>
      <patternFill patternType="none"/>
    </fill>
    <fill>
      <patternFill patternType="gray125"/>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rgb="FFFFC7CE"/>
      </patternFill>
    </fill>
    <fill>
      <patternFill patternType="solid">
        <fgColor rgb="FFFF0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s>
  <borders count="8">
    <border>
      <left/>
      <right/>
      <top/>
      <bottom/>
      <diagonal/>
    </border>
    <border>
      <left/>
      <right/>
      <top style="thin">
        <color theme="0"/>
      </top>
      <bottom/>
      <diagonal/>
    </border>
    <border>
      <left/>
      <right/>
      <top/>
      <bottom style="thin">
        <color theme="0"/>
      </bottom>
      <diagonal/>
    </border>
    <border>
      <left/>
      <right/>
      <top/>
      <bottom style="thin">
        <color indexed="64"/>
      </bottom>
      <diagonal/>
    </border>
    <border>
      <left/>
      <right style="thin">
        <color theme="0"/>
      </right>
      <top style="thin">
        <color theme="0"/>
      </top>
      <bottom/>
      <diagonal/>
    </border>
    <border>
      <left/>
      <right style="thin">
        <color theme="0"/>
      </right>
      <top/>
      <bottom/>
      <diagonal/>
    </border>
    <border>
      <left style="thin">
        <color theme="0"/>
      </left>
      <right/>
      <top style="thin">
        <color theme="0"/>
      </top>
      <bottom/>
      <diagonal/>
    </border>
    <border>
      <left style="thin">
        <color theme="0"/>
      </left>
      <right/>
      <top/>
      <bottom/>
      <diagonal/>
    </border>
  </borders>
  <cellStyleXfs count="6">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5" fillId="10" borderId="0" applyNumberFormat="0" applyBorder="0" applyAlignment="0" applyProtection="0"/>
    <xf numFmtId="0" fontId="19" fillId="7" borderId="0" applyFont="0" applyFill="0" applyBorder="0" applyAlignment="0">
      <alignment horizontal="center" vertical="center" wrapText="1"/>
      <protection locked="0"/>
    </xf>
  </cellStyleXfs>
  <cellXfs count="237">
    <xf numFmtId="0" fontId="0" fillId="0" borderId="0" xfId="0"/>
    <xf numFmtId="0" fontId="9" fillId="0" borderId="0" xfId="0" applyFont="1"/>
    <xf numFmtId="0" fontId="0" fillId="0" borderId="0" xfId="0" applyAlignment="1">
      <alignment horizontal="center" vertical="center"/>
    </xf>
    <xf numFmtId="0" fontId="0" fillId="0" borderId="0" xfId="0" applyAlignment="1">
      <alignment horizontal="right"/>
    </xf>
    <xf numFmtId="8" fontId="0" fillId="0" borderId="0" xfId="1" applyNumberFormat="1" applyFont="1" applyAlignment="1" applyProtection="1">
      <alignment vertical="center"/>
      <protection hidden="1"/>
    </xf>
    <xf numFmtId="0" fontId="0" fillId="0" borderId="0" xfId="0" applyProtection="1">
      <protection hidden="1"/>
    </xf>
    <xf numFmtId="0" fontId="6" fillId="0" borderId="0" xfId="0" applyFont="1" applyAlignment="1" applyProtection="1">
      <alignment horizontal="right"/>
      <protection hidden="1"/>
    </xf>
    <xf numFmtId="0" fontId="28" fillId="0" borderId="0" xfId="0" applyFont="1" applyAlignment="1" applyProtection="1">
      <alignment horizontal="center"/>
      <protection hidden="1"/>
    </xf>
    <xf numFmtId="22" fontId="28" fillId="0" borderId="0" xfId="0" applyNumberFormat="1" applyFont="1" applyProtection="1">
      <protection hidden="1"/>
    </xf>
    <xf numFmtId="0" fontId="31" fillId="0" borderId="0" xfId="0" applyFont="1" applyAlignment="1" applyProtection="1">
      <alignment horizontal="right"/>
      <protection hidden="1"/>
    </xf>
    <xf numFmtId="0" fontId="21" fillId="2" borderId="0" xfId="0" applyFont="1" applyFill="1" applyAlignment="1" applyProtection="1">
      <alignment horizontal="right"/>
      <protection hidden="1"/>
    </xf>
    <xf numFmtId="8" fontId="0" fillId="0" borderId="0" xfId="1" applyNumberFormat="1" applyFont="1" applyBorder="1" applyAlignment="1" applyProtection="1">
      <alignment vertical="center"/>
      <protection hidden="1"/>
    </xf>
    <xf numFmtId="8" fontId="0" fillId="0" borderId="0" xfId="0" applyNumberFormat="1" applyProtection="1">
      <protection hidden="1"/>
    </xf>
    <xf numFmtId="10" fontId="0" fillId="0" borderId="0" xfId="0" applyNumberFormat="1" applyProtection="1">
      <protection hidden="1"/>
    </xf>
    <xf numFmtId="0" fontId="21" fillId="2" borderId="0" xfId="0" applyFont="1" applyFill="1" applyAlignment="1" applyProtection="1">
      <alignment horizontal="center"/>
      <protection hidden="1"/>
    </xf>
    <xf numFmtId="0" fontId="21" fillId="2" borderId="3" xfId="0" applyFont="1" applyFill="1" applyBorder="1" applyAlignment="1" applyProtection="1">
      <alignment horizontal="center"/>
      <protection hidden="1"/>
    </xf>
    <xf numFmtId="167" fontId="0" fillId="0" borderId="0" xfId="0" applyNumberFormat="1" applyProtection="1">
      <protection hidden="1"/>
    </xf>
    <xf numFmtId="44" fontId="0" fillId="0" borderId="0" xfId="1" applyFont="1" applyProtection="1">
      <protection hidden="1"/>
    </xf>
    <xf numFmtId="0" fontId="0" fillId="0" borderId="0" xfId="0" applyAlignment="1" applyProtection="1">
      <alignment horizontal="right"/>
      <protection hidden="1"/>
    </xf>
    <xf numFmtId="0" fontId="6" fillId="0" borderId="0" xfId="0" applyFont="1" applyAlignment="1" applyProtection="1">
      <alignment horizontal="center"/>
      <protection hidden="1"/>
    </xf>
    <xf numFmtId="167" fontId="0" fillId="0" borderId="0" xfId="0" applyNumberFormat="1" applyAlignment="1" applyProtection="1">
      <alignment horizontal="center"/>
      <protection hidden="1"/>
    </xf>
    <xf numFmtId="44" fontId="6" fillId="0" borderId="0" xfId="1" applyFont="1" applyProtection="1">
      <protection hidden="1"/>
    </xf>
    <xf numFmtId="9" fontId="6" fillId="0" borderId="0" xfId="0" applyNumberFormat="1" applyFont="1" applyAlignment="1" applyProtection="1">
      <alignment horizontal="center"/>
      <protection hidden="1"/>
    </xf>
    <xf numFmtId="8" fontId="0" fillId="0" borderId="0" xfId="1" applyNumberFormat="1" applyFont="1" applyProtection="1">
      <protection hidden="1"/>
    </xf>
    <xf numFmtId="8" fontId="6" fillId="0" borderId="0" xfId="0" applyNumberFormat="1" applyFont="1" applyAlignment="1" applyProtection="1">
      <alignment horizontal="center"/>
      <protection hidden="1"/>
    </xf>
    <xf numFmtId="8" fontId="28" fillId="0" borderId="0" xfId="0" applyNumberFormat="1" applyFont="1" applyAlignment="1" applyProtection="1">
      <alignment horizontal="center"/>
      <protection hidden="1"/>
    </xf>
    <xf numFmtId="0" fontId="0" fillId="6" borderId="0" xfId="0" applyFill="1" applyProtection="1">
      <protection hidden="1"/>
    </xf>
    <xf numFmtId="0" fontId="5" fillId="2" borderId="0" xfId="0" applyFont="1" applyFill="1" applyAlignment="1" applyProtection="1">
      <alignment vertical="center"/>
      <protection hidden="1"/>
    </xf>
    <xf numFmtId="0" fontId="5" fillId="2" borderId="0" xfId="0" applyFont="1" applyFill="1" applyAlignment="1" applyProtection="1">
      <alignment horizontal="right" vertical="center"/>
      <protection hidden="1"/>
    </xf>
    <xf numFmtId="0" fontId="16" fillId="0" borderId="0" xfId="0" applyFont="1" applyProtection="1">
      <protection hidden="1"/>
    </xf>
    <xf numFmtId="0" fontId="18" fillId="2" borderId="0" xfId="0" applyFont="1" applyFill="1" applyAlignment="1" applyProtection="1">
      <alignment horizontal="center" vertical="center"/>
      <protection hidden="1"/>
    </xf>
    <xf numFmtId="0" fontId="5" fillId="2" borderId="0" xfId="0" applyFont="1" applyFill="1" applyAlignment="1" applyProtection="1">
      <alignment horizontal="center" vertical="top" wrapText="1"/>
      <protection hidden="1"/>
    </xf>
    <xf numFmtId="0" fontId="5" fillId="2" borderId="0" xfId="0" applyFont="1" applyFill="1" applyAlignment="1" applyProtection="1">
      <alignment horizontal="center" vertical="center"/>
      <protection hidden="1"/>
    </xf>
    <xf numFmtId="0" fontId="3" fillId="2" borderId="0" xfId="0" applyFont="1" applyFill="1" applyAlignment="1" applyProtection="1">
      <alignment horizontal="center" vertical="center" wrapText="1"/>
      <protection hidden="1"/>
    </xf>
    <xf numFmtId="0" fontId="3" fillId="2" borderId="0" xfId="0" applyFont="1" applyFill="1" applyAlignment="1" applyProtection="1">
      <alignment horizontal="center" vertical="center"/>
      <protection hidden="1"/>
    </xf>
    <xf numFmtId="164" fontId="3" fillId="2" borderId="0" xfId="1" applyNumberFormat="1" applyFont="1" applyFill="1" applyAlignment="1" applyProtection="1">
      <alignment horizontal="right" vertical="center"/>
      <protection hidden="1"/>
    </xf>
    <xf numFmtId="44" fontId="6" fillId="4" borderId="0" xfId="1" applyFont="1" applyFill="1" applyProtection="1">
      <protection hidden="1"/>
    </xf>
    <xf numFmtId="0" fontId="0" fillId="3" borderId="0" xfId="0" applyFill="1" applyProtection="1">
      <protection hidden="1"/>
    </xf>
    <xf numFmtId="164" fontId="0" fillId="0" borderId="0" xfId="0" applyNumberFormat="1" applyProtection="1">
      <protection hidden="1"/>
    </xf>
    <xf numFmtId="0" fontId="3" fillId="2" borderId="0" xfId="0" applyFont="1" applyFill="1" applyAlignment="1" applyProtection="1">
      <alignment vertical="center"/>
      <protection hidden="1"/>
    </xf>
    <xf numFmtId="0" fontId="2" fillId="2" borderId="1" xfId="0" applyFont="1" applyFill="1" applyBorder="1" applyAlignment="1" applyProtection="1">
      <alignment horizontal="center" vertical="center"/>
      <protection hidden="1"/>
    </xf>
    <xf numFmtId="164" fontId="2" fillId="2" borderId="1" xfId="1" applyNumberFormat="1" applyFont="1" applyFill="1" applyBorder="1" applyAlignment="1" applyProtection="1">
      <alignment horizontal="right" vertical="center"/>
      <protection hidden="1"/>
    </xf>
    <xf numFmtId="164" fontId="2" fillId="2" borderId="0" xfId="1" applyNumberFormat="1" applyFont="1" applyFill="1" applyAlignment="1" applyProtection="1">
      <alignment horizontal="right" vertical="center"/>
      <protection hidden="1"/>
    </xf>
    <xf numFmtId="0" fontId="0" fillId="3" borderId="0" xfId="0" applyFill="1" applyAlignment="1" applyProtection="1">
      <alignment wrapText="1"/>
      <protection hidden="1"/>
    </xf>
    <xf numFmtId="0" fontId="2" fillId="2" borderId="0" xfId="0" applyFont="1" applyFill="1" applyAlignment="1" applyProtection="1">
      <alignment horizontal="center" vertical="center"/>
      <protection hidden="1"/>
    </xf>
    <xf numFmtId="0" fontId="7" fillId="4" borderId="0" xfId="0" applyFont="1" applyFill="1" applyProtection="1">
      <protection hidden="1"/>
    </xf>
    <xf numFmtId="164" fontId="7" fillId="4" borderId="0" xfId="1" applyNumberFormat="1" applyFont="1" applyFill="1" applyProtection="1">
      <protection hidden="1"/>
    </xf>
    <xf numFmtId="0" fontId="0" fillId="0" borderId="0" xfId="0" applyAlignment="1" applyProtection="1">
      <alignment wrapText="1"/>
      <protection hidden="1"/>
    </xf>
    <xf numFmtId="0" fontId="0" fillId="3" borderId="0" xfId="0" applyFill="1" applyAlignment="1" applyProtection="1">
      <alignment vertical="top" wrapText="1"/>
      <protection hidden="1"/>
    </xf>
    <xf numFmtId="0" fontId="5" fillId="2" borderId="0" xfId="0" applyFont="1" applyFill="1" applyAlignment="1" applyProtection="1">
      <alignment horizontal="left" vertical="center"/>
      <protection hidden="1"/>
    </xf>
    <xf numFmtId="164" fontId="3" fillId="2" borderId="0" xfId="1" applyNumberFormat="1" applyFont="1" applyFill="1" applyAlignment="1" applyProtection="1">
      <alignment vertical="center"/>
      <protection hidden="1"/>
    </xf>
    <xf numFmtId="164" fontId="8" fillId="2" borderId="0" xfId="1" applyNumberFormat="1" applyFont="1" applyFill="1" applyAlignment="1" applyProtection="1">
      <alignment horizontal="right" vertical="center"/>
      <protection hidden="1"/>
    </xf>
    <xf numFmtId="44" fontId="25" fillId="4" borderId="0" xfId="1" applyFont="1" applyFill="1" applyProtection="1">
      <protection hidden="1"/>
    </xf>
    <xf numFmtId="165" fontId="7" fillId="5" borderId="0" xfId="2" applyNumberFormat="1" applyFont="1" applyFill="1" applyAlignment="1" applyProtection="1">
      <alignment horizontal="center" vertical="center"/>
      <protection hidden="1"/>
    </xf>
    <xf numFmtId="166" fontId="0" fillId="0" borderId="0" xfId="0" applyNumberFormat="1" applyProtection="1">
      <protection hidden="1"/>
    </xf>
    <xf numFmtId="10" fontId="7" fillId="5" borderId="0" xfId="2" applyNumberFormat="1" applyFont="1" applyFill="1" applyAlignment="1" applyProtection="1">
      <alignment horizontal="center" vertical="center"/>
      <protection hidden="1"/>
    </xf>
    <xf numFmtId="10" fontId="9" fillId="4" borderId="0" xfId="2" applyNumberFormat="1" applyFont="1" applyFill="1" applyAlignment="1" applyProtection="1">
      <alignment horizontal="center" vertical="center"/>
      <protection hidden="1"/>
    </xf>
    <xf numFmtId="0" fontId="12" fillId="3" borderId="0" xfId="0" applyFont="1" applyFill="1" applyAlignment="1" applyProtection="1">
      <alignment horizontal="left" vertical="center"/>
      <protection hidden="1"/>
    </xf>
    <xf numFmtId="44" fontId="1" fillId="4" borderId="0" xfId="1" applyFont="1" applyFill="1" applyAlignment="1" applyProtection="1">
      <alignment horizontal="center" vertical="center"/>
      <protection hidden="1"/>
    </xf>
    <xf numFmtId="0" fontId="7" fillId="3" borderId="0" xfId="0" applyFont="1" applyFill="1" applyProtection="1">
      <protection hidden="1"/>
    </xf>
    <xf numFmtId="165" fontId="9" fillId="0" borderId="0" xfId="0" applyNumberFormat="1" applyFont="1" applyProtection="1">
      <protection hidden="1"/>
    </xf>
    <xf numFmtId="0" fontId="9" fillId="0" borderId="0" xfId="0" applyFont="1" applyProtection="1">
      <protection hidden="1"/>
    </xf>
    <xf numFmtId="0" fontId="7" fillId="0" borderId="0" xfId="0" applyFont="1" applyAlignment="1" applyProtection="1">
      <alignment horizontal="left"/>
      <protection hidden="1"/>
    </xf>
    <xf numFmtId="44" fontId="13" fillId="5" borderId="0" xfId="1" applyFont="1" applyFill="1" applyAlignment="1" applyProtection="1">
      <alignment horizontal="center" vertical="center"/>
      <protection hidden="1"/>
    </xf>
    <xf numFmtId="44" fontId="11" fillId="4" borderId="0" xfId="1" applyFont="1" applyFill="1" applyAlignment="1" applyProtection="1">
      <alignment horizontal="center" vertical="center"/>
      <protection hidden="1"/>
    </xf>
    <xf numFmtId="44" fontId="9" fillId="0" borderId="0" xfId="0" applyNumberFormat="1" applyFont="1" applyProtection="1">
      <protection hidden="1"/>
    </xf>
    <xf numFmtId="0" fontId="7" fillId="0" borderId="0" xfId="0" applyFont="1" applyAlignment="1" applyProtection="1">
      <alignment horizontal="right"/>
      <protection hidden="1"/>
    </xf>
    <xf numFmtId="0" fontId="7" fillId="3" borderId="0" xfId="0" applyFont="1" applyFill="1" applyAlignment="1" applyProtection="1">
      <alignment horizontal="right"/>
      <protection hidden="1"/>
    </xf>
    <xf numFmtId="0" fontId="13" fillId="3" borderId="0" xfId="0" applyFont="1" applyFill="1" applyAlignment="1" applyProtection="1">
      <alignment horizontal="right"/>
      <protection hidden="1"/>
    </xf>
    <xf numFmtId="0" fontId="5" fillId="2" borderId="0" xfId="0" applyFont="1" applyFill="1" applyAlignment="1" applyProtection="1">
      <alignment horizontal="center" vertical="center" wrapText="1"/>
      <protection hidden="1"/>
    </xf>
    <xf numFmtId="0" fontId="0" fillId="0" borderId="0" xfId="0" applyAlignment="1" applyProtection="1">
      <alignment horizontal="right" vertical="center"/>
      <protection hidden="1"/>
    </xf>
    <xf numFmtId="165" fontId="10" fillId="5" borderId="0" xfId="0" applyNumberFormat="1" applyFont="1" applyFill="1" applyAlignment="1" applyProtection="1">
      <alignment horizontal="center" vertical="center"/>
      <protection hidden="1"/>
    </xf>
    <xf numFmtId="167" fontId="10" fillId="5" borderId="0" xfId="2" applyNumberFormat="1" applyFont="1" applyFill="1" applyAlignment="1" applyProtection="1">
      <alignment horizontal="center" vertical="center"/>
      <protection hidden="1"/>
    </xf>
    <xf numFmtId="0" fontId="0" fillId="3" borderId="0" xfId="0" applyFill="1" applyAlignment="1" applyProtection="1">
      <alignment horizontal="right" vertical="center"/>
      <protection hidden="1"/>
    </xf>
    <xf numFmtId="165" fontId="3" fillId="2" borderId="0" xfId="2" applyNumberFormat="1" applyFont="1" applyFill="1" applyAlignment="1" applyProtection="1">
      <alignment horizontal="center" vertical="center"/>
      <protection hidden="1"/>
    </xf>
    <xf numFmtId="165" fontId="2" fillId="2" borderId="0" xfId="2" applyNumberFormat="1" applyFont="1" applyFill="1" applyAlignment="1" applyProtection="1">
      <alignment horizontal="right" vertical="center"/>
      <protection hidden="1"/>
    </xf>
    <xf numFmtId="44" fontId="10" fillId="5" borderId="0" xfId="1" applyFont="1" applyFill="1" applyAlignment="1" applyProtection="1">
      <alignment horizontal="center" vertical="center"/>
      <protection hidden="1"/>
    </xf>
    <xf numFmtId="44" fontId="0" fillId="4" borderId="0" xfId="1" applyFont="1" applyFill="1" applyAlignment="1" applyProtection="1">
      <alignment horizontal="center" vertical="center"/>
      <protection hidden="1"/>
    </xf>
    <xf numFmtId="44" fontId="3" fillId="2" borderId="0" xfId="1" applyFont="1" applyFill="1" applyAlignment="1" applyProtection="1">
      <alignment horizontal="center" vertical="center"/>
      <protection hidden="1"/>
    </xf>
    <xf numFmtId="44" fontId="2" fillId="2" borderId="0" xfId="1" applyFont="1" applyFill="1" applyAlignment="1" applyProtection="1">
      <alignment horizontal="right" vertical="center"/>
      <protection hidden="1"/>
    </xf>
    <xf numFmtId="44" fontId="6" fillId="5" borderId="0" xfId="1" applyFont="1" applyFill="1" applyProtection="1">
      <protection hidden="1"/>
    </xf>
    <xf numFmtId="0" fontId="0" fillId="0" borderId="0" xfId="0" applyAlignment="1" applyProtection="1">
      <alignment horizontal="left" vertical="center"/>
      <protection hidden="1"/>
    </xf>
    <xf numFmtId="0" fontId="0" fillId="0" borderId="0" xfId="0" applyAlignment="1" applyProtection="1">
      <alignment horizontal="center" vertical="center"/>
      <protection hidden="1"/>
    </xf>
    <xf numFmtId="0" fontId="0" fillId="0" borderId="0" xfId="0" applyAlignment="1">
      <alignment horizontal="center"/>
    </xf>
    <xf numFmtId="0" fontId="28" fillId="0" borderId="0" xfId="0" applyFont="1" applyAlignment="1">
      <alignment horizontal="center"/>
    </xf>
    <xf numFmtId="0" fontId="6" fillId="0" borderId="0" xfId="0" applyFont="1" applyAlignment="1">
      <alignment horizontal="left"/>
    </xf>
    <xf numFmtId="0" fontId="28" fillId="0" borderId="0" xfId="0" applyFont="1"/>
    <xf numFmtId="0" fontId="0" fillId="7" borderId="0" xfId="0" applyFill="1"/>
    <xf numFmtId="0" fontId="0" fillId="0" borderId="0" xfId="0" applyAlignment="1">
      <alignment vertical="top"/>
    </xf>
    <xf numFmtId="0" fontId="6" fillId="0" borderId="0" xfId="0" applyFont="1" applyAlignment="1">
      <alignment vertical="top"/>
    </xf>
    <xf numFmtId="0" fontId="6" fillId="0" borderId="0" xfId="0" applyFont="1" applyAlignment="1">
      <alignment horizontal="center" vertical="top"/>
    </xf>
    <xf numFmtId="0" fontId="19" fillId="4" borderId="0" xfId="0" applyFont="1" applyFill="1" applyAlignment="1" applyProtection="1">
      <alignment horizontal="center" vertical="center" wrapText="1"/>
      <protection locked="0"/>
    </xf>
    <xf numFmtId="0" fontId="19" fillId="4" borderId="0" xfId="0" applyFont="1" applyFill="1" applyAlignment="1" applyProtection="1">
      <alignment horizontal="center"/>
      <protection locked="0"/>
    </xf>
    <xf numFmtId="0" fontId="20" fillId="6" borderId="0" xfId="0" applyFont="1" applyFill="1" applyAlignment="1" applyProtection="1">
      <alignment horizontal="right"/>
      <protection locked="0"/>
    </xf>
    <xf numFmtId="0" fontId="17" fillId="0" borderId="0" xfId="0" applyFont="1" applyAlignment="1" applyProtection="1">
      <alignment horizontal="right"/>
      <protection locked="0"/>
    </xf>
    <xf numFmtId="0" fontId="17" fillId="6" borderId="0" xfId="0" applyFont="1" applyFill="1" applyAlignment="1" applyProtection="1">
      <alignment horizontal="right"/>
      <protection locked="0"/>
    </xf>
    <xf numFmtId="44" fontId="0" fillId="0" borderId="0" xfId="1" applyFont="1" applyProtection="1">
      <protection locked="0"/>
    </xf>
    <xf numFmtId="164" fontId="0" fillId="3" borderId="0" xfId="0" applyNumberFormat="1" applyFill="1" applyProtection="1">
      <protection locked="0"/>
    </xf>
    <xf numFmtId="164" fontId="0" fillId="0" borderId="0" xfId="0" applyNumberFormat="1" applyProtection="1">
      <protection locked="0"/>
    </xf>
    <xf numFmtId="3" fontId="0" fillId="0" borderId="0" xfId="2" applyNumberFormat="1" applyFont="1" applyAlignment="1" applyProtection="1">
      <alignment horizontal="center"/>
      <protection locked="0"/>
    </xf>
    <xf numFmtId="3" fontId="0" fillId="3" borderId="0" xfId="2" applyNumberFormat="1" applyFont="1" applyFill="1" applyAlignment="1" applyProtection="1">
      <alignment horizontal="center"/>
      <protection locked="0"/>
    </xf>
    <xf numFmtId="44" fontId="0" fillId="3" borderId="0" xfId="1" applyFont="1" applyFill="1" applyAlignment="1" applyProtection="1">
      <alignment horizontal="center" vertical="center"/>
      <protection locked="0"/>
    </xf>
    <xf numFmtId="3" fontId="2" fillId="2" borderId="0" xfId="2" applyNumberFormat="1" applyFont="1" applyFill="1" applyAlignment="1" applyProtection="1">
      <alignment horizontal="center" vertical="center"/>
      <protection hidden="1"/>
    </xf>
    <xf numFmtId="164" fontId="0" fillId="3" borderId="0" xfId="0" applyNumberFormat="1" applyFill="1" applyAlignment="1" applyProtection="1">
      <alignment vertical="top"/>
      <protection locked="0"/>
    </xf>
    <xf numFmtId="44" fontId="11" fillId="0" borderId="0" xfId="1" applyFont="1" applyFill="1" applyAlignment="1" applyProtection="1">
      <alignment vertical="center"/>
      <protection locked="0"/>
    </xf>
    <xf numFmtId="44" fontId="1" fillId="0" borderId="0" xfId="1" applyFont="1" applyProtection="1">
      <protection locked="0"/>
    </xf>
    <xf numFmtId="44" fontId="1" fillId="3" borderId="0" xfId="1" applyFont="1" applyFill="1" applyProtection="1">
      <protection locked="0"/>
    </xf>
    <xf numFmtId="44" fontId="12" fillId="0" borderId="0" xfId="1" applyFont="1" applyFill="1" applyAlignment="1" applyProtection="1">
      <alignment horizontal="left" vertical="center"/>
      <protection locked="0"/>
    </xf>
    <xf numFmtId="44" fontId="1" fillId="0" borderId="0" xfId="1" applyFont="1" applyAlignment="1" applyProtection="1">
      <alignment horizontal="center" vertical="center"/>
      <protection locked="0"/>
    </xf>
    <xf numFmtId="165" fontId="0" fillId="0" borderId="0" xfId="2" applyNumberFormat="1" applyFont="1" applyFill="1" applyAlignment="1" applyProtection="1">
      <alignment horizontal="center" vertical="center"/>
      <protection locked="0"/>
    </xf>
    <xf numFmtId="44" fontId="0" fillId="0" borderId="0" xfId="1" applyFont="1" applyAlignment="1" applyProtection="1">
      <alignment horizontal="center" vertical="center"/>
      <protection locked="0"/>
    </xf>
    <xf numFmtId="0" fontId="0" fillId="0" borderId="0" xfId="0" applyAlignment="1" applyProtection="1">
      <alignment horizontal="center"/>
      <protection hidden="1"/>
    </xf>
    <xf numFmtId="0" fontId="0" fillId="3" borderId="0" xfId="0" applyFill="1" applyAlignment="1" applyProtection="1">
      <alignment horizontal="right" wrapText="1"/>
      <protection hidden="1"/>
    </xf>
    <xf numFmtId="0" fontId="0" fillId="3" borderId="0" xfId="0" applyFill="1" applyAlignment="1" applyProtection="1">
      <alignment horizontal="right"/>
      <protection hidden="1"/>
    </xf>
    <xf numFmtId="44" fontId="0" fillId="0" borderId="0" xfId="1" applyFont="1" applyBorder="1" applyAlignment="1" applyProtection="1">
      <alignment vertical="center"/>
      <protection hidden="1"/>
    </xf>
    <xf numFmtId="3" fontId="9" fillId="0" borderId="0" xfId="2" applyNumberFormat="1" applyFont="1" applyAlignment="1" applyProtection="1">
      <alignment horizontal="center" vertical="center"/>
      <protection locked="0"/>
    </xf>
    <xf numFmtId="43" fontId="13" fillId="5" borderId="0" xfId="2" applyFont="1" applyFill="1" applyAlignment="1" applyProtection="1">
      <alignment horizontal="center" vertical="center"/>
      <protection hidden="1"/>
    </xf>
    <xf numFmtId="43" fontId="10" fillId="4" borderId="0" xfId="2" applyFont="1" applyFill="1" applyAlignment="1" applyProtection="1">
      <alignment horizontal="center" vertical="center"/>
      <protection hidden="1"/>
    </xf>
    <xf numFmtId="0" fontId="34" fillId="0" borderId="0" xfId="0" applyFont="1" applyProtection="1">
      <protection hidden="1"/>
    </xf>
    <xf numFmtId="14" fontId="34" fillId="0" borderId="0" xfId="0" applyNumberFormat="1" applyFont="1" applyAlignment="1" applyProtection="1">
      <alignment horizontal="center"/>
      <protection hidden="1"/>
    </xf>
    <xf numFmtId="0" fontId="36" fillId="0" borderId="0" xfId="0" applyFont="1" applyAlignment="1" applyProtection="1">
      <alignment vertical="center" wrapText="1"/>
      <protection hidden="1"/>
    </xf>
    <xf numFmtId="44" fontId="0" fillId="0" borderId="0" xfId="1" applyFont="1" applyAlignment="1" applyProtection="1">
      <alignment vertical="center"/>
      <protection hidden="1"/>
    </xf>
    <xf numFmtId="43" fontId="0" fillId="0" borderId="0" xfId="2" applyFont="1" applyAlignment="1">
      <alignment vertical="top"/>
    </xf>
    <xf numFmtId="167" fontId="0" fillId="0" borderId="0" xfId="0" applyNumberFormat="1" applyAlignment="1">
      <alignment vertical="top"/>
    </xf>
    <xf numFmtId="0" fontId="6" fillId="0" borderId="0" xfId="0" applyFont="1" applyAlignment="1">
      <alignment horizontal="center" vertical="top" wrapText="1"/>
    </xf>
    <xf numFmtId="0" fontId="0" fillId="0" borderId="0" xfId="0" applyAlignment="1">
      <alignment wrapText="1"/>
    </xf>
    <xf numFmtId="8" fontId="0" fillId="0" borderId="0" xfId="0" applyNumberFormat="1" applyAlignment="1">
      <alignment vertical="top"/>
    </xf>
    <xf numFmtId="0" fontId="21" fillId="2" borderId="0" xfId="0" applyFont="1" applyFill="1" applyAlignment="1" applyProtection="1">
      <alignment horizontal="center" vertical="center"/>
      <protection hidden="1"/>
    </xf>
    <xf numFmtId="0" fontId="7" fillId="3" borderId="0" xfId="0" applyFont="1" applyFill="1" applyAlignment="1" applyProtection="1">
      <alignment horizontal="center" vertical="center"/>
      <protection hidden="1"/>
    </xf>
    <xf numFmtId="0" fontId="12" fillId="0" borderId="0" xfId="0" applyFont="1" applyAlignment="1" applyProtection="1">
      <alignment vertical="center"/>
      <protection hidden="1"/>
    </xf>
    <xf numFmtId="10" fontId="0" fillId="0" borderId="0" xfId="3" applyNumberFormat="1" applyFont="1" applyProtection="1">
      <protection hidden="1"/>
    </xf>
    <xf numFmtId="44" fontId="6" fillId="0" borderId="0" xfId="1" applyFont="1"/>
    <xf numFmtId="10" fontId="0" fillId="0" borderId="0" xfId="0" applyNumberFormat="1" applyAlignment="1">
      <alignment vertical="top"/>
    </xf>
    <xf numFmtId="0" fontId="6" fillId="0" borderId="0" xfId="0" applyFont="1" applyAlignment="1" applyProtection="1">
      <alignment horizontal="center" vertical="center"/>
      <protection hidden="1"/>
    </xf>
    <xf numFmtId="44" fontId="0" fillId="0" borderId="0" xfId="1" applyFont="1" applyFill="1" applyProtection="1">
      <protection hidden="1"/>
    </xf>
    <xf numFmtId="8" fontId="0" fillId="0" borderId="0" xfId="1" applyNumberFormat="1" applyFont="1" applyFill="1" applyAlignment="1" applyProtection="1">
      <alignment vertical="center"/>
      <protection hidden="1"/>
    </xf>
    <xf numFmtId="0" fontId="0" fillId="0" borderId="0" xfId="0" applyAlignment="1">
      <alignment horizontal="left"/>
    </xf>
    <xf numFmtId="0" fontId="0" fillId="8" borderId="0" xfId="0" applyFill="1" applyProtection="1">
      <protection hidden="1"/>
    </xf>
    <xf numFmtId="164" fontId="0" fillId="8" borderId="0" xfId="0" applyNumberFormat="1" applyFill="1" applyProtection="1">
      <protection hidden="1"/>
    </xf>
    <xf numFmtId="9" fontId="0" fillId="8" borderId="0" xfId="3" applyFont="1" applyFill="1" applyAlignment="1" applyProtection="1">
      <alignment horizontal="center"/>
      <protection hidden="1"/>
    </xf>
    <xf numFmtId="0" fontId="39" fillId="0" borderId="0" xfId="0" applyFont="1" applyAlignment="1" applyProtection="1">
      <alignment wrapText="1"/>
      <protection hidden="1"/>
    </xf>
    <xf numFmtId="0" fontId="16" fillId="0" borderId="0" xfId="0" applyFont="1"/>
    <xf numFmtId="0" fontId="0" fillId="3" borderId="0" xfId="0" applyFill="1" applyProtection="1">
      <protection locked="0"/>
    </xf>
    <xf numFmtId="0" fontId="0" fillId="0" borderId="0" xfId="0" applyProtection="1">
      <protection locked="0"/>
    </xf>
    <xf numFmtId="0" fontId="43" fillId="2" borderId="0" xfId="0" applyFont="1" applyFill="1" applyAlignment="1" applyProtection="1">
      <alignment horizontal="left" vertical="center"/>
      <protection hidden="1"/>
    </xf>
    <xf numFmtId="0" fontId="28" fillId="0" borderId="0" xfId="0" applyFont="1" applyAlignment="1" applyProtection="1">
      <alignment horizontal="center" vertical="center"/>
      <protection hidden="1"/>
    </xf>
    <xf numFmtId="8" fontId="0" fillId="7" borderId="0" xfId="0" applyNumberFormat="1" applyFill="1"/>
    <xf numFmtId="0" fontId="34" fillId="7" borderId="0" xfId="0" applyFont="1" applyFill="1" applyAlignment="1">
      <alignment vertical="top"/>
    </xf>
    <xf numFmtId="0" fontId="0" fillId="0" borderId="0" xfId="0" applyAlignment="1">
      <alignment horizontal="left" wrapText="1"/>
    </xf>
    <xf numFmtId="8" fontId="0" fillId="0" borderId="0" xfId="0" applyNumberFormat="1"/>
    <xf numFmtId="0" fontId="33" fillId="0" borderId="0" xfId="0" applyFont="1" applyProtection="1">
      <protection hidden="1"/>
    </xf>
    <xf numFmtId="44" fontId="0" fillId="0" borderId="0" xfId="0" applyNumberFormat="1" applyAlignment="1">
      <alignment vertical="top"/>
    </xf>
    <xf numFmtId="44" fontId="0" fillId="0" borderId="0" xfId="1" applyFont="1" applyFill="1" applyAlignment="1" applyProtection="1">
      <alignment vertical="center"/>
      <protection hidden="1"/>
    </xf>
    <xf numFmtId="44" fontId="28" fillId="6" borderId="0" xfId="1" applyFont="1" applyFill="1" applyProtection="1">
      <protection hidden="1"/>
    </xf>
    <xf numFmtId="9" fontId="28" fillId="0" borderId="0" xfId="3" applyFont="1" applyAlignment="1" applyProtection="1">
      <alignment horizontal="center"/>
      <protection hidden="1"/>
    </xf>
    <xf numFmtId="0" fontId="43" fillId="2" borderId="0" xfId="0" applyFont="1" applyFill="1" applyAlignment="1" applyProtection="1">
      <alignment horizontal="center" vertical="center"/>
      <protection hidden="1"/>
    </xf>
    <xf numFmtId="7" fontId="13" fillId="5" borderId="0" xfId="1" applyNumberFormat="1" applyFont="1" applyFill="1" applyAlignment="1" applyProtection="1">
      <alignment horizontal="center" vertical="center"/>
      <protection hidden="1"/>
    </xf>
    <xf numFmtId="7" fontId="11" fillId="4" borderId="0" xfId="1" applyNumberFormat="1" applyFont="1" applyFill="1" applyAlignment="1" applyProtection="1">
      <alignment horizontal="center" vertical="center"/>
      <protection hidden="1"/>
    </xf>
    <xf numFmtId="44" fontId="34" fillId="0" borderId="0" xfId="1" applyFont="1" applyFill="1" applyAlignment="1" applyProtection="1">
      <alignment horizontal="left" vertical="center"/>
      <protection locked="0"/>
    </xf>
    <xf numFmtId="7" fontId="5" fillId="2" borderId="0" xfId="1" applyNumberFormat="1" applyFont="1" applyFill="1" applyAlignment="1" applyProtection="1">
      <alignment horizontal="center" vertical="center"/>
      <protection hidden="1"/>
    </xf>
    <xf numFmtId="7" fontId="3" fillId="2" borderId="0" xfId="1" applyNumberFormat="1" applyFont="1" applyFill="1" applyAlignment="1" applyProtection="1">
      <alignment horizontal="right" vertical="center"/>
      <protection hidden="1"/>
    </xf>
    <xf numFmtId="0" fontId="0" fillId="0" borderId="0" xfId="0" applyAlignment="1">
      <alignment horizontal="left" vertical="top"/>
    </xf>
    <xf numFmtId="44" fontId="6" fillId="4" borderId="0" xfId="1" applyFont="1" applyFill="1" applyAlignment="1" applyProtection="1">
      <alignment horizontal="right" vertical="center"/>
      <protection hidden="1"/>
    </xf>
    <xf numFmtId="0" fontId="0" fillId="0" borderId="0" xfId="0" applyAlignment="1" applyProtection="1">
      <alignment horizontal="left"/>
      <protection hidden="1"/>
    </xf>
    <xf numFmtId="0" fontId="31" fillId="0" borderId="0" xfId="0" applyFont="1" applyAlignment="1">
      <alignment horizontal="center"/>
    </xf>
    <xf numFmtId="0" fontId="34" fillId="0" borderId="0" xfId="0" applyFont="1"/>
    <xf numFmtId="0" fontId="49" fillId="0" borderId="0" xfId="0" applyFont="1" applyAlignment="1" applyProtection="1">
      <alignment horizontal="right"/>
      <protection hidden="1"/>
    </xf>
    <xf numFmtId="0" fontId="50" fillId="0" borderId="0" xfId="0" applyFont="1" applyAlignment="1" applyProtection="1">
      <alignment horizontal="left"/>
      <protection hidden="1"/>
    </xf>
    <xf numFmtId="10" fontId="0" fillId="0" borderId="0" xfId="3" applyNumberFormat="1" applyFont="1" applyFill="1" applyBorder="1" applyAlignment="1" applyProtection="1">
      <alignment horizontal="center"/>
      <protection locked="0" hidden="1"/>
    </xf>
    <xf numFmtId="9" fontId="0" fillId="0" borderId="0" xfId="3" applyFont="1" applyFill="1" applyAlignment="1" applyProtection="1">
      <alignment horizontal="center"/>
      <protection hidden="1"/>
    </xf>
    <xf numFmtId="44" fontId="6" fillId="0" borderId="0" xfId="1" applyFont="1" applyFill="1" applyProtection="1">
      <protection hidden="1"/>
    </xf>
    <xf numFmtId="0" fontId="28" fillId="0" borderId="0" xfId="0" applyFont="1" applyProtection="1">
      <protection hidden="1"/>
    </xf>
    <xf numFmtId="0" fontId="0" fillId="0" borderId="0" xfId="0" applyAlignment="1">
      <alignment horizontal="left" vertical="top" wrapText="1"/>
    </xf>
    <xf numFmtId="164" fontId="54" fillId="0" borderId="0" xfId="0" applyNumberFormat="1" applyFont="1" applyProtection="1">
      <protection hidden="1"/>
    </xf>
    <xf numFmtId="0" fontId="2" fillId="2" borderId="0" xfId="0" applyFont="1" applyFill="1" applyAlignment="1" applyProtection="1">
      <alignment horizontal="left" vertical="center"/>
      <protection hidden="1"/>
    </xf>
    <xf numFmtId="10" fontId="0" fillId="0" borderId="0" xfId="0" applyNumberFormat="1" applyAlignment="1">
      <alignment horizontal="center"/>
    </xf>
    <xf numFmtId="2" fontId="21" fillId="2" borderId="0" xfId="0" applyNumberFormat="1" applyFont="1" applyFill="1" applyAlignment="1" applyProtection="1">
      <alignment horizontal="center" vertical="center"/>
      <protection hidden="1"/>
    </xf>
    <xf numFmtId="9" fontId="33" fillId="7" borderId="0" xfId="0" applyNumberFormat="1" applyFont="1" applyFill="1" applyAlignment="1">
      <alignment horizontal="center"/>
    </xf>
    <xf numFmtId="9" fontId="21" fillId="2" borderId="0" xfId="3" applyFont="1" applyFill="1" applyAlignment="1" applyProtection="1">
      <alignment horizontal="center" vertical="center"/>
      <protection hidden="1"/>
    </xf>
    <xf numFmtId="0" fontId="54" fillId="2" borderId="0" xfId="0" applyFont="1" applyFill="1" applyAlignment="1" applyProtection="1">
      <alignment horizontal="center" vertical="center"/>
      <protection hidden="1"/>
    </xf>
    <xf numFmtId="0" fontId="3" fillId="2" borderId="0" xfId="0" applyFont="1" applyFill="1" applyAlignment="1" applyProtection="1">
      <alignment horizontal="right" vertical="center"/>
      <protection hidden="1"/>
    </xf>
    <xf numFmtId="0" fontId="55" fillId="10" borderId="0" xfId="4"/>
    <xf numFmtId="0" fontId="0" fillId="11" borderId="0" xfId="0" applyFill="1"/>
    <xf numFmtId="0" fontId="0" fillId="12" borderId="0" xfId="0" applyFill="1"/>
    <xf numFmtId="0" fontId="0" fillId="13" borderId="0" xfId="0" applyFill="1"/>
    <xf numFmtId="0" fontId="0" fillId="14" borderId="0" xfId="0" applyFill="1"/>
    <xf numFmtId="44" fontId="28" fillId="0" borderId="0" xfId="0" applyNumberFormat="1" applyFont="1" applyProtection="1">
      <protection hidden="1"/>
    </xf>
    <xf numFmtId="44" fontId="0" fillId="0" borderId="0" xfId="0" applyNumberFormat="1"/>
    <xf numFmtId="8" fontId="6" fillId="0" borderId="0" xfId="1" applyNumberFormat="1" applyFont="1" applyProtection="1">
      <protection hidden="1"/>
    </xf>
    <xf numFmtId="0" fontId="0" fillId="7" borderId="0" xfId="0" applyFill="1" applyAlignment="1">
      <alignment wrapText="1"/>
    </xf>
    <xf numFmtId="164" fontId="56" fillId="3" borderId="0" xfId="0" applyNumberFormat="1" applyFont="1" applyFill="1" applyAlignment="1" applyProtection="1">
      <alignment wrapText="1"/>
      <protection locked="0"/>
    </xf>
    <xf numFmtId="10" fontId="56" fillId="0" borderId="0" xfId="3" applyNumberFormat="1" applyFont="1" applyAlignment="1" applyProtection="1">
      <alignment wrapText="1"/>
      <protection locked="0"/>
    </xf>
    <xf numFmtId="8" fontId="1" fillId="3" borderId="0" xfId="1" applyNumberFormat="1" applyFont="1" applyFill="1" applyProtection="1">
      <protection locked="0"/>
    </xf>
    <xf numFmtId="0" fontId="27" fillId="0" borderId="0" xfId="0" applyFont="1" applyAlignment="1" applyProtection="1">
      <alignment horizontal="right"/>
      <protection hidden="1"/>
    </xf>
    <xf numFmtId="0" fontId="27" fillId="0" borderId="0" xfId="0" applyFont="1" applyAlignment="1" applyProtection="1">
      <alignment horizontal="right" vertical="top"/>
      <protection hidden="1"/>
    </xf>
    <xf numFmtId="0" fontId="0" fillId="0" borderId="0" xfId="0" applyAlignment="1" applyProtection="1">
      <alignment horizontal="left" vertical="top" wrapText="1"/>
      <protection hidden="1"/>
    </xf>
    <xf numFmtId="0" fontId="33" fillId="6" borderId="0" xfId="0" applyFont="1" applyFill="1" applyAlignment="1" applyProtection="1">
      <alignment horizontal="left"/>
      <protection hidden="1"/>
    </xf>
    <xf numFmtId="0" fontId="33" fillId="0" borderId="0" xfId="0" applyFont="1" applyAlignment="1" applyProtection="1">
      <alignment horizontal="left"/>
      <protection hidden="1"/>
    </xf>
    <xf numFmtId="0" fontId="0" fillId="9" borderId="0" xfId="0" applyFill="1" applyAlignment="1" applyProtection="1">
      <alignment horizontal="left" vertical="top" wrapText="1"/>
      <protection locked="0"/>
    </xf>
    <xf numFmtId="0" fontId="0" fillId="6" borderId="0" xfId="0" applyFill="1" applyAlignment="1" applyProtection="1">
      <alignment horizontal="left" vertical="center" wrapText="1"/>
      <protection hidden="1"/>
    </xf>
    <xf numFmtId="0" fontId="5" fillId="2" borderId="0" xfId="0" applyFont="1" applyFill="1" applyAlignment="1" applyProtection="1">
      <alignment horizontal="center" vertical="top" wrapText="1"/>
      <protection hidden="1"/>
    </xf>
    <xf numFmtId="0" fontId="5" fillId="2" borderId="0" xfId="0" applyFont="1" applyFill="1" applyAlignment="1" applyProtection="1">
      <alignment horizontal="right" vertical="center"/>
      <protection hidden="1"/>
    </xf>
    <xf numFmtId="0" fontId="35" fillId="0" borderId="0" xfId="0" applyFont="1" applyAlignment="1" applyProtection="1">
      <alignment horizontal="center" vertical="center" wrapText="1"/>
      <protection hidden="1"/>
    </xf>
    <xf numFmtId="0" fontId="21" fillId="2" borderId="0" xfId="0" applyFont="1" applyFill="1" applyAlignment="1" applyProtection="1">
      <alignment horizontal="center" vertical="center"/>
      <protection hidden="1"/>
    </xf>
    <xf numFmtId="0" fontId="3" fillId="2" borderId="0" xfId="0" applyFont="1" applyFill="1" applyAlignment="1" applyProtection="1">
      <alignment horizontal="center" vertical="center"/>
      <protection hidden="1"/>
    </xf>
    <xf numFmtId="0" fontId="32" fillId="0" borderId="0" xfId="0" applyFont="1" applyAlignment="1" applyProtection="1">
      <alignment horizontal="right" vertical="top"/>
      <protection hidden="1"/>
    </xf>
    <xf numFmtId="0" fontId="32" fillId="0" borderId="0" xfId="0" applyFont="1" applyAlignment="1" applyProtection="1">
      <alignment horizontal="right"/>
      <protection locked="0" hidden="1"/>
    </xf>
    <xf numFmtId="0" fontId="32" fillId="0" borderId="0" xfId="0" applyFont="1" applyAlignment="1" applyProtection="1">
      <alignment horizontal="right"/>
      <protection hidden="1"/>
    </xf>
    <xf numFmtId="0" fontId="21" fillId="2" borderId="0" xfId="0" applyFont="1" applyFill="1" applyAlignment="1" applyProtection="1">
      <alignment horizontal="right" vertical="top"/>
      <protection hidden="1"/>
    </xf>
    <xf numFmtId="0" fontId="0" fillId="6" borderId="0" xfId="0" applyFill="1" applyAlignment="1" applyProtection="1">
      <alignment horizontal="left"/>
      <protection hidden="1"/>
    </xf>
    <xf numFmtId="0" fontId="0" fillId="0" borderId="0" xfId="0" applyAlignment="1" applyProtection="1">
      <alignment horizontal="left"/>
      <protection hidden="1"/>
    </xf>
    <xf numFmtId="0" fontId="6" fillId="0" borderId="0" xfId="0" applyFont="1" applyAlignment="1" applyProtection="1">
      <alignment horizontal="center"/>
      <protection hidden="1"/>
    </xf>
    <xf numFmtId="0" fontId="21" fillId="2" borderId="0" xfId="0" applyFont="1" applyFill="1" applyAlignment="1" applyProtection="1">
      <alignment horizontal="center" vertical="top"/>
      <protection hidden="1"/>
    </xf>
    <xf numFmtId="0" fontId="21" fillId="2" borderId="0" xfId="0" applyFont="1" applyFill="1" applyAlignment="1" applyProtection="1">
      <alignment horizontal="center"/>
      <protection hidden="1"/>
    </xf>
    <xf numFmtId="0" fontId="21" fillId="2" borderId="0" xfId="0" applyFont="1" applyFill="1" applyAlignment="1" applyProtection="1">
      <alignment horizontal="left" vertical="center"/>
      <protection hidden="1"/>
    </xf>
    <xf numFmtId="0" fontId="2" fillId="2" borderId="0" xfId="0" applyFont="1" applyFill="1" applyAlignment="1" applyProtection="1">
      <alignment horizontal="center" vertical="center"/>
      <protection hidden="1"/>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wrapText="1"/>
    </xf>
    <xf numFmtId="0" fontId="33" fillId="0" borderId="0" xfId="0" applyFont="1" applyAlignment="1">
      <alignment horizontal="left" vertical="top" wrapText="1"/>
    </xf>
    <xf numFmtId="44" fontId="0" fillId="0" borderId="0" xfId="0" applyNumberFormat="1" applyAlignment="1">
      <alignment horizontal="left" wrapText="1"/>
    </xf>
    <xf numFmtId="0" fontId="36" fillId="0" borderId="0" xfId="0" applyFont="1" applyAlignment="1" applyProtection="1">
      <alignment horizontal="center" vertical="center" wrapText="1"/>
      <protection hidden="1"/>
    </xf>
    <xf numFmtId="0" fontId="3" fillId="2" borderId="2" xfId="0" applyFont="1" applyFill="1" applyBorder="1" applyAlignment="1" applyProtection="1">
      <alignment horizontal="center" vertical="center"/>
      <protection hidden="1"/>
    </xf>
    <xf numFmtId="0" fontId="3" fillId="2" borderId="0" xfId="0" applyFont="1" applyFill="1" applyAlignment="1" applyProtection="1">
      <alignment horizontal="center" vertical="center" wrapText="1"/>
      <protection hidden="1"/>
    </xf>
    <xf numFmtId="0" fontId="2" fillId="2" borderId="2" xfId="0" applyFont="1" applyFill="1" applyBorder="1" applyAlignment="1" applyProtection="1">
      <alignment horizontal="center" vertical="center" wrapText="1"/>
      <protection hidden="1"/>
    </xf>
    <xf numFmtId="0" fontId="2" fillId="2" borderId="4" xfId="0" applyFont="1" applyFill="1" applyBorder="1" applyAlignment="1" applyProtection="1">
      <alignment horizontal="center" vertical="center" wrapText="1"/>
      <protection hidden="1"/>
    </xf>
    <xf numFmtId="0" fontId="2" fillId="2" borderId="5" xfId="0" applyFont="1" applyFill="1" applyBorder="1" applyAlignment="1" applyProtection="1">
      <alignment horizontal="center" vertical="center" wrapText="1"/>
      <protection hidden="1"/>
    </xf>
    <xf numFmtId="0" fontId="41" fillId="0" borderId="0" xfId="0" applyFont="1" applyAlignment="1" applyProtection="1">
      <alignment horizontal="center" vertical="center" wrapText="1"/>
      <protection hidden="1"/>
    </xf>
    <xf numFmtId="0" fontId="3" fillId="2" borderId="6" xfId="0" applyFont="1" applyFill="1" applyBorder="1" applyAlignment="1" applyProtection="1">
      <alignment horizontal="center" vertical="center"/>
      <protection hidden="1"/>
    </xf>
    <xf numFmtId="0" fontId="3" fillId="2" borderId="7" xfId="0" applyFont="1" applyFill="1" applyBorder="1" applyAlignment="1" applyProtection="1">
      <alignment horizontal="center" vertical="center"/>
      <protection hidden="1"/>
    </xf>
    <xf numFmtId="0" fontId="5" fillId="2" borderId="0" xfId="0" applyFont="1" applyFill="1" applyAlignment="1" applyProtection="1">
      <alignment horizontal="center" vertical="center"/>
      <protection hidden="1"/>
    </xf>
    <xf numFmtId="0" fontId="37" fillId="0" borderId="0" xfId="0" applyFont="1" applyAlignment="1" applyProtection="1">
      <alignment horizontal="center" vertical="center" wrapText="1"/>
      <protection hidden="1"/>
    </xf>
    <xf numFmtId="0" fontId="12" fillId="3" borderId="0" xfId="0" applyFont="1" applyFill="1" applyAlignment="1" applyProtection="1">
      <alignment horizontal="right" vertical="center"/>
      <protection hidden="1"/>
    </xf>
    <xf numFmtId="0" fontId="12" fillId="0" borderId="0" xfId="0" applyFont="1" applyAlignment="1" applyProtection="1">
      <alignment horizontal="right"/>
      <protection hidden="1"/>
    </xf>
    <xf numFmtId="0" fontId="2" fillId="2" borderId="0" xfId="0" applyFont="1" applyFill="1" applyAlignment="1" applyProtection="1">
      <alignment horizontal="center"/>
      <protection hidden="1"/>
    </xf>
    <xf numFmtId="0" fontId="0" fillId="3" borderId="0" xfId="0" applyFill="1" applyAlignment="1" applyProtection="1">
      <alignment horizontal="right" vertical="center"/>
      <protection hidden="1"/>
    </xf>
    <xf numFmtId="0" fontId="0" fillId="0" borderId="0" xfId="0" applyAlignment="1" applyProtection="1">
      <alignment horizontal="right" vertical="center"/>
      <protection hidden="1"/>
    </xf>
  </cellXfs>
  <cellStyles count="6">
    <cellStyle name="Corregir" xfId="5" xr:uid="{E72E52DD-5B08-40C9-B0D4-D9D77FD31FB6}"/>
    <cellStyle name="Incorrecto" xfId="4" builtinId="27"/>
    <cellStyle name="Millares" xfId="2" builtinId="3"/>
    <cellStyle name="Moneda" xfId="1" builtinId="4"/>
    <cellStyle name="Normal" xfId="0" builtinId="0"/>
    <cellStyle name="Porcentaje" xfId="3" builtinId="5"/>
  </cellStyles>
  <dxfs count="20">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0"/>
      </font>
      <fill>
        <patternFill>
          <bgColor rgb="FFFF0000"/>
        </patternFill>
      </fill>
    </dxf>
    <dxf>
      <fill>
        <patternFill>
          <bgColor rgb="FFFFFF00"/>
        </patternFill>
      </fill>
    </dxf>
    <dxf>
      <font>
        <b/>
        <i val="0"/>
        <color theme="0"/>
      </font>
      <fill>
        <patternFill>
          <bgColor rgb="FFFF0000"/>
        </patternFill>
      </fill>
    </dxf>
  </dxfs>
  <tableStyles count="0" defaultTableStyle="TableStyleMedium2" defaultPivotStyle="PivotStyleLight16"/>
  <colors>
    <mruColors>
      <color rgb="FFFF7C80"/>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30088422802096E-2"/>
          <c:y val="0.1446791834541033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UMBRAL!$D$20:$O$20</c:f>
              <c:numCache>
                <c:formatCode>_-* #,##0_-;\-* #,##0_-;_-* "-"??_-;_-@_-</c:formatCode>
                <c:ptCount val="12"/>
                <c:pt idx="0">
                  <c:v>1500</c:v>
                </c:pt>
                <c:pt idx="1">
                  <c:v>1200</c:v>
                </c:pt>
                <c:pt idx="2">
                  <c:v>1700</c:v>
                </c:pt>
                <c:pt idx="3">
                  <c:v>1200</c:v>
                </c:pt>
                <c:pt idx="4">
                  <c:v>1300</c:v>
                </c:pt>
                <c:pt idx="5">
                  <c:v>4000</c:v>
                </c:pt>
                <c:pt idx="6">
                  <c:v>4000</c:v>
                </c:pt>
                <c:pt idx="7">
                  <c:v>6000</c:v>
                </c:pt>
                <c:pt idx="8">
                  <c:v>3000</c:v>
                </c:pt>
                <c:pt idx="9">
                  <c:v>2000</c:v>
                </c:pt>
                <c:pt idx="10">
                  <c:v>1600</c:v>
                </c:pt>
                <c:pt idx="11">
                  <c:v>2500</c:v>
                </c:pt>
              </c:numCache>
            </c:numRef>
          </c:val>
          <c:smooth val="0"/>
          <c:extLst>
            <c:ext xmlns:c16="http://schemas.microsoft.com/office/drawing/2014/chart" uri="{C3380CC4-5D6E-409C-BE32-E72D297353CC}">
              <c16:uniqueId val="{00000000-8829-4889-AD52-CF08A7D5B159}"/>
            </c:ext>
          </c:extLst>
        </c:ser>
        <c:ser>
          <c:idx val="1"/>
          <c:order val="1"/>
          <c:tx>
            <c:v>2º Año</c:v>
          </c:tx>
          <c:spPr>
            <a:ln w="28575" cap="rnd">
              <a:solidFill>
                <a:schemeClr val="accent2"/>
              </a:solidFill>
              <a:round/>
            </a:ln>
            <a:effectLst/>
          </c:spPr>
          <c:marker>
            <c:symbol val="none"/>
          </c:marker>
          <c:val>
            <c:numRef>
              <c:f>UMBRAL!$D$70:$O$70</c:f>
              <c:numCache>
                <c:formatCode>_-* #,##0_-;\-* #,##0_-;_-* "-"??_-;_-@_-</c:formatCode>
                <c:ptCount val="12"/>
                <c:pt idx="0">
                  <c:v>2000</c:v>
                </c:pt>
                <c:pt idx="1">
                  <c:v>1500</c:v>
                </c:pt>
                <c:pt idx="2">
                  <c:v>1000</c:v>
                </c:pt>
                <c:pt idx="3">
                  <c:v>1500</c:v>
                </c:pt>
                <c:pt idx="4">
                  <c:v>3000</c:v>
                </c:pt>
                <c:pt idx="5">
                  <c:v>5000</c:v>
                </c:pt>
                <c:pt idx="6">
                  <c:v>8000</c:v>
                </c:pt>
                <c:pt idx="7">
                  <c:v>8000</c:v>
                </c:pt>
                <c:pt idx="8">
                  <c:v>3000</c:v>
                </c:pt>
                <c:pt idx="9">
                  <c:v>2000</c:v>
                </c:pt>
                <c:pt idx="10">
                  <c:v>2500</c:v>
                </c:pt>
                <c:pt idx="11">
                  <c:v>2500</c:v>
                </c:pt>
              </c:numCache>
            </c:numRef>
          </c:val>
          <c:smooth val="0"/>
          <c:extLst>
            <c:ext xmlns:c16="http://schemas.microsoft.com/office/drawing/2014/chart" uri="{C3380CC4-5D6E-409C-BE32-E72D297353CC}">
              <c16:uniqueId val="{00000001-8829-4889-AD52-CF08A7D5B159}"/>
            </c:ext>
          </c:extLst>
        </c:ser>
        <c:ser>
          <c:idx val="2"/>
          <c:order val="2"/>
          <c:tx>
            <c:v>3º Año</c:v>
          </c:tx>
          <c:spPr>
            <a:ln w="28575" cap="rnd">
              <a:solidFill>
                <a:schemeClr val="accent3"/>
              </a:solidFill>
              <a:round/>
            </a:ln>
            <a:effectLst/>
          </c:spPr>
          <c:marker>
            <c:symbol val="none"/>
          </c:marker>
          <c:val>
            <c:numRef>
              <c:f>UMBRAL!$D$120:$O$120</c:f>
              <c:numCache>
                <c:formatCode>_-* #,##0_-;\-* #,##0_-;_-* "-"??_-;_-@_-</c:formatCode>
                <c:ptCount val="12"/>
                <c:pt idx="0">
                  <c:v>4500</c:v>
                </c:pt>
                <c:pt idx="1">
                  <c:v>4500</c:v>
                </c:pt>
                <c:pt idx="2">
                  <c:v>4500</c:v>
                </c:pt>
                <c:pt idx="3">
                  <c:v>4500</c:v>
                </c:pt>
                <c:pt idx="4">
                  <c:v>4500</c:v>
                </c:pt>
                <c:pt idx="5">
                  <c:v>11500</c:v>
                </c:pt>
                <c:pt idx="6">
                  <c:v>10500</c:v>
                </c:pt>
                <c:pt idx="7">
                  <c:v>14000</c:v>
                </c:pt>
                <c:pt idx="8">
                  <c:v>6500</c:v>
                </c:pt>
                <c:pt idx="9">
                  <c:v>4500</c:v>
                </c:pt>
                <c:pt idx="10">
                  <c:v>4500</c:v>
                </c:pt>
                <c:pt idx="11">
                  <c:v>6000</c:v>
                </c:pt>
              </c:numCache>
            </c:numRef>
          </c:val>
          <c:smooth val="0"/>
          <c:extLst>
            <c:ext xmlns:c16="http://schemas.microsoft.com/office/drawing/2014/chart" uri="{C3380CC4-5D6E-409C-BE32-E72D297353CC}">
              <c16:uniqueId val="{00000002-8829-4889-AD52-CF08A7D5B159}"/>
            </c:ext>
          </c:extLst>
        </c:ser>
        <c:ser>
          <c:idx val="3"/>
          <c:order val="3"/>
          <c:tx>
            <c:v>4º Año</c:v>
          </c:tx>
          <c:spPr>
            <a:ln w="28575" cap="rnd">
              <a:solidFill>
                <a:schemeClr val="accent4"/>
              </a:solidFill>
              <a:round/>
            </a:ln>
            <a:effectLst/>
          </c:spPr>
          <c:marker>
            <c:symbol val="none"/>
          </c:marker>
          <c:val>
            <c:numRef>
              <c:f>UMBRAL!$D$170:$O$170</c:f>
              <c:numCache>
                <c:formatCode>_-* #,##0_-;\-* #,##0_-;_-* "-"??_-;_-@_-</c:formatCode>
                <c:ptCount val="12"/>
                <c:pt idx="0">
                  <c:v>3800</c:v>
                </c:pt>
                <c:pt idx="1">
                  <c:v>8500</c:v>
                </c:pt>
                <c:pt idx="2">
                  <c:v>9100</c:v>
                </c:pt>
                <c:pt idx="3">
                  <c:v>10200</c:v>
                </c:pt>
                <c:pt idx="4">
                  <c:v>8500</c:v>
                </c:pt>
                <c:pt idx="5">
                  <c:v>11900</c:v>
                </c:pt>
                <c:pt idx="6">
                  <c:v>12500</c:v>
                </c:pt>
                <c:pt idx="7">
                  <c:v>13000</c:v>
                </c:pt>
                <c:pt idx="8">
                  <c:v>12000</c:v>
                </c:pt>
                <c:pt idx="9">
                  <c:v>11000</c:v>
                </c:pt>
                <c:pt idx="10">
                  <c:v>9500</c:v>
                </c:pt>
                <c:pt idx="11">
                  <c:v>10000</c:v>
                </c:pt>
              </c:numCache>
            </c:numRef>
          </c:val>
          <c:smooth val="0"/>
          <c:extLst>
            <c:ext xmlns:c16="http://schemas.microsoft.com/office/drawing/2014/chart" uri="{C3380CC4-5D6E-409C-BE32-E72D297353CC}">
              <c16:uniqueId val="{00000003-8829-4889-AD52-CF08A7D5B159}"/>
            </c:ext>
          </c:extLst>
        </c:ser>
        <c:ser>
          <c:idx val="4"/>
          <c:order val="4"/>
          <c:tx>
            <c:v>5º Año</c:v>
          </c:tx>
          <c:spPr>
            <a:ln w="28575" cap="rnd">
              <a:solidFill>
                <a:schemeClr val="accent5"/>
              </a:solidFill>
              <a:round/>
            </a:ln>
            <a:effectLst/>
          </c:spPr>
          <c:marker>
            <c:symbol val="none"/>
          </c:marker>
          <c:val>
            <c:numRef>
              <c:f>UMBRAL!$D$220:$O$220</c:f>
              <c:numCache>
                <c:formatCode>_-* #,##0_-;\-* #,##0_-;_-* "-"??_-;_-@_-</c:formatCode>
                <c:ptCount val="12"/>
                <c:pt idx="0">
                  <c:v>8750</c:v>
                </c:pt>
                <c:pt idx="1">
                  <c:v>11250</c:v>
                </c:pt>
                <c:pt idx="2">
                  <c:v>10350</c:v>
                </c:pt>
                <c:pt idx="3">
                  <c:v>13750</c:v>
                </c:pt>
                <c:pt idx="4">
                  <c:v>18050</c:v>
                </c:pt>
                <c:pt idx="5">
                  <c:v>21750</c:v>
                </c:pt>
                <c:pt idx="6">
                  <c:v>20750</c:v>
                </c:pt>
                <c:pt idx="7">
                  <c:v>23450</c:v>
                </c:pt>
                <c:pt idx="8">
                  <c:v>17750</c:v>
                </c:pt>
                <c:pt idx="9">
                  <c:v>12450</c:v>
                </c:pt>
                <c:pt idx="10">
                  <c:v>11750</c:v>
                </c:pt>
                <c:pt idx="11">
                  <c:v>9950</c:v>
                </c:pt>
              </c:numCache>
            </c:numRef>
          </c:val>
          <c:smooth val="0"/>
          <c:extLst>
            <c:ext xmlns:c16="http://schemas.microsoft.com/office/drawing/2014/chart" uri="{C3380CC4-5D6E-409C-BE32-E72D297353CC}">
              <c16:uniqueId val="{00000004-8829-4889-AD52-CF08A7D5B159}"/>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UMBRAL!$D$48:$O$48</c:f>
              <c:numCache>
                <c:formatCode>_("€"* #,##0.00_);_("€"* \(#,##0.00\);_("€"* "-"??_);_(@_)</c:formatCode>
                <c:ptCount val="12"/>
                <c:pt idx="0">
                  <c:v>11</c:v>
                </c:pt>
                <c:pt idx="1">
                  <c:v>8</c:v>
                </c:pt>
                <c:pt idx="2">
                  <c:v>9</c:v>
                </c:pt>
                <c:pt idx="3">
                  <c:v>9</c:v>
                </c:pt>
                <c:pt idx="4">
                  <c:v>10</c:v>
                </c:pt>
                <c:pt idx="5">
                  <c:v>10</c:v>
                </c:pt>
                <c:pt idx="6">
                  <c:v>12</c:v>
                </c:pt>
                <c:pt idx="7">
                  <c:v>12</c:v>
                </c:pt>
                <c:pt idx="8">
                  <c:v>10</c:v>
                </c:pt>
                <c:pt idx="9">
                  <c:v>9.5</c:v>
                </c:pt>
                <c:pt idx="10">
                  <c:v>10</c:v>
                </c:pt>
                <c:pt idx="11">
                  <c:v>10</c:v>
                </c:pt>
              </c:numCache>
            </c:numRef>
          </c:val>
          <c:smooth val="0"/>
          <c:extLst>
            <c:ext xmlns:c16="http://schemas.microsoft.com/office/drawing/2014/chart" uri="{C3380CC4-5D6E-409C-BE32-E72D297353CC}">
              <c16:uniqueId val="{00000000-BC3B-4A68-A2A3-1B08A6174564}"/>
            </c:ext>
          </c:extLst>
        </c:ser>
        <c:ser>
          <c:idx val="1"/>
          <c:order val="1"/>
          <c:tx>
            <c:v>2º Año</c:v>
          </c:tx>
          <c:spPr>
            <a:ln w="28575" cap="rnd">
              <a:solidFill>
                <a:schemeClr val="accent2"/>
              </a:solidFill>
              <a:round/>
            </a:ln>
            <a:effectLst/>
          </c:spPr>
          <c:marker>
            <c:symbol val="none"/>
          </c:marker>
          <c:val>
            <c:numRef>
              <c:f>UMBRAL!$D$98:$O$98</c:f>
              <c:numCache>
                <c:formatCode>_("€"* #,##0.00_);_("€"* \(#,##0.00\);_("€"* "-"??_);_(@_)</c:formatCode>
                <c:ptCount val="12"/>
                <c:pt idx="0">
                  <c:v>10</c:v>
                </c:pt>
                <c:pt idx="1">
                  <c:v>9</c:v>
                </c:pt>
                <c:pt idx="2">
                  <c:v>9</c:v>
                </c:pt>
                <c:pt idx="3">
                  <c:v>10</c:v>
                </c:pt>
                <c:pt idx="4">
                  <c:v>10</c:v>
                </c:pt>
                <c:pt idx="5">
                  <c:v>11</c:v>
                </c:pt>
                <c:pt idx="6">
                  <c:v>12</c:v>
                </c:pt>
                <c:pt idx="7">
                  <c:v>12</c:v>
                </c:pt>
                <c:pt idx="8">
                  <c:v>11</c:v>
                </c:pt>
                <c:pt idx="9">
                  <c:v>10</c:v>
                </c:pt>
                <c:pt idx="10">
                  <c:v>9</c:v>
                </c:pt>
                <c:pt idx="11">
                  <c:v>11</c:v>
                </c:pt>
              </c:numCache>
            </c:numRef>
          </c:val>
          <c:smooth val="0"/>
          <c:extLst>
            <c:ext xmlns:c16="http://schemas.microsoft.com/office/drawing/2014/chart" uri="{C3380CC4-5D6E-409C-BE32-E72D297353CC}">
              <c16:uniqueId val="{00000001-BC3B-4A68-A2A3-1B08A6174564}"/>
            </c:ext>
          </c:extLst>
        </c:ser>
        <c:ser>
          <c:idx val="2"/>
          <c:order val="2"/>
          <c:tx>
            <c:v>3º Año</c:v>
          </c:tx>
          <c:spPr>
            <a:ln w="28575" cap="rnd">
              <a:solidFill>
                <a:schemeClr val="accent3"/>
              </a:solidFill>
              <a:round/>
            </a:ln>
            <a:effectLst/>
          </c:spPr>
          <c:marker>
            <c:symbol val="none"/>
          </c:marker>
          <c:val>
            <c:numRef>
              <c:f>UMBRAL!$D$148:$O$148</c:f>
              <c:numCache>
                <c:formatCode>_("€"* #,##0.00_);_("€"* \(#,##0.00\);_("€"* "-"??_);_(@_)</c:formatCode>
                <c:ptCount val="12"/>
                <c:pt idx="0">
                  <c:v>10</c:v>
                </c:pt>
                <c:pt idx="1">
                  <c:v>11</c:v>
                </c:pt>
                <c:pt idx="2">
                  <c:v>10</c:v>
                </c:pt>
                <c:pt idx="3">
                  <c:v>10</c:v>
                </c:pt>
                <c:pt idx="4">
                  <c:v>10</c:v>
                </c:pt>
                <c:pt idx="5">
                  <c:v>12</c:v>
                </c:pt>
                <c:pt idx="6">
                  <c:v>12</c:v>
                </c:pt>
                <c:pt idx="7">
                  <c:v>12</c:v>
                </c:pt>
                <c:pt idx="8">
                  <c:v>10</c:v>
                </c:pt>
                <c:pt idx="9">
                  <c:v>11</c:v>
                </c:pt>
                <c:pt idx="10">
                  <c:v>11</c:v>
                </c:pt>
                <c:pt idx="11">
                  <c:v>12</c:v>
                </c:pt>
              </c:numCache>
            </c:numRef>
          </c:val>
          <c:smooth val="0"/>
          <c:extLst>
            <c:ext xmlns:c16="http://schemas.microsoft.com/office/drawing/2014/chart" uri="{C3380CC4-5D6E-409C-BE32-E72D297353CC}">
              <c16:uniqueId val="{00000002-BC3B-4A68-A2A3-1B08A6174564}"/>
            </c:ext>
          </c:extLst>
        </c:ser>
        <c:ser>
          <c:idx val="3"/>
          <c:order val="3"/>
          <c:tx>
            <c:v>4º Año</c:v>
          </c:tx>
          <c:spPr>
            <a:ln w="28575" cap="rnd">
              <a:solidFill>
                <a:schemeClr val="accent4"/>
              </a:solidFill>
              <a:round/>
            </a:ln>
            <a:effectLst/>
          </c:spPr>
          <c:marker>
            <c:symbol val="none"/>
          </c:marker>
          <c:val>
            <c:numRef>
              <c:f>UMBRAL!$D$198:$O$198</c:f>
              <c:numCache>
                <c:formatCode>_("€"* #,##0.00_);_("€"* \(#,##0.00\);_("€"* "-"??_);_(@_)</c:formatCode>
                <c:ptCount val="12"/>
                <c:pt idx="0">
                  <c:v>12</c:v>
                </c:pt>
                <c:pt idx="1">
                  <c:v>10</c:v>
                </c:pt>
                <c:pt idx="2">
                  <c:v>10</c:v>
                </c:pt>
                <c:pt idx="3">
                  <c:v>10</c:v>
                </c:pt>
                <c:pt idx="4">
                  <c:v>12</c:v>
                </c:pt>
                <c:pt idx="5">
                  <c:v>12</c:v>
                </c:pt>
                <c:pt idx="6">
                  <c:v>12</c:v>
                </c:pt>
                <c:pt idx="7">
                  <c:v>12</c:v>
                </c:pt>
                <c:pt idx="8">
                  <c:v>12</c:v>
                </c:pt>
                <c:pt idx="9">
                  <c:v>10</c:v>
                </c:pt>
                <c:pt idx="10">
                  <c:v>10</c:v>
                </c:pt>
                <c:pt idx="11">
                  <c:v>12</c:v>
                </c:pt>
              </c:numCache>
            </c:numRef>
          </c:val>
          <c:smooth val="0"/>
          <c:extLst>
            <c:ext xmlns:c16="http://schemas.microsoft.com/office/drawing/2014/chart" uri="{C3380CC4-5D6E-409C-BE32-E72D297353CC}">
              <c16:uniqueId val="{00000003-BC3B-4A68-A2A3-1B08A6174564}"/>
            </c:ext>
          </c:extLst>
        </c:ser>
        <c:ser>
          <c:idx val="4"/>
          <c:order val="4"/>
          <c:tx>
            <c:v>5º Año</c:v>
          </c:tx>
          <c:spPr>
            <a:ln w="28575" cap="rnd">
              <a:solidFill>
                <a:schemeClr val="accent5"/>
              </a:solidFill>
              <a:round/>
            </a:ln>
            <a:effectLst/>
          </c:spPr>
          <c:marker>
            <c:symbol val="none"/>
          </c:marker>
          <c:val>
            <c:numRef>
              <c:f>UMBRAL!$D$248:$O$248</c:f>
              <c:numCache>
                <c:formatCode>_("€"* #,##0.00_);_("€"* \(#,##0.00\);_("€"* "-"??_);_(@_)</c:formatCode>
                <c:ptCount val="12"/>
                <c:pt idx="0">
                  <c:v>11</c:v>
                </c:pt>
                <c:pt idx="1">
                  <c:v>12</c:v>
                </c:pt>
                <c:pt idx="2">
                  <c:v>11</c:v>
                </c:pt>
                <c:pt idx="3">
                  <c:v>11</c:v>
                </c:pt>
                <c:pt idx="4">
                  <c:v>12</c:v>
                </c:pt>
                <c:pt idx="5">
                  <c:v>12</c:v>
                </c:pt>
                <c:pt idx="6">
                  <c:v>12</c:v>
                </c:pt>
                <c:pt idx="7">
                  <c:v>12</c:v>
                </c:pt>
                <c:pt idx="8">
                  <c:v>12</c:v>
                </c:pt>
                <c:pt idx="9">
                  <c:v>11</c:v>
                </c:pt>
                <c:pt idx="10">
                  <c:v>11</c:v>
                </c:pt>
                <c:pt idx="11">
                  <c:v>12</c:v>
                </c:pt>
              </c:numCache>
            </c:numRef>
          </c:val>
          <c:smooth val="0"/>
          <c:extLst>
            <c:ext xmlns:c16="http://schemas.microsoft.com/office/drawing/2014/chart" uri="{C3380CC4-5D6E-409C-BE32-E72D297353CC}">
              <c16:uniqueId val="{00000004-BC3B-4A68-A2A3-1B08A6174564}"/>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1</a:t>
            </a:r>
          </a:p>
        </c:rich>
      </c:tx>
      <c:layout>
        <c:manualLayout>
          <c:xMode val="edge"/>
          <c:yMode val="edge"/>
          <c:x val="0.14596932812403726"/>
          <c:y val="2.846565629774628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UMBRAL!$D$10</c:f>
              <c:numCache>
                <c:formatCode>_(* #,##0.00_);_(* \(#,##0.00\);_(* "-"??_);_(@_)</c:formatCode>
                <c:ptCount val="1"/>
                <c:pt idx="0">
                  <c:v>3796.2670041126221</c:v>
                </c:pt>
              </c:numCache>
            </c:numRef>
          </c:val>
          <c:extLst>
            <c:ext xmlns:c16="http://schemas.microsoft.com/office/drawing/2014/chart" uri="{C3380CC4-5D6E-409C-BE32-E72D297353CC}">
              <c16:uniqueId val="{00000000-EC7C-42DC-B6C6-60E4B4651CBA}"/>
            </c:ext>
          </c:extLst>
        </c:ser>
        <c:ser>
          <c:idx val="1"/>
          <c:order val="1"/>
          <c:tx>
            <c:v>2º Año</c:v>
          </c:tx>
          <c:spPr>
            <a:solidFill>
              <a:schemeClr val="accent2"/>
            </a:solidFill>
            <a:ln>
              <a:noFill/>
            </a:ln>
            <a:effectLst/>
          </c:spPr>
          <c:invertIfNegative val="0"/>
          <c:val>
            <c:numRef>
              <c:f>UMBRAL!$D$60</c:f>
              <c:numCache>
                <c:formatCode>_(* #,##0.00_);_(* \(#,##0.00\);_(* "-"??_);_(@_)</c:formatCode>
                <c:ptCount val="1"/>
                <c:pt idx="0">
                  <c:v>3420.3235626090222</c:v>
                </c:pt>
              </c:numCache>
            </c:numRef>
          </c:val>
          <c:extLst>
            <c:ext xmlns:c16="http://schemas.microsoft.com/office/drawing/2014/chart" uri="{C3380CC4-5D6E-409C-BE32-E72D297353CC}">
              <c16:uniqueId val="{00000001-EC7C-42DC-B6C6-60E4B4651CBA}"/>
            </c:ext>
          </c:extLst>
        </c:ser>
        <c:ser>
          <c:idx val="2"/>
          <c:order val="2"/>
          <c:tx>
            <c:v>3º Año</c:v>
          </c:tx>
          <c:spPr>
            <a:solidFill>
              <a:schemeClr val="accent3"/>
            </a:solidFill>
            <a:ln>
              <a:noFill/>
            </a:ln>
            <a:effectLst/>
          </c:spPr>
          <c:invertIfNegative val="0"/>
          <c:val>
            <c:numRef>
              <c:f>UMBRAL!$D$110</c:f>
              <c:numCache>
                <c:formatCode>_(* #,##0.00_);_(* \(#,##0.00\);_(* "-"??_);_(@_)</c:formatCode>
                <c:ptCount val="1"/>
                <c:pt idx="0">
                  <c:v>3305.2388035035528</c:v>
                </c:pt>
              </c:numCache>
            </c:numRef>
          </c:val>
          <c:extLst>
            <c:ext xmlns:c16="http://schemas.microsoft.com/office/drawing/2014/chart" uri="{C3380CC4-5D6E-409C-BE32-E72D297353CC}">
              <c16:uniqueId val="{00000002-EC7C-42DC-B6C6-60E4B4651CBA}"/>
            </c:ext>
          </c:extLst>
        </c:ser>
        <c:ser>
          <c:idx val="3"/>
          <c:order val="3"/>
          <c:tx>
            <c:v>4º Año</c:v>
          </c:tx>
          <c:spPr>
            <a:solidFill>
              <a:schemeClr val="accent4"/>
            </a:solidFill>
            <a:ln>
              <a:noFill/>
            </a:ln>
            <a:effectLst/>
          </c:spPr>
          <c:invertIfNegative val="0"/>
          <c:val>
            <c:numRef>
              <c:f>UMBRAL!$D$160</c:f>
              <c:numCache>
                <c:formatCode>_(* #,##0.00_);_(* \(#,##0.00\);_(* "-"??_);_(@_)</c:formatCode>
                <c:ptCount val="1"/>
                <c:pt idx="0">
                  <c:v>2968.4233961237337</c:v>
                </c:pt>
              </c:numCache>
            </c:numRef>
          </c:val>
          <c:extLst>
            <c:ext xmlns:c16="http://schemas.microsoft.com/office/drawing/2014/chart" uri="{C3380CC4-5D6E-409C-BE32-E72D297353CC}">
              <c16:uniqueId val="{00000003-EC7C-42DC-B6C6-60E4B4651CBA}"/>
            </c:ext>
          </c:extLst>
        </c:ser>
        <c:ser>
          <c:idx val="4"/>
          <c:order val="4"/>
          <c:tx>
            <c:v>5º Año</c:v>
          </c:tx>
          <c:spPr>
            <a:solidFill>
              <a:schemeClr val="accent5"/>
            </a:solidFill>
            <a:ln>
              <a:noFill/>
            </a:ln>
            <a:effectLst/>
          </c:spPr>
          <c:invertIfNegative val="0"/>
          <c:val>
            <c:numRef>
              <c:f>UMBRAL!$D$210</c:f>
              <c:numCache>
                <c:formatCode>_(* #,##0.00_);_(* \(#,##0.00\);_(* "-"??_);_(@_)</c:formatCode>
                <c:ptCount val="1"/>
                <c:pt idx="0">
                  <c:v>2773.6045302207322</c:v>
                </c:pt>
              </c:numCache>
            </c:numRef>
          </c:val>
          <c:extLst>
            <c:ext xmlns:c16="http://schemas.microsoft.com/office/drawing/2014/chart" uri="{C3380CC4-5D6E-409C-BE32-E72D297353CC}">
              <c16:uniqueId val="{00000004-EC7C-42DC-B6C6-60E4B4651CBA}"/>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5954546730269887"/>
          <c:h val="8.00602186849763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2</a:t>
            </a:r>
          </a:p>
        </c:rich>
      </c:tx>
      <c:layout>
        <c:manualLayout>
          <c:xMode val="edge"/>
          <c:yMode val="edge"/>
          <c:x val="0.14596932812403726"/>
          <c:y val="2.846565629774628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UMBRAL!$E$10</c:f>
              <c:numCache>
                <c:formatCode>_(* #,##0.00_);_(* \(#,##0.00\);_(* "-"??_);_(@_)</c:formatCode>
                <c:ptCount val="1"/>
                <c:pt idx="0">
                  <c:v>4555.5204049351469</c:v>
                </c:pt>
              </c:numCache>
            </c:numRef>
          </c:val>
          <c:extLst>
            <c:ext xmlns:c16="http://schemas.microsoft.com/office/drawing/2014/chart" uri="{C3380CC4-5D6E-409C-BE32-E72D297353CC}">
              <c16:uniqueId val="{00000000-D76F-497C-8726-453E20D9A799}"/>
            </c:ext>
          </c:extLst>
        </c:ser>
        <c:ser>
          <c:idx val="1"/>
          <c:order val="1"/>
          <c:tx>
            <c:v>2º Año</c:v>
          </c:tx>
          <c:spPr>
            <a:solidFill>
              <a:schemeClr val="accent2"/>
            </a:solidFill>
            <a:ln>
              <a:noFill/>
            </a:ln>
            <a:effectLst/>
          </c:spPr>
          <c:invertIfNegative val="0"/>
          <c:val>
            <c:numRef>
              <c:f>UMBRAL!$E$60</c:f>
              <c:numCache>
                <c:formatCode>_(* #,##0.00_);_(* \(#,##0.00\);_(* "-"??_);_(@_)</c:formatCode>
                <c:ptCount val="1"/>
                <c:pt idx="0">
                  <c:v>3078.2912063481199</c:v>
                </c:pt>
              </c:numCache>
            </c:numRef>
          </c:val>
          <c:extLst>
            <c:ext xmlns:c16="http://schemas.microsoft.com/office/drawing/2014/chart" uri="{C3380CC4-5D6E-409C-BE32-E72D297353CC}">
              <c16:uniqueId val="{00000001-D76F-497C-8726-453E20D9A799}"/>
            </c:ext>
          </c:extLst>
        </c:ser>
        <c:ser>
          <c:idx val="2"/>
          <c:order val="2"/>
          <c:tx>
            <c:v>3º Año</c:v>
          </c:tx>
          <c:spPr>
            <a:solidFill>
              <a:schemeClr val="accent3"/>
            </a:solidFill>
            <a:ln>
              <a:noFill/>
            </a:ln>
            <a:effectLst/>
          </c:spPr>
          <c:invertIfNegative val="0"/>
          <c:val>
            <c:numRef>
              <c:f>UMBRAL!$E$110</c:f>
              <c:numCache>
                <c:formatCode>_(* #,##0.00_);_(* \(#,##0.00\);_(* "-"??_);_(@_)</c:formatCode>
                <c:ptCount val="1"/>
                <c:pt idx="0">
                  <c:v>2892.0839530656085</c:v>
                </c:pt>
              </c:numCache>
            </c:numRef>
          </c:val>
          <c:extLst>
            <c:ext xmlns:c16="http://schemas.microsoft.com/office/drawing/2014/chart" uri="{C3380CC4-5D6E-409C-BE32-E72D297353CC}">
              <c16:uniqueId val="{00000002-D76F-497C-8726-453E20D9A799}"/>
            </c:ext>
          </c:extLst>
        </c:ser>
        <c:ser>
          <c:idx val="3"/>
          <c:order val="3"/>
          <c:tx>
            <c:v>4º Año</c:v>
          </c:tx>
          <c:spPr>
            <a:solidFill>
              <a:schemeClr val="accent4"/>
            </a:solidFill>
            <a:ln>
              <a:noFill/>
            </a:ln>
            <a:effectLst/>
          </c:spPr>
          <c:invertIfNegative val="0"/>
          <c:val>
            <c:numRef>
              <c:f>UMBRAL!$E$160</c:f>
              <c:numCache>
                <c:formatCode>_(* #,##0.00_);_(* \(#,##0.00\);_(* "-"??_);_(@_)</c:formatCode>
                <c:ptCount val="1"/>
                <c:pt idx="0">
                  <c:v>2721.0547797800891</c:v>
                </c:pt>
              </c:numCache>
            </c:numRef>
          </c:val>
          <c:extLst>
            <c:ext xmlns:c16="http://schemas.microsoft.com/office/drawing/2014/chart" uri="{C3380CC4-5D6E-409C-BE32-E72D297353CC}">
              <c16:uniqueId val="{00000003-D76F-497C-8726-453E20D9A799}"/>
            </c:ext>
          </c:extLst>
        </c:ser>
        <c:ser>
          <c:idx val="4"/>
          <c:order val="4"/>
          <c:tx>
            <c:v>5º Año</c:v>
          </c:tx>
          <c:spPr>
            <a:solidFill>
              <a:schemeClr val="accent5"/>
            </a:solidFill>
            <a:ln>
              <a:noFill/>
            </a:ln>
            <a:effectLst/>
          </c:spPr>
          <c:invertIfNegative val="0"/>
          <c:val>
            <c:numRef>
              <c:f>UMBRAL!$E$210</c:f>
              <c:numCache>
                <c:formatCode>_(* #,##0.00_);_(* \(#,##0.00\);_(* "-"??_);_(@_)</c:formatCode>
                <c:ptCount val="1"/>
                <c:pt idx="0">
                  <c:v>2311.3371085172766</c:v>
                </c:pt>
              </c:numCache>
            </c:numRef>
          </c:val>
          <c:extLst>
            <c:ext xmlns:c16="http://schemas.microsoft.com/office/drawing/2014/chart" uri="{C3380CC4-5D6E-409C-BE32-E72D297353CC}">
              <c16:uniqueId val="{00000004-D76F-497C-8726-453E20D9A799}"/>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5491408043801076"/>
          <c:h val="8.0739363010677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3</a:t>
            </a:r>
          </a:p>
        </c:rich>
      </c:tx>
      <c:layout>
        <c:manualLayout>
          <c:xMode val="edge"/>
          <c:yMode val="edge"/>
          <c:x val="0.13367838306649726"/>
          <c:y val="2.846565629774628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UMBRAL!$F$10</c:f>
              <c:numCache>
                <c:formatCode>_(* #,##0.00_);_(* \(#,##0.00\);_(* "-"??_);_(@_)</c:formatCode>
                <c:ptCount val="1"/>
                <c:pt idx="0">
                  <c:v>6074.0272065801964</c:v>
                </c:pt>
              </c:numCache>
            </c:numRef>
          </c:val>
          <c:extLst>
            <c:ext xmlns:c16="http://schemas.microsoft.com/office/drawing/2014/chart" uri="{C3380CC4-5D6E-409C-BE32-E72D297353CC}">
              <c16:uniqueId val="{00000000-FF20-4744-939E-2D80E429E492}"/>
            </c:ext>
          </c:extLst>
        </c:ser>
        <c:ser>
          <c:idx val="1"/>
          <c:order val="1"/>
          <c:tx>
            <c:v>2º Año</c:v>
          </c:tx>
          <c:spPr>
            <a:solidFill>
              <a:schemeClr val="accent2"/>
            </a:solidFill>
            <a:ln>
              <a:noFill/>
            </a:ln>
            <a:effectLst/>
          </c:spPr>
          <c:invertIfNegative val="0"/>
          <c:val>
            <c:numRef>
              <c:f>UMBRAL!$F$60</c:f>
              <c:numCache>
                <c:formatCode>_(* #,##0.00_);_(* \(#,##0.00\);_(* "-"??_);_(@_)</c:formatCode>
                <c:ptCount val="1"/>
                <c:pt idx="0">
                  <c:v>5130.4853439135341</c:v>
                </c:pt>
              </c:numCache>
            </c:numRef>
          </c:val>
          <c:extLst>
            <c:ext xmlns:c16="http://schemas.microsoft.com/office/drawing/2014/chart" uri="{C3380CC4-5D6E-409C-BE32-E72D297353CC}">
              <c16:uniqueId val="{00000001-FF20-4744-939E-2D80E429E492}"/>
            </c:ext>
          </c:extLst>
        </c:ser>
        <c:ser>
          <c:idx val="2"/>
          <c:order val="2"/>
          <c:tx>
            <c:v>3º Año</c:v>
          </c:tx>
          <c:spPr>
            <a:solidFill>
              <a:schemeClr val="accent3"/>
            </a:solidFill>
            <a:ln>
              <a:noFill/>
            </a:ln>
            <a:effectLst/>
          </c:spPr>
          <c:invertIfNegative val="0"/>
          <c:val>
            <c:numRef>
              <c:f>UMBRAL!$F$110</c:f>
              <c:numCache>
                <c:formatCode>_(* #,##0.00_);_(* \(#,##0.00\);_(* "-"??_);_(@_)</c:formatCode>
                <c:ptCount val="1"/>
                <c:pt idx="0">
                  <c:v>4544.7033548173849</c:v>
                </c:pt>
              </c:numCache>
            </c:numRef>
          </c:val>
          <c:extLst>
            <c:ext xmlns:c16="http://schemas.microsoft.com/office/drawing/2014/chart" uri="{C3380CC4-5D6E-409C-BE32-E72D297353CC}">
              <c16:uniqueId val="{00000002-FF20-4744-939E-2D80E429E492}"/>
            </c:ext>
          </c:extLst>
        </c:ser>
        <c:ser>
          <c:idx val="3"/>
          <c:order val="3"/>
          <c:tx>
            <c:v>4º Año</c:v>
          </c:tx>
          <c:spPr>
            <a:solidFill>
              <a:schemeClr val="accent4"/>
            </a:solidFill>
            <a:ln>
              <a:noFill/>
            </a:ln>
            <a:effectLst/>
          </c:spPr>
          <c:invertIfNegative val="0"/>
          <c:val>
            <c:numRef>
              <c:f>UMBRAL!$F$160</c:f>
              <c:numCache>
                <c:formatCode>_(* #,##0.00_);_(* \(#,##0.00\);_(* "-"??_);_(@_)</c:formatCode>
                <c:ptCount val="1"/>
                <c:pt idx="0">
                  <c:v>4081.5821696701341</c:v>
                </c:pt>
              </c:numCache>
            </c:numRef>
          </c:val>
          <c:extLst>
            <c:ext xmlns:c16="http://schemas.microsoft.com/office/drawing/2014/chart" uri="{C3380CC4-5D6E-409C-BE32-E72D297353CC}">
              <c16:uniqueId val="{00000003-FF20-4744-939E-2D80E429E492}"/>
            </c:ext>
          </c:extLst>
        </c:ser>
        <c:ser>
          <c:idx val="4"/>
          <c:order val="4"/>
          <c:tx>
            <c:v>5º Año</c:v>
          </c:tx>
          <c:spPr>
            <a:solidFill>
              <a:schemeClr val="accent5"/>
            </a:solidFill>
            <a:ln>
              <a:noFill/>
            </a:ln>
            <a:effectLst/>
          </c:spPr>
          <c:invertIfNegative val="0"/>
          <c:val>
            <c:numRef>
              <c:f>UMBRAL!$F$210</c:f>
              <c:numCache>
                <c:formatCode>_(* #,##0.00_);_(* \(#,##0.00\);_(* "-"??_);_(@_)</c:formatCode>
                <c:ptCount val="1"/>
                <c:pt idx="0">
                  <c:v>3728.9572017412065</c:v>
                </c:pt>
              </c:numCache>
            </c:numRef>
          </c:val>
          <c:extLst>
            <c:ext xmlns:c16="http://schemas.microsoft.com/office/drawing/2014/chart" uri="{C3380CC4-5D6E-409C-BE32-E72D297353CC}">
              <c16:uniqueId val="{00000004-FF20-4744-939E-2D80E429E492}"/>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5491408043801076"/>
          <c:h val="8.0739363010677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4</a:t>
            </a:r>
          </a:p>
        </c:rich>
      </c:tx>
      <c:layout>
        <c:manualLayout>
          <c:xMode val="edge"/>
          <c:yMode val="edge"/>
          <c:x val="0.13777536475234392"/>
          <c:y val="2.8465656297746281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UMBRAL!$G$10</c:f>
              <c:numCache>
                <c:formatCode>_(* #,##0.00_);_(* \(#,##0.00\);_(* "-"??_);_(@_)</c:formatCode>
                <c:ptCount val="1"/>
                <c:pt idx="0">
                  <c:v>126.54223347042075</c:v>
                </c:pt>
              </c:numCache>
            </c:numRef>
          </c:val>
          <c:extLst>
            <c:ext xmlns:c16="http://schemas.microsoft.com/office/drawing/2014/chart" uri="{C3380CC4-5D6E-409C-BE32-E72D297353CC}">
              <c16:uniqueId val="{00000000-4EC5-4DF3-8A67-8CE97CF145A4}"/>
            </c:ext>
          </c:extLst>
        </c:ser>
        <c:ser>
          <c:idx val="1"/>
          <c:order val="1"/>
          <c:tx>
            <c:v>2º Año</c:v>
          </c:tx>
          <c:spPr>
            <a:solidFill>
              <a:schemeClr val="accent2"/>
            </a:solidFill>
            <a:ln>
              <a:noFill/>
            </a:ln>
            <a:effectLst/>
          </c:spPr>
          <c:invertIfNegative val="0"/>
          <c:val>
            <c:numRef>
              <c:f>UMBRAL!$G$60</c:f>
              <c:numCache>
                <c:formatCode>_(* #,##0.00_);_(* \(#,##0.00\);_(* "-"??_);_(@_)</c:formatCode>
                <c:ptCount val="1"/>
                <c:pt idx="0">
                  <c:v>128.26213359783836</c:v>
                </c:pt>
              </c:numCache>
            </c:numRef>
          </c:val>
          <c:extLst>
            <c:ext xmlns:c16="http://schemas.microsoft.com/office/drawing/2014/chart" uri="{C3380CC4-5D6E-409C-BE32-E72D297353CC}">
              <c16:uniqueId val="{00000001-4EC5-4DF3-8A67-8CE97CF145A4}"/>
            </c:ext>
          </c:extLst>
        </c:ser>
        <c:ser>
          <c:idx val="2"/>
          <c:order val="2"/>
          <c:tx>
            <c:v>3º Año</c:v>
          </c:tx>
          <c:spPr>
            <a:solidFill>
              <a:schemeClr val="accent3"/>
            </a:solidFill>
            <a:ln>
              <a:noFill/>
            </a:ln>
            <a:effectLst/>
          </c:spPr>
          <c:invertIfNegative val="0"/>
          <c:val>
            <c:numRef>
              <c:f>UMBRAL!$G$110</c:f>
              <c:numCache>
                <c:formatCode>_(* #,##0.00_);_(* \(#,##0.00\);_(* "-"??_);_(@_)</c:formatCode>
                <c:ptCount val="1"/>
                <c:pt idx="0">
                  <c:v>123.94645513138323</c:v>
                </c:pt>
              </c:numCache>
            </c:numRef>
          </c:val>
          <c:extLst>
            <c:ext xmlns:c16="http://schemas.microsoft.com/office/drawing/2014/chart" uri="{C3380CC4-5D6E-409C-BE32-E72D297353CC}">
              <c16:uniqueId val="{00000002-4EC5-4DF3-8A67-8CE97CF145A4}"/>
            </c:ext>
          </c:extLst>
        </c:ser>
        <c:ser>
          <c:idx val="3"/>
          <c:order val="3"/>
          <c:tx>
            <c:v>4º Año</c:v>
          </c:tx>
          <c:spPr>
            <a:solidFill>
              <a:schemeClr val="accent4"/>
            </a:solidFill>
            <a:ln>
              <a:noFill/>
            </a:ln>
            <a:effectLst/>
          </c:spPr>
          <c:invertIfNegative val="0"/>
          <c:val>
            <c:numRef>
              <c:f>UMBRAL!$G$160</c:f>
              <c:numCache>
                <c:formatCode>_(* #,##0.00_);_(* \(#,##0.00\);_(* "-"??_);_(@_)</c:formatCode>
                <c:ptCount val="1"/>
                <c:pt idx="0">
                  <c:v>111.31587735464002</c:v>
                </c:pt>
              </c:numCache>
            </c:numRef>
          </c:val>
          <c:extLst>
            <c:ext xmlns:c16="http://schemas.microsoft.com/office/drawing/2014/chart" uri="{C3380CC4-5D6E-409C-BE32-E72D297353CC}">
              <c16:uniqueId val="{00000003-4EC5-4DF3-8A67-8CE97CF145A4}"/>
            </c:ext>
          </c:extLst>
        </c:ser>
        <c:ser>
          <c:idx val="4"/>
          <c:order val="4"/>
          <c:tx>
            <c:v>5º Año</c:v>
          </c:tx>
          <c:spPr>
            <a:solidFill>
              <a:schemeClr val="accent5"/>
            </a:solidFill>
            <a:ln>
              <a:noFill/>
            </a:ln>
            <a:effectLst/>
          </c:spPr>
          <c:invertIfNegative val="0"/>
          <c:val>
            <c:numRef>
              <c:f>UMBRAL!$G$210</c:f>
              <c:numCache>
                <c:formatCode>_(* #,##0.00_);_(* \(#,##0.00\);_(* "-"??_);_(@_)</c:formatCode>
                <c:ptCount val="1"/>
                <c:pt idx="0">
                  <c:v>100.157941369082</c:v>
                </c:pt>
              </c:numCache>
            </c:numRef>
          </c:val>
          <c:extLst>
            <c:ext xmlns:c16="http://schemas.microsoft.com/office/drawing/2014/chart" uri="{C3380CC4-5D6E-409C-BE32-E72D297353CC}">
              <c16:uniqueId val="{00000004-4EC5-4DF3-8A67-8CE97CF145A4}"/>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5491408043801076"/>
          <c:h val="8.0739363010677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r>
              <a:rPr lang="en-US" sz="800" b="1"/>
              <a:t>EVOLUCION PUNTO</a:t>
            </a:r>
            <a:r>
              <a:rPr lang="en-US" sz="800" b="1" baseline="0"/>
              <a:t> MUERTO ANUAL PARA</a:t>
            </a:r>
            <a:r>
              <a:rPr lang="en-US" sz="800" b="1"/>
              <a:t> PRODUCTO 5</a:t>
            </a:r>
          </a:p>
        </c:rich>
      </c:tx>
      <c:layout>
        <c:manualLayout>
          <c:xMode val="edge"/>
          <c:yMode val="edge"/>
          <c:x val="0.13367838306649726"/>
          <c:y val="2.846564566397612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397418241976286"/>
          <c:y val="0.15889900128090298"/>
          <c:w val="0.74750147274176393"/>
          <c:h val="0.68928564835727035"/>
        </c:manualLayout>
      </c:layout>
      <c:barChart>
        <c:barDir val="col"/>
        <c:grouping val="clustered"/>
        <c:varyColors val="0"/>
        <c:ser>
          <c:idx val="0"/>
          <c:order val="0"/>
          <c:tx>
            <c:v>1º Año</c:v>
          </c:tx>
          <c:spPr>
            <a:solidFill>
              <a:schemeClr val="accent1"/>
            </a:solidFill>
            <a:ln>
              <a:noFill/>
            </a:ln>
            <a:effectLst/>
          </c:spPr>
          <c:invertIfNegative val="0"/>
          <c:val>
            <c:numRef>
              <c:f>UMBRAL!$H$10</c:f>
              <c:numCache>
                <c:formatCode>_(* #,##0.00_);_(* \(#,##0.00\);_(* "-"??_);_(@_)</c:formatCode>
                <c:ptCount val="1"/>
                <c:pt idx="0">
                  <c:v>63.271116735210377</c:v>
                </c:pt>
              </c:numCache>
            </c:numRef>
          </c:val>
          <c:extLst>
            <c:ext xmlns:c16="http://schemas.microsoft.com/office/drawing/2014/chart" uri="{C3380CC4-5D6E-409C-BE32-E72D297353CC}">
              <c16:uniqueId val="{00000000-1027-4421-9194-7E7070868774}"/>
            </c:ext>
          </c:extLst>
        </c:ser>
        <c:ser>
          <c:idx val="1"/>
          <c:order val="1"/>
          <c:tx>
            <c:v>2º Año</c:v>
          </c:tx>
          <c:spPr>
            <a:solidFill>
              <a:schemeClr val="accent2"/>
            </a:solidFill>
            <a:ln>
              <a:noFill/>
            </a:ln>
            <a:effectLst/>
          </c:spPr>
          <c:invertIfNegative val="0"/>
          <c:val>
            <c:numRef>
              <c:f>UMBRAL!$H$60</c:f>
              <c:numCache>
                <c:formatCode>_(* #,##0.00_);_(* \(#,##0.00\);_(* "-"??_);_(@_)</c:formatCode>
                <c:ptCount val="1"/>
                <c:pt idx="0">
                  <c:v>62.420905017614658</c:v>
                </c:pt>
              </c:numCache>
            </c:numRef>
          </c:val>
          <c:extLst>
            <c:ext xmlns:c16="http://schemas.microsoft.com/office/drawing/2014/chart" uri="{C3380CC4-5D6E-409C-BE32-E72D297353CC}">
              <c16:uniqueId val="{00000001-1027-4421-9194-7E7070868774}"/>
            </c:ext>
          </c:extLst>
        </c:ser>
        <c:ser>
          <c:idx val="2"/>
          <c:order val="2"/>
          <c:tx>
            <c:v>3º Año</c:v>
          </c:tx>
          <c:spPr>
            <a:solidFill>
              <a:schemeClr val="accent3"/>
            </a:solidFill>
            <a:ln>
              <a:noFill/>
            </a:ln>
            <a:effectLst/>
          </c:spPr>
          <c:invertIfNegative val="0"/>
          <c:val>
            <c:numRef>
              <c:f>UMBRAL!$H$110</c:f>
              <c:numCache>
                <c:formatCode>_(* #,##0.00_);_(* \(#,##0.00\);_(* "-"??_);_(@_)</c:formatCode>
                <c:ptCount val="1"/>
                <c:pt idx="0">
                  <c:v>57.841679061312171</c:v>
                </c:pt>
              </c:numCache>
            </c:numRef>
          </c:val>
          <c:extLst>
            <c:ext xmlns:c16="http://schemas.microsoft.com/office/drawing/2014/chart" uri="{C3380CC4-5D6E-409C-BE32-E72D297353CC}">
              <c16:uniqueId val="{00000002-1027-4421-9194-7E7070868774}"/>
            </c:ext>
          </c:extLst>
        </c:ser>
        <c:ser>
          <c:idx val="3"/>
          <c:order val="3"/>
          <c:tx>
            <c:v>4º Año</c:v>
          </c:tx>
          <c:spPr>
            <a:solidFill>
              <a:schemeClr val="accent4"/>
            </a:solidFill>
            <a:ln>
              <a:noFill/>
            </a:ln>
            <a:effectLst/>
          </c:spPr>
          <c:invertIfNegative val="0"/>
          <c:val>
            <c:numRef>
              <c:f>UMBRAL!$H$160</c:f>
              <c:numCache>
                <c:formatCode>_(* #,##0.00_);_(* \(#,##0.00\);_(* "-"??_);_(@_)</c:formatCode>
                <c:ptCount val="1"/>
                <c:pt idx="0">
                  <c:v>54.421095595601784</c:v>
                </c:pt>
              </c:numCache>
            </c:numRef>
          </c:val>
          <c:extLst>
            <c:ext xmlns:c16="http://schemas.microsoft.com/office/drawing/2014/chart" uri="{C3380CC4-5D6E-409C-BE32-E72D297353CC}">
              <c16:uniqueId val="{00000003-1027-4421-9194-7E7070868774}"/>
            </c:ext>
          </c:extLst>
        </c:ser>
        <c:ser>
          <c:idx val="4"/>
          <c:order val="4"/>
          <c:tx>
            <c:v>5º Año</c:v>
          </c:tx>
          <c:spPr>
            <a:solidFill>
              <a:schemeClr val="accent5"/>
            </a:solidFill>
            <a:ln>
              <a:noFill/>
            </a:ln>
            <a:effectLst/>
          </c:spPr>
          <c:invertIfNegative val="0"/>
          <c:val>
            <c:numRef>
              <c:f>UMBRAL!$H$210</c:f>
              <c:numCache>
                <c:formatCode>_(* #,##0.00_);_(* \(#,##0.00\);_(* "-"??_);_(@_)</c:formatCode>
                <c:ptCount val="1"/>
                <c:pt idx="0">
                  <c:v>53.931199198736458</c:v>
                </c:pt>
              </c:numCache>
            </c:numRef>
          </c:val>
          <c:extLst>
            <c:ext xmlns:c16="http://schemas.microsoft.com/office/drawing/2014/chart" uri="{C3380CC4-5D6E-409C-BE32-E72D297353CC}">
              <c16:uniqueId val="{00000004-1027-4421-9194-7E7070868774}"/>
            </c:ext>
          </c:extLst>
        </c:ser>
        <c:dLbls>
          <c:showLegendKey val="0"/>
          <c:showVal val="0"/>
          <c:showCatName val="0"/>
          <c:showSerName val="0"/>
          <c:showPercent val="0"/>
          <c:showBubbleSize val="0"/>
        </c:dLbls>
        <c:gapWidth val="150"/>
        <c:axId val="1725573936"/>
        <c:axId val="1725574416"/>
      </c:barChart>
      <c:catAx>
        <c:axId val="1725573936"/>
        <c:scaling>
          <c:orientation val="minMax"/>
        </c:scaling>
        <c:delete val="1"/>
        <c:axPos val="b"/>
        <c:majorTickMark val="none"/>
        <c:minorTickMark val="none"/>
        <c:tickLblPos val="nextTo"/>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a:t>
                </a:r>
              </a:p>
            </c:rich>
          </c:tx>
          <c:layout>
            <c:manualLayout>
              <c:xMode val="edge"/>
              <c:yMode val="edge"/>
              <c:x val="4.7312391854672058E-3"/>
              <c:y val="0.386549668617261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5491408043801076"/>
          <c:h val="8.07393630106770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30129646209687E-2"/>
          <c:y val="0.1588990012809029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UMBRAL!$D$21:$O$21</c:f>
              <c:numCache>
                <c:formatCode>_-* #,##0_-;\-* #,##0_-;_-* "-"??_-;_-@_-</c:formatCode>
                <c:ptCount val="12"/>
                <c:pt idx="0">
                  <c:v>3000</c:v>
                </c:pt>
                <c:pt idx="1">
                  <c:v>2400</c:v>
                </c:pt>
                <c:pt idx="2">
                  <c:v>2800</c:v>
                </c:pt>
                <c:pt idx="3">
                  <c:v>1700</c:v>
                </c:pt>
                <c:pt idx="4">
                  <c:v>1600</c:v>
                </c:pt>
                <c:pt idx="5">
                  <c:v>3200</c:v>
                </c:pt>
                <c:pt idx="6">
                  <c:v>2300</c:v>
                </c:pt>
                <c:pt idx="7">
                  <c:v>2000</c:v>
                </c:pt>
                <c:pt idx="8">
                  <c:v>2000</c:v>
                </c:pt>
                <c:pt idx="9">
                  <c:v>4500</c:v>
                </c:pt>
                <c:pt idx="10">
                  <c:v>4500</c:v>
                </c:pt>
                <c:pt idx="11">
                  <c:v>6000</c:v>
                </c:pt>
              </c:numCache>
            </c:numRef>
          </c:val>
          <c:smooth val="0"/>
          <c:extLst>
            <c:ext xmlns:c16="http://schemas.microsoft.com/office/drawing/2014/chart" uri="{C3380CC4-5D6E-409C-BE32-E72D297353CC}">
              <c16:uniqueId val="{00000000-11CA-439F-8EB8-7FB2A5BAC2C4}"/>
            </c:ext>
          </c:extLst>
        </c:ser>
        <c:ser>
          <c:idx val="1"/>
          <c:order val="1"/>
          <c:tx>
            <c:v>2º Año</c:v>
          </c:tx>
          <c:spPr>
            <a:ln w="28575" cap="rnd">
              <a:solidFill>
                <a:schemeClr val="accent2"/>
              </a:solidFill>
              <a:round/>
            </a:ln>
            <a:effectLst/>
          </c:spPr>
          <c:marker>
            <c:symbol val="none"/>
          </c:marker>
          <c:val>
            <c:numRef>
              <c:f>UMBRAL!$D$71:$O$71</c:f>
              <c:numCache>
                <c:formatCode>_-* #,##0_-;\-* #,##0_-;_-* "-"??_-;_-@_-</c:formatCode>
                <c:ptCount val="12"/>
                <c:pt idx="0">
                  <c:v>3400</c:v>
                </c:pt>
                <c:pt idx="1">
                  <c:v>2900</c:v>
                </c:pt>
                <c:pt idx="2">
                  <c:v>2550</c:v>
                </c:pt>
                <c:pt idx="3">
                  <c:v>2000</c:v>
                </c:pt>
                <c:pt idx="4">
                  <c:v>1700</c:v>
                </c:pt>
                <c:pt idx="5">
                  <c:v>2000</c:v>
                </c:pt>
                <c:pt idx="6">
                  <c:v>1300</c:v>
                </c:pt>
                <c:pt idx="7">
                  <c:v>1300</c:v>
                </c:pt>
                <c:pt idx="8">
                  <c:v>1650</c:v>
                </c:pt>
                <c:pt idx="9">
                  <c:v>2200</c:v>
                </c:pt>
                <c:pt idx="10">
                  <c:v>5000</c:v>
                </c:pt>
                <c:pt idx="11">
                  <c:v>10000</c:v>
                </c:pt>
              </c:numCache>
            </c:numRef>
          </c:val>
          <c:smooth val="0"/>
          <c:extLst>
            <c:ext xmlns:c16="http://schemas.microsoft.com/office/drawing/2014/chart" uri="{C3380CC4-5D6E-409C-BE32-E72D297353CC}">
              <c16:uniqueId val="{00000001-11CA-439F-8EB8-7FB2A5BAC2C4}"/>
            </c:ext>
          </c:extLst>
        </c:ser>
        <c:ser>
          <c:idx val="2"/>
          <c:order val="2"/>
          <c:tx>
            <c:v>3º Año</c:v>
          </c:tx>
          <c:spPr>
            <a:ln w="28575" cap="rnd">
              <a:solidFill>
                <a:schemeClr val="accent3"/>
              </a:solidFill>
              <a:round/>
            </a:ln>
            <a:effectLst/>
          </c:spPr>
          <c:marker>
            <c:symbol val="none"/>
          </c:marker>
          <c:val>
            <c:numRef>
              <c:f>UMBRAL!$D$121:$O$121</c:f>
              <c:numCache>
                <c:formatCode>_-* #,##0_-;\-* #,##0_-;_-* "-"??_-;_-@_-</c:formatCode>
                <c:ptCount val="12"/>
                <c:pt idx="0">
                  <c:v>5650</c:v>
                </c:pt>
                <c:pt idx="1">
                  <c:v>4650</c:v>
                </c:pt>
                <c:pt idx="2">
                  <c:v>4250</c:v>
                </c:pt>
                <c:pt idx="3">
                  <c:v>3950</c:v>
                </c:pt>
                <c:pt idx="4">
                  <c:v>3850</c:v>
                </c:pt>
                <c:pt idx="5">
                  <c:v>3750</c:v>
                </c:pt>
                <c:pt idx="6">
                  <c:v>3750</c:v>
                </c:pt>
                <c:pt idx="7">
                  <c:v>3750</c:v>
                </c:pt>
                <c:pt idx="8">
                  <c:v>4750</c:v>
                </c:pt>
                <c:pt idx="9">
                  <c:v>7950</c:v>
                </c:pt>
                <c:pt idx="10">
                  <c:v>10950</c:v>
                </c:pt>
                <c:pt idx="11">
                  <c:v>12750</c:v>
                </c:pt>
              </c:numCache>
            </c:numRef>
          </c:val>
          <c:smooth val="0"/>
          <c:extLst>
            <c:ext xmlns:c16="http://schemas.microsoft.com/office/drawing/2014/chart" uri="{C3380CC4-5D6E-409C-BE32-E72D297353CC}">
              <c16:uniqueId val="{00000002-11CA-439F-8EB8-7FB2A5BAC2C4}"/>
            </c:ext>
          </c:extLst>
        </c:ser>
        <c:ser>
          <c:idx val="3"/>
          <c:order val="3"/>
          <c:tx>
            <c:v>4º Año</c:v>
          </c:tx>
          <c:spPr>
            <a:ln w="28575" cap="rnd">
              <a:solidFill>
                <a:schemeClr val="accent4"/>
              </a:solidFill>
              <a:round/>
            </a:ln>
            <a:effectLst/>
          </c:spPr>
          <c:marker>
            <c:symbol val="none"/>
          </c:marker>
          <c:val>
            <c:numRef>
              <c:f>UMBRAL!$D$171:$O$171</c:f>
              <c:numCache>
                <c:formatCode>_-* #,##0_-;\-* #,##0_-;_-* "-"??_-;_-@_-</c:formatCode>
                <c:ptCount val="12"/>
                <c:pt idx="0">
                  <c:v>10150</c:v>
                </c:pt>
                <c:pt idx="1">
                  <c:v>7750</c:v>
                </c:pt>
                <c:pt idx="2">
                  <c:v>7350</c:v>
                </c:pt>
                <c:pt idx="3">
                  <c:v>7350</c:v>
                </c:pt>
                <c:pt idx="4">
                  <c:v>6750</c:v>
                </c:pt>
                <c:pt idx="5">
                  <c:v>6750</c:v>
                </c:pt>
                <c:pt idx="6">
                  <c:v>6250</c:v>
                </c:pt>
                <c:pt idx="7">
                  <c:v>7350</c:v>
                </c:pt>
                <c:pt idx="8">
                  <c:v>7750</c:v>
                </c:pt>
                <c:pt idx="9">
                  <c:v>10150</c:v>
                </c:pt>
                <c:pt idx="10">
                  <c:v>10650</c:v>
                </c:pt>
                <c:pt idx="11">
                  <c:v>21750</c:v>
                </c:pt>
              </c:numCache>
            </c:numRef>
          </c:val>
          <c:smooth val="0"/>
          <c:extLst>
            <c:ext xmlns:c16="http://schemas.microsoft.com/office/drawing/2014/chart" uri="{C3380CC4-5D6E-409C-BE32-E72D297353CC}">
              <c16:uniqueId val="{00000003-11CA-439F-8EB8-7FB2A5BAC2C4}"/>
            </c:ext>
          </c:extLst>
        </c:ser>
        <c:ser>
          <c:idx val="4"/>
          <c:order val="4"/>
          <c:tx>
            <c:v>5º Año</c:v>
          </c:tx>
          <c:spPr>
            <a:ln w="28575" cap="rnd">
              <a:solidFill>
                <a:schemeClr val="accent5"/>
              </a:solidFill>
              <a:round/>
            </a:ln>
            <a:effectLst/>
          </c:spPr>
          <c:marker>
            <c:symbol val="none"/>
          </c:marker>
          <c:val>
            <c:numRef>
              <c:f>UMBRAL!$D$221:$O$221</c:f>
              <c:numCache>
                <c:formatCode>_-* #,##0_-;\-* #,##0_-;_-* "-"??_-;_-@_-</c:formatCode>
                <c:ptCount val="12"/>
                <c:pt idx="0">
                  <c:v>15500</c:v>
                </c:pt>
                <c:pt idx="1">
                  <c:v>10500</c:v>
                </c:pt>
                <c:pt idx="2">
                  <c:v>10300</c:v>
                </c:pt>
                <c:pt idx="3">
                  <c:v>9500</c:v>
                </c:pt>
                <c:pt idx="4">
                  <c:v>8900</c:v>
                </c:pt>
                <c:pt idx="5">
                  <c:v>8500</c:v>
                </c:pt>
                <c:pt idx="6">
                  <c:v>8900</c:v>
                </c:pt>
                <c:pt idx="7">
                  <c:v>9500</c:v>
                </c:pt>
                <c:pt idx="8">
                  <c:v>10900</c:v>
                </c:pt>
                <c:pt idx="9">
                  <c:v>12500</c:v>
                </c:pt>
                <c:pt idx="10">
                  <c:v>17500</c:v>
                </c:pt>
                <c:pt idx="11">
                  <c:v>27500</c:v>
                </c:pt>
              </c:numCache>
            </c:numRef>
          </c:val>
          <c:smooth val="0"/>
          <c:extLst>
            <c:ext xmlns:c16="http://schemas.microsoft.com/office/drawing/2014/chart" uri="{C3380CC4-5D6E-409C-BE32-E72D297353CC}">
              <c16:uniqueId val="{00000004-11CA-439F-8EB8-7FB2A5BAC2C4}"/>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30129646209687E-2"/>
          <c:y val="0.1588990012809029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UMBRAL!$D$22:$O$22</c:f>
              <c:numCache>
                <c:formatCode>_-* #,##0_-;\-* #,##0_-;_-* "-"??_-;_-@_-</c:formatCode>
                <c:ptCount val="12"/>
                <c:pt idx="0">
                  <c:v>2000</c:v>
                </c:pt>
                <c:pt idx="1">
                  <c:v>3000</c:v>
                </c:pt>
                <c:pt idx="2">
                  <c:v>4000</c:v>
                </c:pt>
                <c:pt idx="3">
                  <c:v>10000</c:v>
                </c:pt>
                <c:pt idx="4">
                  <c:v>10000</c:v>
                </c:pt>
                <c:pt idx="5">
                  <c:v>3000</c:v>
                </c:pt>
                <c:pt idx="6">
                  <c:v>5000</c:v>
                </c:pt>
                <c:pt idx="7">
                  <c:v>4000</c:v>
                </c:pt>
                <c:pt idx="8">
                  <c:v>2400</c:v>
                </c:pt>
                <c:pt idx="9">
                  <c:v>2000</c:v>
                </c:pt>
                <c:pt idx="10">
                  <c:v>1000</c:v>
                </c:pt>
                <c:pt idx="11">
                  <c:v>1600</c:v>
                </c:pt>
              </c:numCache>
            </c:numRef>
          </c:val>
          <c:smooth val="0"/>
          <c:extLst>
            <c:ext xmlns:c16="http://schemas.microsoft.com/office/drawing/2014/chart" uri="{C3380CC4-5D6E-409C-BE32-E72D297353CC}">
              <c16:uniqueId val="{00000000-39EB-44BE-ABE2-C0B1A49183EF}"/>
            </c:ext>
          </c:extLst>
        </c:ser>
        <c:ser>
          <c:idx val="1"/>
          <c:order val="1"/>
          <c:tx>
            <c:v>2º Año</c:v>
          </c:tx>
          <c:spPr>
            <a:ln w="28575" cap="rnd">
              <a:solidFill>
                <a:schemeClr val="accent2"/>
              </a:solidFill>
              <a:round/>
            </a:ln>
            <a:effectLst/>
          </c:spPr>
          <c:marker>
            <c:symbol val="none"/>
          </c:marker>
          <c:val>
            <c:numRef>
              <c:f>UMBRAL!$D$72:$O$72</c:f>
              <c:numCache>
                <c:formatCode>_-* #,##0_-;\-* #,##0_-;_-* "-"??_-;_-@_-</c:formatCode>
                <c:ptCount val="12"/>
                <c:pt idx="0">
                  <c:v>5500</c:v>
                </c:pt>
                <c:pt idx="1">
                  <c:v>5500</c:v>
                </c:pt>
                <c:pt idx="2">
                  <c:v>6000</c:v>
                </c:pt>
                <c:pt idx="3">
                  <c:v>5500</c:v>
                </c:pt>
                <c:pt idx="4">
                  <c:v>7000</c:v>
                </c:pt>
                <c:pt idx="5">
                  <c:v>6000</c:v>
                </c:pt>
                <c:pt idx="6">
                  <c:v>7000</c:v>
                </c:pt>
                <c:pt idx="7">
                  <c:v>5000</c:v>
                </c:pt>
                <c:pt idx="8">
                  <c:v>3500</c:v>
                </c:pt>
                <c:pt idx="9">
                  <c:v>2000</c:v>
                </c:pt>
                <c:pt idx="10">
                  <c:v>3000</c:v>
                </c:pt>
                <c:pt idx="11">
                  <c:v>4000</c:v>
                </c:pt>
              </c:numCache>
            </c:numRef>
          </c:val>
          <c:smooth val="0"/>
          <c:extLst>
            <c:ext xmlns:c16="http://schemas.microsoft.com/office/drawing/2014/chart" uri="{C3380CC4-5D6E-409C-BE32-E72D297353CC}">
              <c16:uniqueId val="{00000001-39EB-44BE-ABE2-C0B1A49183EF}"/>
            </c:ext>
          </c:extLst>
        </c:ser>
        <c:ser>
          <c:idx val="2"/>
          <c:order val="2"/>
          <c:tx>
            <c:v>3º Año</c:v>
          </c:tx>
          <c:spPr>
            <a:ln w="28575" cap="rnd">
              <a:solidFill>
                <a:schemeClr val="accent3"/>
              </a:solidFill>
              <a:round/>
            </a:ln>
            <a:effectLst/>
          </c:spPr>
          <c:marker>
            <c:symbol val="none"/>
          </c:marker>
          <c:val>
            <c:numRef>
              <c:f>UMBRAL!$D$122:$O$122</c:f>
              <c:numCache>
                <c:formatCode>_-* #,##0_-;\-* #,##0_-;_-* "-"??_-;_-@_-</c:formatCode>
                <c:ptCount val="12"/>
                <c:pt idx="0">
                  <c:v>7250</c:v>
                </c:pt>
                <c:pt idx="1">
                  <c:v>8850</c:v>
                </c:pt>
                <c:pt idx="2">
                  <c:v>13250</c:v>
                </c:pt>
                <c:pt idx="3">
                  <c:v>18250</c:v>
                </c:pt>
                <c:pt idx="4">
                  <c:v>14250</c:v>
                </c:pt>
                <c:pt idx="5">
                  <c:v>11250</c:v>
                </c:pt>
                <c:pt idx="6">
                  <c:v>9250</c:v>
                </c:pt>
                <c:pt idx="7">
                  <c:v>7250</c:v>
                </c:pt>
                <c:pt idx="8">
                  <c:v>5250</c:v>
                </c:pt>
                <c:pt idx="9">
                  <c:v>4750</c:v>
                </c:pt>
                <c:pt idx="10">
                  <c:v>5550</c:v>
                </c:pt>
                <c:pt idx="11">
                  <c:v>4850</c:v>
                </c:pt>
              </c:numCache>
            </c:numRef>
          </c:val>
          <c:smooth val="0"/>
          <c:extLst>
            <c:ext xmlns:c16="http://schemas.microsoft.com/office/drawing/2014/chart" uri="{C3380CC4-5D6E-409C-BE32-E72D297353CC}">
              <c16:uniqueId val="{00000002-39EB-44BE-ABE2-C0B1A49183EF}"/>
            </c:ext>
          </c:extLst>
        </c:ser>
        <c:ser>
          <c:idx val="3"/>
          <c:order val="3"/>
          <c:tx>
            <c:v>4º Año</c:v>
          </c:tx>
          <c:spPr>
            <a:ln w="28575" cap="rnd">
              <a:solidFill>
                <a:schemeClr val="accent4"/>
              </a:solidFill>
              <a:round/>
            </a:ln>
            <a:effectLst/>
          </c:spPr>
          <c:marker>
            <c:symbol val="none"/>
          </c:marker>
          <c:val>
            <c:numRef>
              <c:f>UMBRAL!$D$172:$O$172</c:f>
              <c:numCache>
                <c:formatCode>_-* #,##0_-;\-* #,##0_-;_-* "-"??_-;_-@_-</c:formatCode>
                <c:ptCount val="12"/>
                <c:pt idx="0">
                  <c:v>11050</c:v>
                </c:pt>
                <c:pt idx="1">
                  <c:v>11850</c:v>
                </c:pt>
                <c:pt idx="2">
                  <c:v>14250</c:v>
                </c:pt>
                <c:pt idx="3">
                  <c:v>19250</c:v>
                </c:pt>
                <c:pt idx="4">
                  <c:v>21750</c:v>
                </c:pt>
                <c:pt idx="5">
                  <c:v>14250</c:v>
                </c:pt>
                <c:pt idx="6">
                  <c:v>17250</c:v>
                </c:pt>
                <c:pt idx="7">
                  <c:v>19550</c:v>
                </c:pt>
                <c:pt idx="8">
                  <c:v>9750</c:v>
                </c:pt>
                <c:pt idx="9">
                  <c:v>8750</c:v>
                </c:pt>
                <c:pt idx="10">
                  <c:v>8250</c:v>
                </c:pt>
                <c:pt idx="11">
                  <c:v>9050</c:v>
                </c:pt>
              </c:numCache>
            </c:numRef>
          </c:val>
          <c:smooth val="0"/>
          <c:extLst>
            <c:ext xmlns:c16="http://schemas.microsoft.com/office/drawing/2014/chart" uri="{C3380CC4-5D6E-409C-BE32-E72D297353CC}">
              <c16:uniqueId val="{00000003-39EB-44BE-ABE2-C0B1A49183EF}"/>
            </c:ext>
          </c:extLst>
        </c:ser>
        <c:ser>
          <c:idx val="4"/>
          <c:order val="4"/>
          <c:tx>
            <c:v>5º Año</c:v>
          </c:tx>
          <c:spPr>
            <a:ln w="28575" cap="rnd">
              <a:solidFill>
                <a:schemeClr val="accent5"/>
              </a:solidFill>
              <a:round/>
            </a:ln>
            <a:effectLst/>
          </c:spPr>
          <c:marker>
            <c:symbol val="none"/>
          </c:marker>
          <c:val>
            <c:numRef>
              <c:f>UMBRAL!$D$222:$O$222</c:f>
              <c:numCache>
                <c:formatCode>_-* #,##0_-;\-* #,##0_-;_-* "-"??_-;_-@_-</c:formatCode>
                <c:ptCount val="12"/>
                <c:pt idx="0">
                  <c:v>17250</c:v>
                </c:pt>
                <c:pt idx="1">
                  <c:v>17250</c:v>
                </c:pt>
                <c:pt idx="2">
                  <c:v>28250</c:v>
                </c:pt>
                <c:pt idx="3">
                  <c:v>24250</c:v>
                </c:pt>
                <c:pt idx="4">
                  <c:v>22250</c:v>
                </c:pt>
                <c:pt idx="5">
                  <c:v>19250</c:v>
                </c:pt>
                <c:pt idx="6">
                  <c:v>22750</c:v>
                </c:pt>
                <c:pt idx="7">
                  <c:v>22750</c:v>
                </c:pt>
                <c:pt idx="8">
                  <c:v>18250</c:v>
                </c:pt>
                <c:pt idx="9">
                  <c:v>17250</c:v>
                </c:pt>
                <c:pt idx="10">
                  <c:v>16650</c:v>
                </c:pt>
                <c:pt idx="11">
                  <c:v>15850</c:v>
                </c:pt>
              </c:numCache>
            </c:numRef>
          </c:val>
          <c:smooth val="0"/>
          <c:extLst>
            <c:ext xmlns:c16="http://schemas.microsoft.com/office/drawing/2014/chart" uri="{C3380CC4-5D6E-409C-BE32-E72D297353CC}">
              <c16:uniqueId val="{00000004-39EB-44BE-ABE2-C0B1A49183EF}"/>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30129646209687E-2"/>
          <c:y val="0.1588990012809029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UMBRAL!$D$23:$O$23</c:f>
              <c:numCache>
                <c:formatCode>_-* #,##0_-;\-* #,##0_-;_-* "-"??_-;_-@_-</c:formatCode>
                <c:ptCount val="12"/>
                <c:pt idx="0">
                  <c:v>80</c:v>
                </c:pt>
                <c:pt idx="1">
                  <c:v>70</c:v>
                </c:pt>
                <c:pt idx="2">
                  <c:v>90</c:v>
                </c:pt>
                <c:pt idx="3">
                  <c:v>90</c:v>
                </c:pt>
                <c:pt idx="4">
                  <c:v>130</c:v>
                </c:pt>
                <c:pt idx="5">
                  <c:v>130</c:v>
                </c:pt>
                <c:pt idx="6">
                  <c:v>140</c:v>
                </c:pt>
                <c:pt idx="7">
                  <c:v>80</c:v>
                </c:pt>
                <c:pt idx="8">
                  <c:v>50</c:v>
                </c:pt>
                <c:pt idx="9">
                  <c:v>40</c:v>
                </c:pt>
                <c:pt idx="10">
                  <c:v>30</c:v>
                </c:pt>
                <c:pt idx="11">
                  <c:v>70</c:v>
                </c:pt>
              </c:numCache>
            </c:numRef>
          </c:val>
          <c:smooth val="0"/>
          <c:extLst>
            <c:ext xmlns:c16="http://schemas.microsoft.com/office/drawing/2014/chart" uri="{C3380CC4-5D6E-409C-BE32-E72D297353CC}">
              <c16:uniqueId val="{00000000-4C58-45A4-9948-751A2B4B65E7}"/>
            </c:ext>
          </c:extLst>
        </c:ser>
        <c:ser>
          <c:idx val="1"/>
          <c:order val="1"/>
          <c:tx>
            <c:v>2º Año</c:v>
          </c:tx>
          <c:spPr>
            <a:ln w="28575" cap="rnd">
              <a:solidFill>
                <a:schemeClr val="accent2"/>
              </a:solidFill>
              <a:round/>
            </a:ln>
            <a:effectLst/>
          </c:spPr>
          <c:marker>
            <c:symbol val="none"/>
          </c:marker>
          <c:val>
            <c:numRef>
              <c:f>UMBRAL!$D$73:$O$73</c:f>
              <c:numCache>
                <c:formatCode>_-* #,##0_-;\-* #,##0_-;_-* "-"??_-;_-@_-</c:formatCode>
                <c:ptCount val="12"/>
                <c:pt idx="0">
                  <c:v>90</c:v>
                </c:pt>
                <c:pt idx="1">
                  <c:v>80</c:v>
                </c:pt>
                <c:pt idx="2">
                  <c:v>80</c:v>
                </c:pt>
                <c:pt idx="3">
                  <c:v>100</c:v>
                </c:pt>
                <c:pt idx="4">
                  <c:v>60</c:v>
                </c:pt>
                <c:pt idx="5">
                  <c:v>120</c:v>
                </c:pt>
                <c:pt idx="6">
                  <c:v>120</c:v>
                </c:pt>
                <c:pt idx="7">
                  <c:v>200</c:v>
                </c:pt>
                <c:pt idx="8">
                  <c:v>170</c:v>
                </c:pt>
                <c:pt idx="9">
                  <c:v>220</c:v>
                </c:pt>
                <c:pt idx="10">
                  <c:v>150</c:v>
                </c:pt>
                <c:pt idx="11">
                  <c:v>110</c:v>
                </c:pt>
              </c:numCache>
            </c:numRef>
          </c:val>
          <c:smooth val="0"/>
          <c:extLst>
            <c:ext xmlns:c16="http://schemas.microsoft.com/office/drawing/2014/chart" uri="{C3380CC4-5D6E-409C-BE32-E72D297353CC}">
              <c16:uniqueId val="{00000001-4C58-45A4-9948-751A2B4B65E7}"/>
            </c:ext>
          </c:extLst>
        </c:ser>
        <c:ser>
          <c:idx val="2"/>
          <c:order val="2"/>
          <c:tx>
            <c:v>3º Año</c:v>
          </c:tx>
          <c:spPr>
            <a:ln w="28575" cap="rnd">
              <a:solidFill>
                <a:schemeClr val="accent3"/>
              </a:solidFill>
              <a:round/>
            </a:ln>
            <a:effectLst/>
          </c:spPr>
          <c:marker>
            <c:symbol val="none"/>
          </c:marker>
          <c:val>
            <c:numRef>
              <c:f>UMBRAL!$D$123:$O$123</c:f>
              <c:numCache>
                <c:formatCode>_-* #,##0_-;\-* #,##0_-;_-* "-"??_-;_-@_-</c:formatCode>
                <c:ptCount val="12"/>
                <c:pt idx="0">
                  <c:v>195</c:v>
                </c:pt>
                <c:pt idx="1">
                  <c:v>215</c:v>
                </c:pt>
                <c:pt idx="2">
                  <c:v>255</c:v>
                </c:pt>
                <c:pt idx="3">
                  <c:v>235</c:v>
                </c:pt>
                <c:pt idx="4">
                  <c:v>225</c:v>
                </c:pt>
                <c:pt idx="5">
                  <c:v>165</c:v>
                </c:pt>
                <c:pt idx="6">
                  <c:v>195</c:v>
                </c:pt>
                <c:pt idx="7">
                  <c:v>275</c:v>
                </c:pt>
                <c:pt idx="8">
                  <c:v>295</c:v>
                </c:pt>
                <c:pt idx="9">
                  <c:v>345</c:v>
                </c:pt>
                <c:pt idx="10">
                  <c:v>285</c:v>
                </c:pt>
                <c:pt idx="11">
                  <c:v>315</c:v>
                </c:pt>
              </c:numCache>
            </c:numRef>
          </c:val>
          <c:smooth val="0"/>
          <c:extLst>
            <c:ext xmlns:c16="http://schemas.microsoft.com/office/drawing/2014/chart" uri="{C3380CC4-5D6E-409C-BE32-E72D297353CC}">
              <c16:uniqueId val="{00000002-4C58-45A4-9948-751A2B4B65E7}"/>
            </c:ext>
          </c:extLst>
        </c:ser>
        <c:ser>
          <c:idx val="3"/>
          <c:order val="3"/>
          <c:tx>
            <c:v>4º Año</c:v>
          </c:tx>
          <c:spPr>
            <a:ln w="28575" cap="rnd">
              <a:solidFill>
                <a:schemeClr val="accent4"/>
              </a:solidFill>
              <a:round/>
            </a:ln>
            <a:effectLst/>
          </c:spPr>
          <c:marker>
            <c:symbol val="none"/>
          </c:marker>
          <c:val>
            <c:numRef>
              <c:f>UMBRAL!$D$173:$O$173</c:f>
              <c:numCache>
                <c:formatCode>_-* #,##0_-;\-* #,##0_-;_-* "-"??_-;_-@_-</c:formatCode>
                <c:ptCount val="12"/>
                <c:pt idx="0">
                  <c:v>365</c:v>
                </c:pt>
                <c:pt idx="1">
                  <c:v>335</c:v>
                </c:pt>
                <c:pt idx="2">
                  <c:v>325</c:v>
                </c:pt>
                <c:pt idx="3">
                  <c:v>425</c:v>
                </c:pt>
                <c:pt idx="4">
                  <c:v>525</c:v>
                </c:pt>
                <c:pt idx="5">
                  <c:v>325</c:v>
                </c:pt>
                <c:pt idx="6">
                  <c:v>375</c:v>
                </c:pt>
                <c:pt idx="7">
                  <c:v>425</c:v>
                </c:pt>
                <c:pt idx="8">
                  <c:v>365</c:v>
                </c:pt>
                <c:pt idx="9">
                  <c:v>335</c:v>
                </c:pt>
                <c:pt idx="10">
                  <c:v>275</c:v>
                </c:pt>
                <c:pt idx="11">
                  <c:v>425</c:v>
                </c:pt>
              </c:numCache>
            </c:numRef>
          </c:val>
          <c:smooth val="0"/>
          <c:extLst>
            <c:ext xmlns:c16="http://schemas.microsoft.com/office/drawing/2014/chart" uri="{C3380CC4-5D6E-409C-BE32-E72D297353CC}">
              <c16:uniqueId val="{00000003-4C58-45A4-9948-751A2B4B65E7}"/>
            </c:ext>
          </c:extLst>
        </c:ser>
        <c:ser>
          <c:idx val="4"/>
          <c:order val="4"/>
          <c:tx>
            <c:v>5º Año</c:v>
          </c:tx>
          <c:spPr>
            <a:ln w="28575" cap="rnd">
              <a:solidFill>
                <a:schemeClr val="accent5"/>
              </a:solidFill>
              <a:round/>
            </a:ln>
            <a:effectLst/>
          </c:spPr>
          <c:marker>
            <c:symbol val="none"/>
          </c:marker>
          <c:val>
            <c:numRef>
              <c:f>UMBRAL!$D$223:$O$223</c:f>
              <c:numCache>
                <c:formatCode>_-* #,##0_-;\-* #,##0_-;_-* "-"??_-;_-@_-</c:formatCode>
                <c:ptCount val="12"/>
                <c:pt idx="0">
                  <c:v>555</c:v>
                </c:pt>
                <c:pt idx="1">
                  <c:v>465</c:v>
                </c:pt>
                <c:pt idx="2">
                  <c:v>535</c:v>
                </c:pt>
                <c:pt idx="3">
                  <c:v>575</c:v>
                </c:pt>
                <c:pt idx="4">
                  <c:v>545</c:v>
                </c:pt>
                <c:pt idx="5">
                  <c:v>595</c:v>
                </c:pt>
                <c:pt idx="6">
                  <c:v>725</c:v>
                </c:pt>
                <c:pt idx="7">
                  <c:v>655</c:v>
                </c:pt>
                <c:pt idx="8">
                  <c:v>495</c:v>
                </c:pt>
                <c:pt idx="9">
                  <c:v>425</c:v>
                </c:pt>
                <c:pt idx="10">
                  <c:v>395</c:v>
                </c:pt>
                <c:pt idx="11">
                  <c:v>535</c:v>
                </c:pt>
              </c:numCache>
            </c:numRef>
          </c:val>
          <c:smooth val="0"/>
          <c:extLst>
            <c:ext xmlns:c16="http://schemas.microsoft.com/office/drawing/2014/chart" uri="{C3380CC4-5D6E-409C-BE32-E72D297353CC}">
              <c16:uniqueId val="{00000004-4C58-45A4-9948-751A2B4B65E7}"/>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VENTA MENSUAL PRODUCTO 5</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30129646209687E-2"/>
          <c:y val="0.15889900128090298"/>
          <c:w val="0.87618576686874472"/>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UMBRAL!$D$24:$O$24</c:f>
              <c:numCache>
                <c:formatCode>_-* #,##0_-;\-* #,##0_-;_-* "-"??_-;_-@_-</c:formatCode>
                <c:ptCount val="12"/>
                <c:pt idx="0">
                  <c:v>20</c:v>
                </c:pt>
                <c:pt idx="1">
                  <c:v>20</c:v>
                </c:pt>
                <c:pt idx="2">
                  <c:v>30</c:v>
                </c:pt>
                <c:pt idx="3">
                  <c:v>20</c:v>
                </c:pt>
                <c:pt idx="4">
                  <c:v>40</c:v>
                </c:pt>
                <c:pt idx="5">
                  <c:v>50</c:v>
                </c:pt>
                <c:pt idx="6">
                  <c:v>70</c:v>
                </c:pt>
                <c:pt idx="7">
                  <c:v>100</c:v>
                </c:pt>
                <c:pt idx="8">
                  <c:v>30</c:v>
                </c:pt>
                <c:pt idx="9">
                  <c:v>35</c:v>
                </c:pt>
                <c:pt idx="10">
                  <c:v>35</c:v>
                </c:pt>
                <c:pt idx="11">
                  <c:v>50</c:v>
                </c:pt>
              </c:numCache>
            </c:numRef>
          </c:val>
          <c:smooth val="0"/>
          <c:extLst>
            <c:ext xmlns:c16="http://schemas.microsoft.com/office/drawing/2014/chart" uri="{C3380CC4-5D6E-409C-BE32-E72D297353CC}">
              <c16:uniqueId val="{00000000-D6E0-4B1E-AC43-5115668DF15F}"/>
            </c:ext>
          </c:extLst>
        </c:ser>
        <c:ser>
          <c:idx val="1"/>
          <c:order val="1"/>
          <c:tx>
            <c:v>2º Año</c:v>
          </c:tx>
          <c:spPr>
            <a:ln w="28575" cap="rnd">
              <a:solidFill>
                <a:schemeClr val="accent2"/>
              </a:solidFill>
              <a:round/>
            </a:ln>
            <a:effectLst/>
          </c:spPr>
          <c:marker>
            <c:symbol val="none"/>
          </c:marker>
          <c:val>
            <c:numRef>
              <c:f>UMBRAL!$D$74:$O$74</c:f>
              <c:numCache>
                <c:formatCode>_-* #,##0_-;\-* #,##0_-;_-* "-"??_-;_-@_-</c:formatCode>
                <c:ptCount val="12"/>
                <c:pt idx="0">
                  <c:v>40</c:v>
                </c:pt>
                <c:pt idx="1">
                  <c:v>30</c:v>
                </c:pt>
                <c:pt idx="2">
                  <c:v>40</c:v>
                </c:pt>
                <c:pt idx="3">
                  <c:v>50</c:v>
                </c:pt>
                <c:pt idx="4">
                  <c:v>60</c:v>
                </c:pt>
                <c:pt idx="5">
                  <c:v>80</c:v>
                </c:pt>
                <c:pt idx="6">
                  <c:v>100</c:v>
                </c:pt>
                <c:pt idx="7">
                  <c:v>140</c:v>
                </c:pt>
                <c:pt idx="8">
                  <c:v>50</c:v>
                </c:pt>
                <c:pt idx="9">
                  <c:v>40</c:v>
                </c:pt>
                <c:pt idx="10">
                  <c:v>40</c:v>
                </c:pt>
                <c:pt idx="11">
                  <c:v>60</c:v>
                </c:pt>
              </c:numCache>
            </c:numRef>
          </c:val>
          <c:smooth val="0"/>
          <c:extLst>
            <c:ext xmlns:c16="http://schemas.microsoft.com/office/drawing/2014/chart" uri="{C3380CC4-5D6E-409C-BE32-E72D297353CC}">
              <c16:uniqueId val="{00000001-D6E0-4B1E-AC43-5115668DF15F}"/>
            </c:ext>
          </c:extLst>
        </c:ser>
        <c:ser>
          <c:idx val="2"/>
          <c:order val="2"/>
          <c:tx>
            <c:v>3º Año</c:v>
          </c:tx>
          <c:spPr>
            <a:ln w="28575" cap="rnd">
              <a:solidFill>
                <a:schemeClr val="accent3"/>
              </a:solidFill>
              <a:round/>
            </a:ln>
            <a:effectLst/>
          </c:spPr>
          <c:marker>
            <c:symbol val="none"/>
          </c:marker>
          <c:val>
            <c:numRef>
              <c:f>UMBRAL!$D$124:$O$124</c:f>
              <c:numCache>
                <c:formatCode>_-* #,##0_-;\-* #,##0_-;_-* "-"??_-;_-@_-</c:formatCode>
                <c:ptCount val="12"/>
                <c:pt idx="0">
                  <c:v>105</c:v>
                </c:pt>
                <c:pt idx="1">
                  <c:v>85</c:v>
                </c:pt>
                <c:pt idx="2">
                  <c:v>125</c:v>
                </c:pt>
                <c:pt idx="3">
                  <c:v>95</c:v>
                </c:pt>
                <c:pt idx="4">
                  <c:v>95</c:v>
                </c:pt>
                <c:pt idx="5">
                  <c:v>115</c:v>
                </c:pt>
                <c:pt idx="6">
                  <c:v>145</c:v>
                </c:pt>
                <c:pt idx="7">
                  <c:v>195</c:v>
                </c:pt>
                <c:pt idx="8">
                  <c:v>135</c:v>
                </c:pt>
                <c:pt idx="9">
                  <c:v>85</c:v>
                </c:pt>
                <c:pt idx="10">
                  <c:v>95</c:v>
                </c:pt>
                <c:pt idx="11">
                  <c:v>125</c:v>
                </c:pt>
              </c:numCache>
            </c:numRef>
          </c:val>
          <c:smooth val="0"/>
          <c:extLst>
            <c:ext xmlns:c16="http://schemas.microsoft.com/office/drawing/2014/chart" uri="{C3380CC4-5D6E-409C-BE32-E72D297353CC}">
              <c16:uniqueId val="{00000002-D6E0-4B1E-AC43-5115668DF15F}"/>
            </c:ext>
          </c:extLst>
        </c:ser>
        <c:ser>
          <c:idx val="3"/>
          <c:order val="3"/>
          <c:tx>
            <c:v>4º Año</c:v>
          </c:tx>
          <c:spPr>
            <a:ln w="28575" cap="rnd">
              <a:solidFill>
                <a:schemeClr val="accent4"/>
              </a:solidFill>
              <a:round/>
            </a:ln>
            <a:effectLst/>
          </c:spPr>
          <c:marker>
            <c:symbol val="none"/>
          </c:marker>
          <c:val>
            <c:numRef>
              <c:f>UMBRAL!$D$174:$O$174</c:f>
              <c:numCache>
                <c:formatCode>_-* #,##0_-;\-* #,##0_-;_-* "-"??_-;_-@_-</c:formatCode>
                <c:ptCount val="12"/>
                <c:pt idx="0">
                  <c:v>270</c:v>
                </c:pt>
                <c:pt idx="1">
                  <c:v>210</c:v>
                </c:pt>
                <c:pt idx="2">
                  <c:v>190</c:v>
                </c:pt>
                <c:pt idx="3">
                  <c:v>170</c:v>
                </c:pt>
                <c:pt idx="4">
                  <c:v>140</c:v>
                </c:pt>
                <c:pt idx="5">
                  <c:v>140</c:v>
                </c:pt>
                <c:pt idx="6">
                  <c:v>130</c:v>
                </c:pt>
                <c:pt idx="7">
                  <c:v>130</c:v>
                </c:pt>
                <c:pt idx="8">
                  <c:v>150</c:v>
                </c:pt>
                <c:pt idx="9">
                  <c:v>200</c:v>
                </c:pt>
                <c:pt idx="10">
                  <c:v>240</c:v>
                </c:pt>
                <c:pt idx="11">
                  <c:v>230</c:v>
                </c:pt>
              </c:numCache>
            </c:numRef>
          </c:val>
          <c:smooth val="0"/>
          <c:extLst>
            <c:ext xmlns:c16="http://schemas.microsoft.com/office/drawing/2014/chart" uri="{C3380CC4-5D6E-409C-BE32-E72D297353CC}">
              <c16:uniqueId val="{00000003-D6E0-4B1E-AC43-5115668DF15F}"/>
            </c:ext>
          </c:extLst>
        </c:ser>
        <c:ser>
          <c:idx val="4"/>
          <c:order val="4"/>
          <c:tx>
            <c:v>5º Año</c:v>
          </c:tx>
          <c:spPr>
            <a:ln w="28575" cap="rnd">
              <a:solidFill>
                <a:schemeClr val="accent5"/>
              </a:solidFill>
              <a:round/>
            </a:ln>
            <a:effectLst/>
          </c:spPr>
          <c:marker>
            <c:symbol val="none"/>
          </c:marker>
          <c:val>
            <c:numRef>
              <c:f>UMBRAL!$D$224:$O$224</c:f>
              <c:numCache>
                <c:formatCode>_-* #,##0_-;\-* #,##0_-;_-* "-"??_-;_-@_-</c:formatCode>
                <c:ptCount val="12"/>
                <c:pt idx="0">
                  <c:v>280</c:v>
                </c:pt>
                <c:pt idx="1">
                  <c:v>350</c:v>
                </c:pt>
                <c:pt idx="2">
                  <c:v>230</c:v>
                </c:pt>
                <c:pt idx="3">
                  <c:v>370</c:v>
                </c:pt>
                <c:pt idx="4">
                  <c:v>240</c:v>
                </c:pt>
                <c:pt idx="5">
                  <c:v>270</c:v>
                </c:pt>
                <c:pt idx="6">
                  <c:v>250</c:v>
                </c:pt>
                <c:pt idx="7">
                  <c:v>310</c:v>
                </c:pt>
                <c:pt idx="8">
                  <c:v>350</c:v>
                </c:pt>
                <c:pt idx="9">
                  <c:v>320</c:v>
                </c:pt>
                <c:pt idx="10">
                  <c:v>360</c:v>
                </c:pt>
                <c:pt idx="11">
                  <c:v>170</c:v>
                </c:pt>
              </c:numCache>
            </c:numRef>
          </c:val>
          <c:smooth val="0"/>
          <c:extLst>
            <c:ext xmlns:c16="http://schemas.microsoft.com/office/drawing/2014/chart" uri="{C3380CC4-5D6E-409C-BE32-E72D297353CC}">
              <c16:uniqueId val="{00000004-D6E0-4B1E-AC43-5115668DF15F}"/>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CANTIDAD VENDIDA</a:t>
                </a:r>
              </a:p>
            </c:rich>
          </c:tx>
          <c:layout>
            <c:manualLayout>
              <c:xMode val="edge"/>
              <c:yMode val="edge"/>
              <c:x val="9.1245080057811255E-3"/>
              <c:y val="0.28131771199964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UMBRAL!$D$44:$O$44</c:f>
              <c:numCache>
                <c:formatCode>_("€"* #,##0.00_);_("€"* \(#,##0.00\);_("€"* "-"??_);_(@_)</c:formatCode>
                <c:ptCount val="12"/>
                <c:pt idx="0">
                  <c:v>0.12</c:v>
                </c:pt>
                <c:pt idx="1">
                  <c:v>0.08</c:v>
                </c:pt>
                <c:pt idx="2">
                  <c:v>7.0000000000000007E-2</c:v>
                </c:pt>
                <c:pt idx="3">
                  <c:v>0.08</c:v>
                </c:pt>
                <c:pt idx="4">
                  <c:v>0.09</c:v>
                </c:pt>
                <c:pt idx="5">
                  <c:v>0.11</c:v>
                </c:pt>
                <c:pt idx="6">
                  <c:v>0.13</c:v>
                </c:pt>
                <c:pt idx="7">
                  <c:v>0.1</c:v>
                </c:pt>
                <c:pt idx="8">
                  <c:v>0.12</c:v>
                </c:pt>
                <c:pt idx="9">
                  <c:v>0.1</c:v>
                </c:pt>
                <c:pt idx="10">
                  <c:v>0.1</c:v>
                </c:pt>
                <c:pt idx="11">
                  <c:v>0.12</c:v>
                </c:pt>
              </c:numCache>
            </c:numRef>
          </c:val>
          <c:smooth val="0"/>
          <c:extLst>
            <c:ext xmlns:c16="http://schemas.microsoft.com/office/drawing/2014/chart" uri="{C3380CC4-5D6E-409C-BE32-E72D297353CC}">
              <c16:uniqueId val="{00000000-16ED-40C5-B5F5-F82A99204461}"/>
            </c:ext>
          </c:extLst>
        </c:ser>
        <c:ser>
          <c:idx val="1"/>
          <c:order val="1"/>
          <c:tx>
            <c:v>2º Año</c:v>
          </c:tx>
          <c:spPr>
            <a:ln w="28575" cap="rnd">
              <a:solidFill>
                <a:schemeClr val="accent2"/>
              </a:solidFill>
              <a:round/>
            </a:ln>
            <a:effectLst/>
          </c:spPr>
          <c:marker>
            <c:symbol val="none"/>
          </c:marker>
          <c:val>
            <c:numRef>
              <c:f>UMBRAL!$D$94:$O$94</c:f>
              <c:numCache>
                <c:formatCode>_("€"* #,##0.00_);_("€"* \(#,##0.00\);_("€"* "-"??_);_(@_)</c:formatCode>
                <c:ptCount val="12"/>
                <c:pt idx="0">
                  <c:v>0.11</c:v>
                </c:pt>
                <c:pt idx="1">
                  <c:v>0.1</c:v>
                </c:pt>
                <c:pt idx="2">
                  <c:v>0.1</c:v>
                </c:pt>
                <c:pt idx="3">
                  <c:v>0.12</c:v>
                </c:pt>
                <c:pt idx="4">
                  <c:v>0.12</c:v>
                </c:pt>
                <c:pt idx="5">
                  <c:v>0.13</c:v>
                </c:pt>
                <c:pt idx="6">
                  <c:v>0.14000000000000001</c:v>
                </c:pt>
                <c:pt idx="7">
                  <c:v>0.13</c:v>
                </c:pt>
                <c:pt idx="8">
                  <c:v>0.12</c:v>
                </c:pt>
                <c:pt idx="9">
                  <c:v>0.12</c:v>
                </c:pt>
                <c:pt idx="10">
                  <c:v>0.09</c:v>
                </c:pt>
                <c:pt idx="11">
                  <c:v>0.11</c:v>
                </c:pt>
              </c:numCache>
            </c:numRef>
          </c:val>
          <c:smooth val="0"/>
          <c:extLst>
            <c:ext xmlns:c16="http://schemas.microsoft.com/office/drawing/2014/chart" uri="{C3380CC4-5D6E-409C-BE32-E72D297353CC}">
              <c16:uniqueId val="{00000001-16ED-40C5-B5F5-F82A99204461}"/>
            </c:ext>
          </c:extLst>
        </c:ser>
        <c:ser>
          <c:idx val="2"/>
          <c:order val="2"/>
          <c:tx>
            <c:v>3º Año</c:v>
          </c:tx>
          <c:spPr>
            <a:ln w="28575" cap="rnd">
              <a:solidFill>
                <a:schemeClr val="accent3"/>
              </a:solidFill>
              <a:round/>
            </a:ln>
            <a:effectLst/>
          </c:spPr>
          <c:marker>
            <c:symbol val="none"/>
          </c:marker>
          <c:val>
            <c:numRef>
              <c:f>UMBRAL!$D$144:$O$144</c:f>
              <c:numCache>
                <c:formatCode>_("€"* #,##0.00_);_("€"* \(#,##0.00\);_("€"* "-"??_);_(@_)</c:formatCode>
                <c:ptCount val="12"/>
                <c:pt idx="0">
                  <c:v>0.13</c:v>
                </c:pt>
                <c:pt idx="1">
                  <c:v>0.14000000000000001</c:v>
                </c:pt>
                <c:pt idx="2">
                  <c:v>0.14000000000000001</c:v>
                </c:pt>
                <c:pt idx="3">
                  <c:v>0.16</c:v>
                </c:pt>
                <c:pt idx="4">
                  <c:v>0.14000000000000001</c:v>
                </c:pt>
                <c:pt idx="5">
                  <c:v>0.14000000000000001</c:v>
                </c:pt>
                <c:pt idx="6">
                  <c:v>0.16</c:v>
                </c:pt>
                <c:pt idx="7">
                  <c:v>0.14000000000000001</c:v>
                </c:pt>
                <c:pt idx="8">
                  <c:v>0.15</c:v>
                </c:pt>
                <c:pt idx="9">
                  <c:v>0.13</c:v>
                </c:pt>
                <c:pt idx="10">
                  <c:v>0.14000000000000001</c:v>
                </c:pt>
                <c:pt idx="11">
                  <c:v>0.14000000000000001</c:v>
                </c:pt>
              </c:numCache>
            </c:numRef>
          </c:val>
          <c:smooth val="0"/>
          <c:extLst>
            <c:ext xmlns:c16="http://schemas.microsoft.com/office/drawing/2014/chart" uri="{C3380CC4-5D6E-409C-BE32-E72D297353CC}">
              <c16:uniqueId val="{00000002-16ED-40C5-B5F5-F82A99204461}"/>
            </c:ext>
          </c:extLst>
        </c:ser>
        <c:ser>
          <c:idx val="3"/>
          <c:order val="3"/>
          <c:tx>
            <c:v>4º Año</c:v>
          </c:tx>
          <c:spPr>
            <a:ln w="28575" cap="rnd">
              <a:solidFill>
                <a:schemeClr val="accent4"/>
              </a:solidFill>
              <a:round/>
            </a:ln>
            <a:effectLst/>
          </c:spPr>
          <c:marker>
            <c:symbol val="none"/>
          </c:marker>
          <c:val>
            <c:numRef>
              <c:f>UMBRAL!$D$194:$O$194</c:f>
              <c:numCache>
                <c:formatCode>_("€"* #,##0.00_);_("€"* \(#,##0.00\);_("€"* "-"??_);_(@_)</c:formatCode>
                <c:ptCount val="12"/>
                <c:pt idx="0">
                  <c:v>0.15</c:v>
                </c:pt>
                <c:pt idx="1">
                  <c:v>0.14000000000000001</c:v>
                </c:pt>
                <c:pt idx="2">
                  <c:v>0.14000000000000001</c:v>
                </c:pt>
                <c:pt idx="3">
                  <c:v>0.15</c:v>
                </c:pt>
                <c:pt idx="4">
                  <c:v>0.15</c:v>
                </c:pt>
                <c:pt idx="5">
                  <c:v>0.16</c:v>
                </c:pt>
                <c:pt idx="6">
                  <c:v>0.16</c:v>
                </c:pt>
                <c:pt idx="7">
                  <c:v>0.14000000000000001</c:v>
                </c:pt>
                <c:pt idx="8">
                  <c:v>0.15</c:v>
                </c:pt>
                <c:pt idx="9">
                  <c:v>0.15</c:v>
                </c:pt>
                <c:pt idx="10">
                  <c:v>0.15</c:v>
                </c:pt>
                <c:pt idx="11">
                  <c:v>0.16</c:v>
                </c:pt>
              </c:numCache>
            </c:numRef>
          </c:val>
          <c:smooth val="0"/>
          <c:extLst>
            <c:ext xmlns:c16="http://schemas.microsoft.com/office/drawing/2014/chart" uri="{C3380CC4-5D6E-409C-BE32-E72D297353CC}">
              <c16:uniqueId val="{00000003-16ED-40C5-B5F5-F82A99204461}"/>
            </c:ext>
          </c:extLst>
        </c:ser>
        <c:ser>
          <c:idx val="4"/>
          <c:order val="4"/>
          <c:tx>
            <c:v>5º Año</c:v>
          </c:tx>
          <c:spPr>
            <a:ln w="28575" cap="rnd">
              <a:solidFill>
                <a:schemeClr val="accent5"/>
              </a:solidFill>
              <a:round/>
            </a:ln>
            <a:effectLst/>
          </c:spPr>
          <c:marker>
            <c:symbol val="none"/>
          </c:marker>
          <c:val>
            <c:numRef>
              <c:f>UMBRAL!$D$244:$O$244</c:f>
              <c:numCache>
                <c:formatCode>_("€"* #,##0.00_);_("€"* \(#,##0.00\);_("€"* "-"??_);_(@_)</c:formatCode>
                <c:ptCount val="12"/>
                <c:pt idx="0">
                  <c:v>0.15</c:v>
                </c:pt>
                <c:pt idx="1">
                  <c:v>0.15</c:v>
                </c:pt>
                <c:pt idx="2">
                  <c:v>0.16</c:v>
                </c:pt>
                <c:pt idx="3">
                  <c:v>0.16</c:v>
                </c:pt>
                <c:pt idx="4">
                  <c:v>0.15</c:v>
                </c:pt>
                <c:pt idx="5">
                  <c:v>0.15</c:v>
                </c:pt>
                <c:pt idx="6">
                  <c:v>0.14000000000000001</c:v>
                </c:pt>
                <c:pt idx="7">
                  <c:v>0.14000000000000001</c:v>
                </c:pt>
                <c:pt idx="8">
                  <c:v>0.15</c:v>
                </c:pt>
                <c:pt idx="9">
                  <c:v>0.15</c:v>
                </c:pt>
                <c:pt idx="10">
                  <c:v>0.16</c:v>
                </c:pt>
                <c:pt idx="11">
                  <c:v>0.15</c:v>
                </c:pt>
              </c:numCache>
            </c:numRef>
          </c:val>
          <c:smooth val="0"/>
          <c:extLst>
            <c:ext xmlns:c16="http://schemas.microsoft.com/office/drawing/2014/chart" uri="{C3380CC4-5D6E-409C-BE32-E72D297353CC}">
              <c16:uniqueId val="{00000004-16ED-40C5-B5F5-F82A99204461}"/>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UMBRAL!$D$45:$O$45</c:f>
              <c:numCache>
                <c:formatCode>_("€"* #,##0.00_);_("€"* \(#,##0.00\);_("€"* "-"??_);_(@_)</c:formatCode>
                <c:ptCount val="12"/>
                <c:pt idx="0">
                  <c:v>0.09</c:v>
                </c:pt>
                <c:pt idx="1">
                  <c:v>0.09</c:v>
                </c:pt>
                <c:pt idx="2">
                  <c:v>7.0000000000000007E-2</c:v>
                </c:pt>
                <c:pt idx="3">
                  <c:v>7.0000000000000007E-2</c:v>
                </c:pt>
                <c:pt idx="4">
                  <c:v>0.08</c:v>
                </c:pt>
                <c:pt idx="5">
                  <c:v>0.1</c:v>
                </c:pt>
                <c:pt idx="6">
                  <c:v>7.0000000000000007E-2</c:v>
                </c:pt>
                <c:pt idx="7">
                  <c:v>0.08</c:v>
                </c:pt>
                <c:pt idx="8">
                  <c:v>0.08</c:v>
                </c:pt>
                <c:pt idx="9">
                  <c:v>0.06</c:v>
                </c:pt>
                <c:pt idx="10">
                  <c:v>0.09</c:v>
                </c:pt>
                <c:pt idx="11">
                  <c:v>0.06</c:v>
                </c:pt>
              </c:numCache>
            </c:numRef>
          </c:val>
          <c:smooth val="0"/>
          <c:extLst>
            <c:ext xmlns:c16="http://schemas.microsoft.com/office/drawing/2014/chart" uri="{C3380CC4-5D6E-409C-BE32-E72D297353CC}">
              <c16:uniqueId val="{00000000-F3B1-44A8-874E-7B0834D0DB44}"/>
            </c:ext>
          </c:extLst>
        </c:ser>
        <c:ser>
          <c:idx val="1"/>
          <c:order val="1"/>
          <c:tx>
            <c:v>2º Año</c:v>
          </c:tx>
          <c:spPr>
            <a:ln w="28575" cap="rnd">
              <a:solidFill>
                <a:schemeClr val="accent2"/>
              </a:solidFill>
              <a:round/>
            </a:ln>
            <a:effectLst/>
          </c:spPr>
          <c:marker>
            <c:symbol val="none"/>
          </c:marker>
          <c:val>
            <c:numRef>
              <c:f>UMBRAL!$D$95:$O$95</c:f>
              <c:numCache>
                <c:formatCode>_("€"* #,##0.00_);_("€"* \(#,##0.00\);_("€"* "-"??_);_(@_)</c:formatCode>
                <c:ptCount val="12"/>
                <c:pt idx="0">
                  <c:v>0.08</c:v>
                </c:pt>
                <c:pt idx="1">
                  <c:v>7.0000000000000007E-2</c:v>
                </c:pt>
                <c:pt idx="2">
                  <c:v>7.0000000000000007E-2</c:v>
                </c:pt>
                <c:pt idx="3">
                  <c:v>0.08</c:v>
                </c:pt>
                <c:pt idx="4">
                  <c:v>0.09</c:v>
                </c:pt>
                <c:pt idx="5">
                  <c:v>0.08</c:v>
                </c:pt>
                <c:pt idx="6">
                  <c:v>0.08</c:v>
                </c:pt>
                <c:pt idx="7">
                  <c:v>0.09</c:v>
                </c:pt>
                <c:pt idx="8">
                  <c:v>0.09</c:v>
                </c:pt>
                <c:pt idx="9">
                  <c:v>0.08</c:v>
                </c:pt>
                <c:pt idx="10">
                  <c:v>0.08</c:v>
                </c:pt>
                <c:pt idx="11">
                  <c:v>0.09</c:v>
                </c:pt>
              </c:numCache>
            </c:numRef>
          </c:val>
          <c:smooth val="0"/>
          <c:extLst>
            <c:ext xmlns:c16="http://schemas.microsoft.com/office/drawing/2014/chart" uri="{C3380CC4-5D6E-409C-BE32-E72D297353CC}">
              <c16:uniqueId val="{00000001-F3B1-44A8-874E-7B0834D0DB44}"/>
            </c:ext>
          </c:extLst>
        </c:ser>
        <c:ser>
          <c:idx val="2"/>
          <c:order val="2"/>
          <c:tx>
            <c:v>3º Año</c:v>
          </c:tx>
          <c:spPr>
            <a:ln w="28575" cap="rnd">
              <a:solidFill>
                <a:schemeClr val="accent3"/>
              </a:solidFill>
              <a:round/>
            </a:ln>
            <a:effectLst/>
          </c:spPr>
          <c:marker>
            <c:symbol val="none"/>
          </c:marker>
          <c:val>
            <c:numRef>
              <c:f>UMBRAL!$D$145:$O$145</c:f>
              <c:numCache>
                <c:formatCode>_("€"* #,##0.00_);_("€"* \(#,##0.00\);_("€"* "-"??_);_(@_)</c:formatCode>
                <c:ptCount val="12"/>
                <c:pt idx="0">
                  <c:v>0.08</c:v>
                </c:pt>
                <c:pt idx="1">
                  <c:v>0.09</c:v>
                </c:pt>
                <c:pt idx="2">
                  <c:v>0.09</c:v>
                </c:pt>
                <c:pt idx="3">
                  <c:v>0.08</c:v>
                </c:pt>
                <c:pt idx="4">
                  <c:v>0.09</c:v>
                </c:pt>
                <c:pt idx="5">
                  <c:v>7.0000000000000007E-2</c:v>
                </c:pt>
                <c:pt idx="6">
                  <c:v>0.08</c:v>
                </c:pt>
                <c:pt idx="7">
                  <c:v>0.09</c:v>
                </c:pt>
                <c:pt idx="8">
                  <c:v>0.08</c:v>
                </c:pt>
                <c:pt idx="9">
                  <c:v>0.09</c:v>
                </c:pt>
                <c:pt idx="10">
                  <c:v>0.08</c:v>
                </c:pt>
                <c:pt idx="11">
                  <c:v>7.0000000000000007E-2</c:v>
                </c:pt>
              </c:numCache>
            </c:numRef>
          </c:val>
          <c:smooth val="0"/>
          <c:extLst>
            <c:ext xmlns:c16="http://schemas.microsoft.com/office/drawing/2014/chart" uri="{C3380CC4-5D6E-409C-BE32-E72D297353CC}">
              <c16:uniqueId val="{00000002-F3B1-44A8-874E-7B0834D0DB44}"/>
            </c:ext>
          </c:extLst>
        </c:ser>
        <c:ser>
          <c:idx val="3"/>
          <c:order val="3"/>
          <c:tx>
            <c:v>4º Año</c:v>
          </c:tx>
          <c:spPr>
            <a:ln w="28575" cap="rnd">
              <a:solidFill>
                <a:schemeClr val="accent4"/>
              </a:solidFill>
              <a:round/>
            </a:ln>
            <a:effectLst/>
          </c:spPr>
          <c:marker>
            <c:symbol val="none"/>
          </c:marker>
          <c:val>
            <c:numRef>
              <c:f>UMBRAL!$D$195:$O$195</c:f>
              <c:numCache>
                <c:formatCode>_("€"* #,##0.00_);_("€"* \(#,##0.00\);_("€"* "-"??_);_(@_)</c:formatCode>
                <c:ptCount val="12"/>
                <c:pt idx="0">
                  <c:v>0.08</c:v>
                </c:pt>
                <c:pt idx="1">
                  <c:v>0.09</c:v>
                </c:pt>
                <c:pt idx="2">
                  <c:v>0.09</c:v>
                </c:pt>
                <c:pt idx="3">
                  <c:v>0.08</c:v>
                </c:pt>
                <c:pt idx="4">
                  <c:v>0.09</c:v>
                </c:pt>
                <c:pt idx="5">
                  <c:v>0.09</c:v>
                </c:pt>
                <c:pt idx="6">
                  <c:v>0.09</c:v>
                </c:pt>
                <c:pt idx="7">
                  <c:v>0.1</c:v>
                </c:pt>
                <c:pt idx="8">
                  <c:v>0.09</c:v>
                </c:pt>
                <c:pt idx="9">
                  <c:v>0.09</c:v>
                </c:pt>
                <c:pt idx="10">
                  <c:v>0.09</c:v>
                </c:pt>
                <c:pt idx="11">
                  <c:v>0.08</c:v>
                </c:pt>
              </c:numCache>
            </c:numRef>
          </c:val>
          <c:smooth val="0"/>
          <c:extLst>
            <c:ext xmlns:c16="http://schemas.microsoft.com/office/drawing/2014/chart" uri="{C3380CC4-5D6E-409C-BE32-E72D297353CC}">
              <c16:uniqueId val="{00000003-F3B1-44A8-874E-7B0834D0DB44}"/>
            </c:ext>
          </c:extLst>
        </c:ser>
        <c:ser>
          <c:idx val="4"/>
          <c:order val="4"/>
          <c:tx>
            <c:v>5º Año</c:v>
          </c:tx>
          <c:spPr>
            <a:ln w="28575" cap="rnd">
              <a:solidFill>
                <a:schemeClr val="accent5"/>
              </a:solidFill>
              <a:round/>
            </a:ln>
            <a:effectLst/>
          </c:spPr>
          <c:marker>
            <c:symbol val="none"/>
          </c:marker>
          <c:val>
            <c:numRef>
              <c:f>UMBRAL!$D$245:$O$245</c:f>
              <c:numCache>
                <c:formatCode>_("€"* #,##0.00_);_("€"* \(#,##0.00\);_("€"* "-"??_);_(@_)</c:formatCode>
                <c:ptCount val="12"/>
                <c:pt idx="0">
                  <c:v>0.09</c:v>
                </c:pt>
                <c:pt idx="1">
                  <c:v>0.1</c:v>
                </c:pt>
                <c:pt idx="2">
                  <c:v>0.1</c:v>
                </c:pt>
                <c:pt idx="3">
                  <c:v>0.1</c:v>
                </c:pt>
                <c:pt idx="4">
                  <c:v>0.11</c:v>
                </c:pt>
                <c:pt idx="5">
                  <c:v>0.11</c:v>
                </c:pt>
                <c:pt idx="6">
                  <c:v>0.1</c:v>
                </c:pt>
                <c:pt idx="7">
                  <c:v>0.09</c:v>
                </c:pt>
                <c:pt idx="8">
                  <c:v>0.1</c:v>
                </c:pt>
                <c:pt idx="9">
                  <c:v>0.1</c:v>
                </c:pt>
                <c:pt idx="10">
                  <c:v>0.11</c:v>
                </c:pt>
                <c:pt idx="11">
                  <c:v>0.1</c:v>
                </c:pt>
              </c:numCache>
            </c:numRef>
          </c:val>
          <c:smooth val="0"/>
          <c:extLst>
            <c:ext xmlns:c16="http://schemas.microsoft.com/office/drawing/2014/chart" uri="{C3380CC4-5D6E-409C-BE32-E72D297353CC}">
              <c16:uniqueId val="{00000004-F3B1-44A8-874E-7B0834D0DB44}"/>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UMBRAL!$D$46:$O$46</c:f>
              <c:numCache>
                <c:formatCode>_("€"* #,##0.00_);_("€"* \(#,##0.00\);_("€"* "-"??_);_(@_)</c:formatCode>
                <c:ptCount val="12"/>
                <c:pt idx="0">
                  <c:v>0.1</c:v>
                </c:pt>
                <c:pt idx="1">
                  <c:v>0.1</c:v>
                </c:pt>
                <c:pt idx="2">
                  <c:v>7.0000000000000007E-2</c:v>
                </c:pt>
                <c:pt idx="3">
                  <c:v>0.11</c:v>
                </c:pt>
                <c:pt idx="4">
                  <c:v>0.1</c:v>
                </c:pt>
                <c:pt idx="5">
                  <c:v>0.1</c:v>
                </c:pt>
                <c:pt idx="6">
                  <c:v>0.11</c:v>
                </c:pt>
                <c:pt idx="7">
                  <c:v>0.1</c:v>
                </c:pt>
                <c:pt idx="8">
                  <c:v>0.1</c:v>
                </c:pt>
                <c:pt idx="9">
                  <c:v>0.11</c:v>
                </c:pt>
                <c:pt idx="10">
                  <c:v>0.1</c:v>
                </c:pt>
                <c:pt idx="11">
                  <c:v>0.1</c:v>
                </c:pt>
              </c:numCache>
            </c:numRef>
          </c:val>
          <c:smooth val="0"/>
          <c:extLst>
            <c:ext xmlns:c16="http://schemas.microsoft.com/office/drawing/2014/chart" uri="{C3380CC4-5D6E-409C-BE32-E72D297353CC}">
              <c16:uniqueId val="{00000000-B5F8-40A7-836A-48CFB5BA5F6F}"/>
            </c:ext>
          </c:extLst>
        </c:ser>
        <c:ser>
          <c:idx val="1"/>
          <c:order val="1"/>
          <c:tx>
            <c:v>2º Año</c:v>
          </c:tx>
          <c:spPr>
            <a:ln w="28575" cap="rnd">
              <a:solidFill>
                <a:schemeClr val="accent2"/>
              </a:solidFill>
              <a:round/>
            </a:ln>
            <a:effectLst/>
          </c:spPr>
          <c:marker>
            <c:symbol val="none"/>
          </c:marker>
          <c:val>
            <c:numRef>
              <c:f>UMBRAL!$D$96:$O$96</c:f>
              <c:numCache>
                <c:formatCode>_("€"* #,##0.00_);_("€"* \(#,##0.00\);_("€"* "-"??_);_(@_)</c:formatCode>
                <c:ptCount val="12"/>
                <c:pt idx="0">
                  <c:v>0.1</c:v>
                </c:pt>
                <c:pt idx="1">
                  <c:v>0.1</c:v>
                </c:pt>
                <c:pt idx="2">
                  <c:v>0.1</c:v>
                </c:pt>
                <c:pt idx="3">
                  <c:v>0.09</c:v>
                </c:pt>
                <c:pt idx="4">
                  <c:v>0.1</c:v>
                </c:pt>
                <c:pt idx="5">
                  <c:v>0.11</c:v>
                </c:pt>
                <c:pt idx="6">
                  <c:v>0.12</c:v>
                </c:pt>
                <c:pt idx="7">
                  <c:v>0.1</c:v>
                </c:pt>
                <c:pt idx="8">
                  <c:v>0.1</c:v>
                </c:pt>
                <c:pt idx="9">
                  <c:v>0.13</c:v>
                </c:pt>
                <c:pt idx="10">
                  <c:v>0.11</c:v>
                </c:pt>
                <c:pt idx="11">
                  <c:v>0.12</c:v>
                </c:pt>
              </c:numCache>
            </c:numRef>
          </c:val>
          <c:smooth val="0"/>
          <c:extLst>
            <c:ext xmlns:c16="http://schemas.microsoft.com/office/drawing/2014/chart" uri="{C3380CC4-5D6E-409C-BE32-E72D297353CC}">
              <c16:uniqueId val="{00000001-B5F8-40A7-836A-48CFB5BA5F6F}"/>
            </c:ext>
          </c:extLst>
        </c:ser>
        <c:ser>
          <c:idx val="2"/>
          <c:order val="2"/>
          <c:tx>
            <c:v>3º Año</c:v>
          </c:tx>
          <c:spPr>
            <a:ln w="28575" cap="rnd">
              <a:solidFill>
                <a:schemeClr val="accent3"/>
              </a:solidFill>
              <a:round/>
            </a:ln>
            <a:effectLst/>
          </c:spPr>
          <c:marker>
            <c:symbol val="none"/>
          </c:marker>
          <c:val>
            <c:numRef>
              <c:f>UMBRAL!$D$146:$O$146</c:f>
              <c:numCache>
                <c:formatCode>_("€"* #,##0.00_);_("€"* \(#,##0.00\);_("€"* "-"??_);_(@_)</c:formatCode>
                <c:ptCount val="12"/>
                <c:pt idx="0">
                  <c:v>0.12</c:v>
                </c:pt>
                <c:pt idx="1">
                  <c:v>0.12</c:v>
                </c:pt>
                <c:pt idx="2">
                  <c:v>0.12</c:v>
                </c:pt>
                <c:pt idx="3">
                  <c:v>0.1</c:v>
                </c:pt>
                <c:pt idx="4">
                  <c:v>0.11</c:v>
                </c:pt>
                <c:pt idx="5">
                  <c:v>0.1</c:v>
                </c:pt>
                <c:pt idx="6">
                  <c:v>0.1</c:v>
                </c:pt>
                <c:pt idx="7">
                  <c:v>0.1</c:v>
                </c:pt>
                <c:pt idx="8">
                  <c:v>0.12</c:v>
                </c:pt>
                <c:pt idx="9">
                  <c:v>0.11</c:v>
                </c:pt>
                <c:pt idx="10">
                  <c:v>0.1</c:v>
                </c:pt>
                <c:pt idx="11">
                  <c:v>0.12</c:v>
                </c:pt>
              </c:numCache>
            </c:numRef>
          </c:val>
          <c:smooth val="0"/>
          <c:extLst>
            <c:ext xmlns:c16="http://schemas.microsoft.com/office/drawing/2014/chart" uri="{C3380CC4-5D6E-409C-BE32-E72D297353CC}">
              <c16:uniqueId val="{00000002-B5F8-40A7-836A-48CFB5BA5F6F}"/>
            </c:ext>
          </c:extLst>
        </c:ser>
        <c:ser>
          <c:idx val="3"/>
          <c:order val="3"/>
          <c:tx>
            <c:v>4º Año</c:v>
          </c:tx>
          <c:spPr>
            <a:ln w="28575" cap="rnd">
              <a:solidFill>
                <a:schemeClr val="accent4"/>
              </a:solidFill>
              <a:round/>
            </a:ln>
            <a:effectLst/>
          </c:spPr>
          <c:marker>
            <c:symbol val="none"/>
          </c:marker>
          <c:val>
            <c:numRef>
              <c:f>UMBRAL!$D$196:$O$196</c:f>
              <c:numCache>
                <c:formatCode>_("€"* #,##0.00_);_("€"* \(#,##0.00\);_("€"* "-"??_);_(@_)</c:formatCode>
                <c:ptCount val="12"/>
                <c:pt idx="0">
                  <c:v>0.11</c:v>
                </c:pt>
                <c:pt idx="1">
                  <c:v>0.13</c:v>
                </c:pt>
                <c:pt idx="2">
                  <c:v>0.12</c:v>
                </c:pt>
                <c:pt idx="3">
                  <c:v>0.13</c:v>
                </c:pt>
                <c:pt idx="4">
                  <c:v>0.15</c:v>
                </c:pt>
                <c:pt idx="5">
                  <c:v>0.13</c:v>
                </c:pt>
                <c:pt idx="6">
                  <c:v>0.14000000000000001</c:v>
                </c:pt>
                <c:pt idx="7">
                  <c:v>0.13</c:v>
                </c:pt>
                <c:pt idx="8">
                  <c:v>0.13</c:v>
                </c:pt>
                <c:pt idx="9">
                  <c:v>0.12</c:v>
                </c:pt>
                <c:pt idx="10">
                  <c:v>0.13</c:v>
                </c:pt>
                <c:pt idx="11">
                  <c:v>0.14000000000000001</c:v>
                </c:pt>
              </c:numCache>
            </c:numRef>
          </c:val>
          <c:smooth val="0"/>
          <c:extLst>
            <c:ext xmlns:c16="http://schemas.microsoft.com/office/drawing/2014/chart" uri="{C3380CC4-5D6E-409C-BE32-E72D297353CC}">
              <c16:uniqueId val="{00000003-B5F8-40A7-836A-48CFB5BA5F6F}"/>
            </c:ext>
          </c:extLst>
        </c:ser>
        <c:ser>
          <c:idx val="4"/>
          <c:order val="4"/>
          <c:tx>
            <c:v>5º Año</c:v>
          </c:tx>
          <c:spPr>
            <a:ln w="28575" cap="rnd">
              <a:solidFill>
                <a:schemeClr val="accent5"/>
              </a:solidFill>
              <a:round/>
            </a:ln>
            <a:effectLst/>
          </c:spPr>
          <c:marker>
            <c:symbol val="none"/>
          </c:marker>
          <c:val>
            <c:numRef>
              <c:f>UMBRAL!$D$246:$O$246</c:f>
              <c:numCache>
                <c:formatCode>_("€"* #,##0.00_);_("€"* \(#,##0.00\);_("€"* "-"??_);_(@_)</c:formatCode>
                <c:ptCount val="12"/>
                <c:pt idx="0">
                  <c:v>0.12</c:v>
                </c:pt>
                <c:pt idx="1">
                  <c:v>0.14000000000000001</c:v>
                </c:pt>
                <c:pt idx="2">
                  <c:v>0.14000000000000001</c:v>
                </c:pt>
                <c:pt idx="3">
                  <c:v>0.14000000000000001</c:v>
                </c:pt>
                <c:pt idx="4">
                  <c:v>0.14000000000000001</c:v>
                </c:pt>
                <c:pt idx="5">
                  <c:v>0.16</c:v>
                </c:pt>
                <c:pt idx="6">
                  <c:v>0.14000000000000001</c:v>
                </c:pt>
                <c:pt idx="7">
                  <c:v>0.13</c:v>
                </c:pt>
                <c:pt idx="8">
                  <c:v>0.14000000000000001</c:v>
                </c:pt>
                <c:pt idx="9">
                  <c:v>0.14000000000000001</c:v>
                </c:pt>
                <c:pt idx="10">
                  <c:v>0.15</c:v>
                </c:pt>
                <c:pt idx="11">
                  <c:v>0.15</c:v>
                </c:pt>
              </c:numCache>
            </c:numRef>
          </c:val>
          <c:smooth val="0"/>
          <c:extLst>
            <c:ext xmlns:c16="http://schemas.microsoft.com/office/drawing/2014/chart" uri="{C3380CC4-5D6E-409C-BE32-E72D297353CC}">
              <c16:uniqueId val="{00000004-B5F8-40A7-836A-48CFB5BA5F6F}"/>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EVOLUCION PRECIO MES DEL PRODUCTO 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987972821232702"/>
          <c:y val="0.14454931232008594"/>
          <c:w val="0.85641604048172371"/>
          <c:h val="0.64144038985678931"/>
        </c:manualLayout>
      </c:layout>
      <c:lineChart>
        <c:grouping val="standard"/>
        <c:varyColors val="0"/>
        <c:ser>
          <c:idx val="0"/>
          <c:order val="0"/>
          <c:tx>
            <c:v>1º Año</c:v>
          </c:tx>
          <c:spPr>
            <a:ln w="28575" cap="rnd">
              <a:solidFill>
                <a:schemeClr val="accent1"/>
              </a:solidFill>
              <a:round/>
            </a:ln>
            <a:effectLst/>
          </c:spPr>
          <c:marker>
            <c:symbol val="none"/>
          </c:marker>
          <c:val>
            <c:numRef>
              <c:f>UMBRAL!$D$47:$O$47</c:f>
              <c:numCache>
                <c:formatCode>_("€"* #,##0.00_);_("€"* \(#,##0.00\);_("€"* "-"??_);_(@_)</c:formatCode>
                <c:ptCount val="12"/>
                <c:pt idx="0">
                  <c:v>5.5</c:v>
                </c:pt>
                <c:pt idx="1">
                  <c:v>4</c:v>
                </c:pt>
                <c:pt idx="2">
                  <c:v>4.5</c:v>
                </c:pt>
                <c:pt idx="3">
                  <c:v>4.5</c:v>
                </c:pt>
                <c:pt idx="4">
                  <c:v>5</c:v>
                </c:pt>
                <c:pt idx="5">
                  <c:v>5</c:v>
                </c:pt>
                <c:pt idx="6">
                  <c:v>6</c:v>
                </c:pt>
                <c:pt idx="7">
                  <c:v>6</c:v>
                </c:pt>
                <c:pt idx="8">
                  <c:v>5</c:v>
                </c:pt>
                <c:pt idx="9">
                  <c:v>4.5</c:v>
                </c:pt>
                <c:pt idx="10">
                  <c:v>5</c:v>
                </c:pt>
                <c:pt idx="11">
                  <c:v>5</c:v>
                </c:pt>
              </c:numCache>
            </c:numRef>
          </c:val>
          <c:smooth val="0"/>
          <c:extLst>
            <c:ext xmlns:c16="http://schemas.microsoft.com/office/drawing/2014/chart" uri="{C3380CC4-5D6E-409C-BE32-E72D297353CC}">
              <c16:uniqueId val="{00000000-6588-4112-B8E9-2EDA96898C23}"/>
            </c:ext>
          </c:extLst>
        </c:ser>
        <c:ser>
          <c:idx val="1"/>
          <c:order val="1"/>
          <c:tx>
            <c:v>2º Año</c:v>
          </c:tx>
          <c:spPr>
            <a:ln w="28575" cap="rnd">
              <a:solidFill>
                <a:schemeClr val="accent2"/>
              </a:solidFill>
              <a:round/>
            </a:ln>
            <a:effectLst/>
          </c:spPr>
          <c:marker>
            <c:symbol val="none"/>
          </c:marker>
          <c:val>
            <c:numRef>
              <c:f>UMBRAL!$D$97:$O$97</c:f>
              <c:numCache>
                <c:formatCode>_("€"* #,##0.00_);_("€"* \(#,##0.00\);_("€"* "-"??_);_(@_)</c:formatCode>
                <c:ptCount val="12"/>
                <c:pt idx="0">
                  <c:v>5</c:v>
                </c:pt>
                <c:pt idx="1">
                  <c:v>4.5</c:v>
                </c:pt>
                <c:pt idx="2">
                  <c:v>4.5</c:v>
                </c:pt>
                <c:pt idx="3">
                  <c:v>5</c:v>
                </c:pt>
                <c:pt idx="4">
                  <c:v>5</c:v>
                </c:pt>
                <c:pt idx="5">
                  <c:v>5.5</c:v>
                </c:pt>
                <c:pt idx="6">
                  <c:v>6</c:v>
                </c:pt>
                <c:pt idx="7">
                  <c:v>6</c:v>
                </c:pt>
                <c:pt idx="8">
                  <c:v>5.5</c:v>
                </c:pt>
                <c:pt idx="9">
                  <c:v>5</c:v>
                </c:pt>
                <c:pt idx="10">
                  <c:v>4.5</c:v>
                </c:pt>
                <c:pt idx="11">
                  <c:v>5.5</c:v>
                </c:pt>
              </c:numCache>
            </c:numRef>
          </c:val>
          <c:smooth val="0"/>
          <c:extLst>
            <c:ext xmlns:c16="http://schemas.microsoft.com/office/drawing/2014/chart" uri="{C3380CC4-5D6E-409C-BE32-E72D297353CC}">
              <c16:uniqueId val="{00000001-6588-4112-B8E9-2EDA96898C23}"/>
            </c:ext>
          </c:extLst>
        </c:ser>
        <c:ser>
          <c:idx val="2"/>
          <c:order val="2"/>
          <c:tx>
            <c:v>3º Año</c:v>
          </c:tx>
          <c:spPr>
            <a:ln w="28575" cap="rnd">
              <a:solidFill>
                <a:schemeClr val="accent3"/>
              </a:solidFill>
              <a:round/>
            </a:ln>
            <a:effectLst/>
          </c:spPr>
          <c:marker>
            <c:symbol val="none"/>
          </c:marker>
          <c:val>
            <c:numRef>
              <c:f>UMBRAL!$D$147:$O$147</c:f>
              <c:numCache>
                <c:formatCode>_("€"* #,##0.00_);_("€"* \(#,##0.00\);_("€"* "-"??_);_(@_)</c:formatCode>
                <c:ptCount val="12"/>
                <c:pt idx="0">
                  <c:v>5</c:v>
                </c:pt>
                <c:pt idx="1">
                  <c:v>5.5</c:v>
                </c:pt>
                <c:pt idx="2">
                  <c:v>5</c:v>
                </c:pt>
                <c:pt idx="3">
                  <c:v>5</c:v>
                </c:pt>
                <c:pt idx="4">
                  <c:v>5</c:v>
                </c:pt>
                <c:pt idx="5">
                  <c:v>6</c:v>
                </c:pt>
                <c:pt idx="6">
                  <c:v>6</c:v>
                </c:pt>
                <c:pt idx="7">
                  <c:v>6</c:v>
                </c:pt>
                <c:pt idx="8">
                  <c:v>5</c:v>
                </c:pt>
                <c:pt idx="9">
                  <c:v>5.5</c:v>
                </c:pt>
                <c:pt idx="10">
                  <c:v>5</c:v>
                </c:pt>
                <c:pt idx="11">
                  <c:v>6</c:v>
                </c:pt>
              </c:numCache>
            </c:numRef>
          </c:val>
          <c:smooth val="0"/>
          <c:extLst>
            <c:ext xmlns:c16="http://schemas.microsoft.com/office/drawing/2014/chart" uri="{C3380CC4-5D6E-409C-BE32-E72D297353CC}">
              <c16:uniqueId val="{00000002-6588-4112-B8E9-2EDA96898C23}"/>
            </c:ext>
          </c:extLst>
        </c:ser>
        <c:ser>
          <c:idx val="3"/>
          <c:order val="3"/>
          <c:tx>
            <c:v>4º Año</c:v>
          </c:tx>
          <c:spPr>
            <a:ln w="28575" cap="rnd">
              <a:solidFill>
                <a:schemeClr val="accent4"/>
              </a:solidFill>
              <a:round/>
            </a:ln>
            <a:effectLst/>
          </c:spPr>
          <c:marker>
            <c:symbol val="none"/>
          </c:marker>
          <c:val>
            <c:numRef>
              <c:f>UMBRAL!$D$197:$O$197</c:f>
              <c:numCache>
                <c:formatCode>_("€"* #,##0.00_);_("€"* \(#,##0.00\);_("€"* "-"??_);_(@_)</c:formatCode>
                <c:ptCount val="12"/>
                <c:pt idx="0">
                  <c:v>6</c:v>
                </c:pt>
                <c:pt idx="1">
                  <c:v>5</c:v>
                </c:pt>
                <c:pt idx="2">
                  <c:v>5</c:v>
                </c:pt>
                <c:pt idx="3">
                  <c:v>5</c:v>
                </c:pt>
                <c:pt idx="4">
                  <c:v>6</c:v>
                </c:pt>
                <c:pt idx="5">
                  <c:v>6</c:v>
                </c:pt>
                <c:pt idx="6">
                  <c:v>6</c:v>
                </c:pt>
                <c:pt idx="7">
                  <c:v>6</c:v>
                </c:pt>
                <c:pt idx="8">
                  <c:v>6</c:v>
                </c:pt>
                <c:pt idx="9">
                  <c:v>5</c:v>
                </c:pt>
                <c:pt idx="10">
                  <c:v>5</c:v>
                </c:pt>
                <c:pt idx="11">
                  <c:v>6</c:v>
                </c:pt>
              </c:numCache>
            </c:numRef>
          </c:val>
          <c:smooth val="0"/>
          <c:extLst>
            <c:ext xmlns:c16="http://schemas.microsoft.com/office/drawing/2014/chart" uri="{C3380CC4-5D6E-409C-BE32-E72D297353CC}">
              <c16:uniqueId val="{00000003-6588-4112-B8E9-2EDA96898C23}"/>
            </c:ext>
          </c:extLst>
        </c:ser>
        <c:ser>
          <c:idx val="4"/>
          <c:order val="4"/>
          <c:tx>
            <c:v>5º Año</c:v>
          </c:tx>
          <c:spPr>
            <a:ln w="28575" cap="rnd">
              <a:solidFill>
                <a:schemeClr val="accent5"/>
              </a:solidFill>
              <a:round/>
            </a:ln>
            <a:effectLst/>
          </c:spPr>
          <c:marker>
            <c:symbol val="none"/>
          </c:marker>
          <c:val>
            <c:numRef>
              <c:f>UMBRAL!$D$247:$O$247</c:f>
              <c:numCache>
                <c:formatCode>_("€"* #,##0.00_);_("€"* \(#,##0.00\);_("€"* "-"??_);_(@_)</c:formatCode>
                <c:ptCount val="12"/>
                <c:pt idx="0">
                  <c:v>5.5</c:v>
                </c:pt>
                <c:pt idx="1">
                  <c:v>6</c:v>
                </c:pt>
                <c:pt idx="2">
                  <c:v>5.5</c:v>
                </c:pt>
                <c:pt idx="3">
                  <c:v>5.5</c:v>
                </c:pt>
                <c:pt idx="4">
                  <c:v>6</c:v>
                </c:pt>
                <c:pt idx="5">
                  <c:v>5.5</c:v>
                </c:pt>
                <c:pt idx="6">
                  <c:v>6</c:v>
                </c:pt>
                <c:pt idx="7">
                  <c:v>6</c:v>
                </c:pt>
                <c:pt idx="8">
                  <c:v>6</c:v>
                </c:pt>
                <c:pt idx="9">
                  <c:v>5.5</c:v>
                </c:pt>
                <c:pt idx="10">
                  <c:v>6</c:v>
                </c:pt>
                <c:pt idx="11">
                  <c:v>6</c:v>
                </c:pt>
              </c:numCache>
            </c:numRef>
          </c:val>
          <c:smooth val="0"/>
          <c:extLst>
            <c:ext xmlns:c16="http://schemas.microsoft.com/office/drawing/2014/chart" uri="{C3380CC4-5D6E-409C-BE32-E72D297353CC}">
              <c16:uniqueId val="{00000004-6588-4112-B8E9-2EDA96898C23}"/>
            </c:ext>
          </c:extLst>
        </c:ser>
        <c:dLbls>
          <c:showLegendKey val="0"/>
          <c:showVal val="0"/>
          <c:showCatName val="0"/>
          <c:showSerName val="0"/>
          <c:showPercent val="0"/>
          <c:showBubbleSize val="0"/>
        </c:dLbls>
        <c:smooth val="0"/>
        <c:axId val="1725573936"/>
        <c:axId val="1725574416"/>
      </c:lineChart>
      <c:catAx>
        <c:axId val="17255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MESES    </a:t>
                </a:r>
              </a:p>
            </c:rich>
          </c:tx>
          <c:layout>
            <c:manualLayout>
              <c:xMode val="edge"/>
              <c:yMode val="edge"/>
              <c:x val="0.50038588121016225"/>
              <c:y val="0.844934271457018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4416"/>
        <c:crosses val="autoZero"/>
        <c:auto val="1"/>
        <c:lblAlgn val="ctr"/>
        <c:lblOffset val="100"/>
        <c:noMultiLvlLbl val="0"/>
      </c:catAx>
      <c:valAx>
        <c:axId val="172557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PRECIO ASIGNADO</a:t>
                </a:r>
              </a:p>
            </c:rich>
          </c:tx>
          <c:layout>
            <c:manualLayout>
              <c:xMode val="edge"/>
              <c:yMode val="edge"/>
              <c:x val="6.9278735956241656E-3"/>
              <c:y val="0.295667524265683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573936"/>
        <c:crosses val="autoZero"/>
        <c:crossBetween val="between"/>
      </c:valAx>
      <c:spPr>
        <a:noFill/>
        <a:ln>
          <a:noFill/>
        </a:ln>
        <a:effectLst/>
      </c:spPr>
    </c:plotArea>
    <c:legend>
      <c:legendPos val="b"/>
      <c:layout>
        <c:manualLayout>
          <c:xMode val="edge"/>
          <c:yMode val="edge"/>
          <c:x val="0.10405692418933893"/>
          <c:y val="0.8914410981992712"/>
          <c:w val="0.8050879564734057"/>
          <c:h val="8.25610355089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1.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10.xml"/><Relationship Id="rId17" Type="http://schemas.openxmlformats.org/officeDocument/2006/relationships/chart" Target="../charts/chart15.xml"/><Relationship Id="rId2" Type="http://schemas.microsoft.com/office/2007/relationships/hdphoto" Target="../media/hdphoto1.wdp"/><Relationship Id="rId16" Type="http://schemas.openxmlformats.org/officeDocument/2006/relationships/chart" Target="../charts/chart14.xml"/><Relationship Id="rId1" Type="http://schemas.openxmlformats.org/officeDocument/2006/relationships/image" Target="../media/image2.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5" Type="http://schemas.openxmlformats.org/officeDocument/2006/relationships/chart" Target="../charts/chart1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689982</xdr:colOff>
      <xdr:row>3</xdr:row>
      <xdr:rowOff>338</xdr:rowOff>
    </xdr:from>
    <xdr:to>
      <xdr:col>1</xdr:col>
      <xdr:colOff>1570729</xdr:colOff>
      <xdr:row>10</xdr:row>
      <xdr:rowOff>229139</xdr:rowOff>
    </xdr:to>
    <xdr:pic>
      <xdr:nvPicPr>
        <xdr:cNvPr id="3" name="Imagen 2">
          <a:extLst>
            <a:ext uri="{FF2B5EF4-FFF2-40B4-BE49-F238E27FC236}">
              <a16:creationId xmlns:a16="http://schemas.microsoft.com/office/drawing/2014/main" id="{EBE78B3C-A230-5D14-DF70-3BC1D801C716}"/>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17560" t="627" r="16876" b="1881"/>
        <a:stretch/>
      </xdr:blipFill>
      <xdr:spPr>
        <a:xfrm>
          <a:off x="689982" y="719206"/>
          <a:ext cx="1644544" cy="1837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24702</xdr:colOff>
      <xdr:row>0</xdr:row>
      <xdr:rowOff>41205</xdr:rowOff>
    </xdr:from>
    <xdr:to>
      <xdr:col>12</xdr:col>
      <xdr:colOff>2026</xdr:colOff>
      <xdr:row>5</xdr:row>
      <xdr:rowOff>165355</xdr:rowOff>
    </xdr:to>
    <xdr:pic>
      <xdr:nvPicPr>
        <xdr:cNvPr id="2" name="Imagen 1">
          <a:extLst>
            <a:ext uri="{FF2B5EF4-FFF2-40B4-BE49-F238E27FC236}">
              <a16:creationId xmlns:a16="http://schemas.microsoft.com/office/drawing/2014/main" id="{5719433B-A878-4F68-8760-63C9759B08E5}"/>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extLst>
            <a:ext uri="{BEBA8EAE-BF5A-486C-A8C5-ECC9F3942E4B}">
              <a14:imgProps xmlns:a14="http://schemas.microsoft.com/office/drawing/2010/main">
                <a14:imgLayer r:embed="rId2">
                  <a14:imgEffect>
                    <a14:brightnessContrast contrast="-40000"/>
                  </a14:imgEffect>
                </a14:imgLayer>
              </a14:imgProps>
            </a:ext>
            <a:ext uri="{28A0092B-C50C-407E-A947-70E740481C1C}">
              <a14:useLocalDpi xmlns:a14="http://schemas.microsoft.com/office/drawing/2010/main" val="0"/>
            </a:ext>
          </a:extLst>
        </a:blip>
        <a:srcRect l="17560" t="627" r="16876" b="1881"/>
        <a:stretch/>
      </xdr:blipFill>
      <xdr:spPr>
        <a:xfrm>
          <a:off x="12815416" y="41205"/>
          <a:ext cx="1155146" cy="1275524"/>
        </a:xfrm>
        <a:prstGeom prst="rect">
          <a:avLst/>
        </a:prstGeom>
      </xdr:spPr>
    </xdr:pic>
    <xdr:clientData/>
  </xdr:twoCellAnchor>
  <xdr:oneCellAnchor>
    <xdr:from>
      <xdr:col>11</xdr:col>
      <xdr:colOff>99773</xdr:colOff>
      <xdr:row>59</xdr:row>
      <xdr:rowOff>102419</xdr:rowOff>
    </xdr:from>
    <xdr:ext cx="1082398" cy="1193205"/>
    <xdr:pic>
      <xdr:nvPicPr>
        <xdr:cNvPr id="4" name="Imagen 3">
          <a:extLst>
            <a:ext uri="{FF2B5EF4-FFF2-40B4-BE49-F238E27FC236}">
              <a16:creationId xmlns:a16="http://schemas.microsoft.com/office/drawing/2014/main" id="{34B90753-0A7D-455D-AFE0-FDBC74432421}"/>
            </a:ext>
          </a:extLst>
        </xdr:cNvPr>
        <xdr:cNvPicPr>
          <a:picLocks noChangeAspect="1"/>
        </xdr:cNvPicPr>
      </xdr:nvPicPr>
      <xdr:blipFill rotWithShape="1">
        <a:blip xmlns:r="http://schemas.openxmlformats.org/officeDocument/2006/relationships" r:embed="rId1" cstate="print">
          <a:clrChange>
            <a:clrFrom>
              <a:srgbClr val="FFFFFF"/>
            </a:clrFrom>
            <a:clrTo>
              <a:srgbClr val="FFFFFF">
                <a:alpha val="0"/>
              </a:srgbClr>
            </a:clrTo>
          </a:clrChange>
          <a:extLst>
            <a:ext uri="{BEBA8EAE-BF5A-486C-A8C5-ECC9F3942E4B}">
              <a14:imgProps xmlns:a14="http://schemas.microsoft.com/office/drawing/2010/main">
                <a14:imgLayer r:embed="rId2">
                  <a14:imgEffect>
                    <a14:brightnessContrast contrast="-40000"/>
                  </a14:imgEffect>
                </a14:imgLayer>
              </a14:imgProps>
            </a:ext>
            <a:ext uri="{28A0092B-C50C-407E-A947-70E740481C1C}">
              <a14:useLocalDpi xmlns:a14="http://schemas.microsoft.com/office/drawing/2010/main" val="0"/>
            </a:ext>
          </a:extLst>
        </a:blip>
        <a:srcRect l="17560" t="627" r="16876" b="1881"/>
        <a:stretch/>
      </xdr:blipFill>
      <xdr:spPr>
        <a:xfrm>
          <a:off x="12871467" y="11460725"/>
          <a:ext cx="1082398" cy="1193205"/>
        </a:xfrm>
        <a:prstGeom prst="rect">
          <a:avLst/>
        </a:prstGeom>
      </xdr:spPr>
    </xdr:pic>
    <xdr:clientData/>
  </xdr:oneCellAnchor>
  <xdr:twoCellAnchor>
    <xdr:from>
      <xdr:col>0</xdr:col>
      <xdr:colOff>512098</xdr:colOff>
      <xdr:row>71</xdr:row>
      <xdr:rowOff>198872</xdr:rowOff>
    </xdr:from>
    <xdr:to>
      <xdr:col>5</xdr:col>
      <xdr:colOff>911307</xdr:colOff>
      <xdr:row>85</xdr:row>
      <xdr:rowOff>10466</xdr:rowOff>
    </xdr:to>
    <xdr:graphicFrame macro="">
      <xdr:nvGraphicFramePr>
        <xdr:cNvPr id="3" name="Gráfico 2">
          <a:extLst>
            <a:ext uri="{FF2B5EF4-FFF2-40B4-BE49-F238E27FC236}">
              <a16:creationId xmlns:a16="http://schemas.microsoft.com/office/drawing/2014/main" id="{0E9FF52B-5B18-4FFD-9244-EA89A9B686B7}"/>
            </a:ext>
            <a:ext uri="{147F2762-F138-4A5C-976F-8EAC2B608ADB}">
              <a16:predDERef xmlns:a16="http://schemas.microsoft.com/office/drawing/2014/main" pred="{34B90753-0A7D-455D-AFE0-FDBC74432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86</xdr:row>
      <xdr:rowOff>0</xdr:rowOff>
    </xdr:from>
    <xdr:to>
      <xdr:col>5</xdr:col>
      <xdr:colOff>942032</xdr:colOff>
      <xdr:row>99</xdr:row>
      <xdr:rowOff>14701</xdr:rowOff>
    </xdr:to>
    <xdr:graphicFrame macro="">
      <xdr:nvGraphicFramePr>
        <xdr:cNvPr id="14" name="Gráfico 13">
          <a:extLst>
            <a:ext uri="{FF2B5EF4-FFF2-40B4-BE49-F238E27FC236}">
              <a16:creationId xmlns:a16="http://schemas.microsoft.com/office/drawing/2014/main" id="{EE4B4EBA-38B8-421D-B240-27CE74824CC1}"/>
            </a:ext>
            <a:ext uri="{147F2762-F138-4A5C-976F-8EAC2B608ADB}">
              <a16:predDERef xmlns:a16="http://schemas.microsoft.com/office/drawing/2014/main" pred="{0E9FF52B-5B18-4FFD-9244-EA89A9B6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100</xdr:row>
      <xdr:rowOff>0</xdr:rowOff>
    </xdr:from>
    <xdr:to>
      <xdr:col>5</xdr:col>
      <xdr:colOff>942032</xdr:colOff>
      <xdr:row>113</xdr:row>
      <xdr:rowOff>14701</xdr:rowOff>
    </xdr:to>
    <xdr:graphicFrame macro="">
      <xdr:nvGraphicFramePr>
        <xdr:cNvPr id="16" name="Gráfico 15">
          <a:extLst>
            <a:ext uri="{FF2B5EF4-FFF2-40B4-BE49-F238E27FC236}">
              <a16:creationId xmlns:a16="http://schemas.microsoft.com/office/drawing/2014/main" id="{671CBB4E-1FB7-45EE-B51C-2BC847E1D7E6}"/>
            </a:ext>
            <a:ext uri="{147F2762-F138-4A5C-976F-8EAC2B608ADB}">
              <a16:predDERef xmlns:a16="http://schemas.microsoft.com/office/drawing/2014/main" pred="{EE4B4EBA-38B8-421D-B240-27CE74824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114</xdr:row>
      <xdr:rowOff>0</xdr:rowOff>
    </xdr:from>
    <xdr:to>
      <xdr:col>5</xdr:col>
      <xdr:colOff>942032</xdr:colOff>
      <xdr:row>127</xdr:row>
      <xdr:rowOff>14701</xdr:rowOff>
    </xdr:to>
    <xdr:graphicFrame macro="">
      <xdr:nvGraphicFramePr>
        <xdr:cNvPr id="17" name="Gráfico 16">
          <a:extLst>
            <a:ext uri="{FF2B5EF4-FFF2-40B4-BE49-F238E27FC236}">
              <a16:creationId xmlns:a16="http://schemas.microsoft.com/office/drawing/2014/main" id="{E64F6F74-E9DF-4944-835C-68A32C47338A}"/>
            </a:ext>
            <a:ext uri="{147F2762-F138-4A5C-976F-8EAC2B608ADB}">
              <a16:predDERef xmlns:a16="http://schemas.microsoft.com/office/drawing/2014/main" pred="{671CBB4E-1FB7-45EE-B51C-2BC847E1D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127</xdr:row>
      <xdr:rowOff>203106</xdr:rowOff>
    </xdr:from>
    <xdr:to>
      <xdr:col>5</xdr:col>
      <xdr:colOff>942032</xdr:colOff>
      <xdr:row>141</xdr:row>
      <xdr:rowOff>14700</xdr:rowOff>
    </xdr:to>
    <xdr:graphicFrame macro="">
      <xdr:nvGraphicFramePr>
        <xdr:cNvPr id="19" name="Gráfico 18">
          <a:extLst>
            <a:ext uri="{FF2B5EF4-FFF2-40B4-BE49-F238E27FC236}">
              <a16:creationId xmlns:a16="http://schemas.microsoft.com/office/drawing/2014/main" id="{C0DFB120-C5C9-4869-A17A-5C60E5858336}"/>
            </a:ext>
            <a:ext uri="{147F2762-F138-4A5C-976F-8EAC2B608ADB}">
              <a16:predDERef xmlns:a16="http://schemas.microsoft.com/office/drawing/2014/main" pred="{E64F6F74-E9DF-4944-835C-68A32C473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72</xdr:row>
      <xdr:rowOff>0</xdr:rowOff>
    </xdr:from>
    <xdr:to>
      <xdr:col>10</xdr:col>
      <xdr:colOff>900009</xdr:colOff>
      <xdr:row>85</xdr:row>
      <xdr:rowOff>14701</xdr:rowOff>
    </xdr:to>
    <xdr:graphicFrame macro="">
      <xdr:nvGraphicFramePr>
        <xdr:cNvPr id="20" name="Gráfico 19">
          <a:extLst>
            <a:ext uri="{FF2B5EF4-FFF2-40B4-BE49-F238E27FC236}">
              <a16:creationId xmlns:a16="http://schemas.microsoft.com/office/drawing/2014/main" id="{9459B8DA-F341-4D4B-90D4-2423C2C7E068}"/>
            </a:ext>
            <a:ext uri="{147F2762-F138-4A5C-976F-8EAC2B608ADB}">
              <a16:predDERef xmlns:a16="http://schemas.microsoft.com/office/drawing/2014/main" pred="{C0DFB120-C5C9-4869-A17A-5C60E5858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86</xdr:row>
      <xdr:rowOff>0</xdr:rowOff>
    </xdr:from>
    <xdr:to>
      <xdr:col>10</xdr:col>
      <xdr:colOff>900009</xdr:colOff>
      <xdr:row>99</xdr:row>
      <xdr:rowOff>14701</xdr:rowOff>
    </xdr:to>
    <xdr:graphicFrame macro="">
      <xdr:nvGraphicFramePr>
        <xdr:cNvPr id="26" name="Gráfico 25">
          <a:extLst>
            <a:ext uri="{FF2B5EF4-FFF2-40B4-BE49-F238E27FC236}">
              <a16:creationId xmlns:a16="http://schemas.microsoft.com/office/drawing/2014/main" id="{C9EC9005-9E66-4025-9F9B-D3DC3C471DB8}"/>
            </a:ext>
            <a:ext uri="{147F2762-F138-4A5C-976F-8EAC2B608ADB}">
              <a16:predDERef xmlns:a16="http://schemas.microsoft.com/office/drawing/2014/main" pred="{9459B8DA-F341-4D4B-90D4-2423C2C7E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100</xdr:row>
      <xdr:rowOff>0</xdr:rowOff>
    </xdr:from>
    <xdr:to>
      <xdr:col>10</xdr:col>
      <xdr:colOff>900009</xdr:colOff>
      <xdr:row>113</xdr:row>
      <xdr:rowOff>14701</xdr:rowOff>
    </xdr:to>
    <xdr:graphicFrame macro="">
      <xdr:nvGraphicFramePr>
        <xdr:cNvPr id="27" name="Gráfico 26">
          <a:extLst>
            <a:ext uri="{FF2B5EF4-FFF2-40B4-BE49-F238E27FC236}">
              <a16:creationId xmlns:a16="http://schemas.microsoft.com/office/drawing/2014/main" id="{EC8A623C-F7FA-451B-A948-195D7B4D7023}"/>
            </a:ext>
            <a:ext uri="{147F2762-F138-4A5C-976F-8EAC2B608ADB}">
              <a16:predDERef xmlns:a16="http://schemas.microsoft.com/office/drawing/2014/main" pred="{C9EC9005-9E66-4025-9F9B-D3DC3C471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114</xdr:row>
      <xdr:rowOff>0</xdr:rowOff>
    </xdr:from>
    <xdr:to>
      <xdr:col>10</xdr:col>
      <xdr:colOff>900009</xdr:colOff>
      <xdr:row>127</xdr:row>
      <xdr:rowOff>14701</xdr:rowOff>
    </xdr:to>
    <xdr:graphicFrame macro="">
      <xdr:nvGraphicFramePr>
        <xdr:cNvPr id="28" name="Gráfico 27">
          <a:extLst>
            <a:ext uri="{FF2B5EF4-FFF2-40B4-BE49-F238E27FC236}">
              <a16:creationId xmlns:a16="http://schemas.microsoft.com/office/drawing/2014/main" id="{37B5D682-1092-44A9-911A-A2D08EE186C5}"/>
            </a:ext>
            <a:ext uri="{147F2762-F138-4A5C-976F-8EAC2B608ADB}">
              <a16:predDERef xmlns:a16="http://schemas.microsoft.com/office/drawing/2014/main" pred="{EC8A623C-F7FA-451B-A948-195D7B4D7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128</xdr:row>
      <xdr:rowOff>0</xdr:rowOff>
    </xdr:from>
    <xdr:to>
      <xdr:col>10</xdr:col>
      <xdr:colOff>900009</xdr:colOff>
      <xdr:row>141</xdr:row>
      <xdr:rowOff>14701</xdr:rowOff>
    </xdr:to>
    <xdr:graphicFrame macro="">
      <xdr:nvGraphicFramePr>
        <xdr:cNvPr id="29" name="Gráfico 28">
          <a:extLst>
            <a:ext uri="{FF2B5EF4-FFF2-40B4-BE49-F238E27FC236}">
              <a16:creationId xmlns:a16="http://schemas.microsoft.com/office/drawing/2014/main" id="{79581D62-6BB3-4337-926C-9C7866FD5211}"/>
            </a:ext>
            <a:ext uri="{147F2762-F138-4A5C-976F-8EAC2B608ADB}">
              <a16:predDERef xmlns:a16="http://schemas.microsoft.com/office/drawing/2014/main" pred="{37B5D682-1092-44A9-911A-A2D08EE18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72</xdr:row>
      <xdr:rowOff>0</xdr:rowOff>
    </xdr:from>
    <xdr:to>
      <xdr:col>14</xdr:col>
      <xdr:colOff>406214</xdr:colOff>
      <xdr:row>85</xdr:row>
      <xdr:rowOff>14007</xdr:rowOff>
    </xdr:to>
    <xdr:graphicFrame macro="">
      <xdr:nvGraphicFramePr>
        <xdr:cNvPr id="32" name="Gráfico 31">
          <a:extLst>
            <a:ext uri="{FF2B5EF4-FFF2-40B4-BE49-F238E27FC236}">
              <a16:creationId xmlns:a16="http://schemas.microsoft.com/office/drawing/2014/main" id="{C72AEAB2-B9C4-4826-9CDC-CF662EBC73A7}"/>
            </a:ext>
            <a:ext uri="{147F2762-F138-4A5C-976F-8EAC2B608ADB}">
              <a16:predDERef xmlns:a16="http://schemas.microsoft.com/office/drawing/2014/main" pred="{79581D62-6BB3-4337-926C-9C7866FD5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0</xdr:colOff>
      <xdr:row>86</xdr:row>
      <xdr:rowOff>0</xdr:rowOff>
    </xdr:from>
    <xdr:to>
      <xdr:col>14</xdr:col>
      <xdr:colOff>406214</xdr:colOff>
      <xdr:row>99</xdr:row>
      <xdr:rowOff>14007</xdr:rowOff>
    </xdr:to>
    <xdr:graphicFrame macro="">
      <xdr:nvGraphicFramePr>
        <xdr:cNvPr id="35" name="Gráfico 34">
          <a:extLst>
            <a:ext uri="{FF2B5EF4-FFF2-40B4-BE49-F238E27FC236}">
              <a16:creationId xmlns:a16="http://schemas.microsoft.com/office/drawing/2014/main" id="{E01FF924-D514-46CF-9D27-ED6939586261}"/>
            </a:ext>
            <a:ext uri="{147F2762-F138-4A5C-976F-8EAC2B608ADB}">
              <a16:predDERef xmlns:a16="http://schemas.microsoft.com/office/drawing/2014/main" pred="{C72AEAB2-B9C4-4826-9CDC-CF662EBC7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0</xdr:colOff>
      <xdr:row>100</xdr:row>
      <xdr:rowOff>0</xdr:rowOff>
    </xdr:from>
    <xdr:to>
      <xdr:col>14</xdr:col>
      <xdr:colOff>406214</xdr:colOff>
      <xdr:row>113</xdr:row>
      <xdr:rowOff>14007</xdr:rowOff>
    </xdr:to>
    <xdr:graphicFrame macro="">
      <xdr:nvGraphicFramePr>
        <xdr:cNvPr id="41" name="Gráfico 40">
          <a:extLst>
            <a:ext uri="{FF2B5EF4-FFF2-40B4-BE49-F238E27FC236}">
              <a16:creationId xmlns:a16="http://schemas.microsoft.com/office/drawing/2014/main" id="{BF694789-7054-417E-9ACC-EA81AB848A4E}"/>
            </a:ext>
            <a:ext uri="{147F2762-F138-4A5C-976F-8EAC2B608ADB}">
              <a16:predDERef xmlns:a16="http://schemas.microsoft.com/office/drawing/2014/main" pred="{E01FF924-D514-46CF-9D27-ED6939586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0</xdr:colOff>
      <xdr:row>114</xdr:row>
      <xdr:rowOff>0</xdr:rowOff>
    </xdr:from>
    <xdr:to>
      <xdr:col>14</xdr:col>
      <xdr:colOff>406214</xdr:colOff>
      <xdr:row>127</xdr:row>
      <xdr:rowOff>14007</xdr:rowOff>
    </xdr:to>
    <xdr:graphicFrame macro="">
      <xdr:nvGraphicFramePr>
        <xdr:cNvPr id="42" name="Gráfico 41">
          <a:extLst>
            <a:ext uri="{FF2B5EF4-FFF2-40B4-BE49-F238E27FC236}">
              <a16:creationId xmlns:a16="http://schemas.microsoft.com/office/drawing/2014/main" id="{202AB236-9AF6-4AF7-BD60-0BC3F3D66B6A}"/>
            </a:ext>
            <a:ext uri="{147F2762-F138-4A5C-976F-8EAC2B608ADB}">
              <a16:predDERef xmlns:a16="http://schemas.microsoft.com/office/drawing/2014/main" pred="{BF694789-7054-417E-9ACC-EA81AB848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0</xdr:colOff>
      <xdr:row>128</xdr:row>
      <xdr:rowOff>0</xdr:rowOff>
    </xdr:from>
    <xdr:to>
      <xdr:col>14</xdr:col>
      <xdr:colOff>406214</xdr:colOff>
      <xdr:row>141</xdr:row>
      <xdr:rowOff>14007</xdr:rowOff>
    </xdr:to>
    <xdr:graphicFrame macro="">
      <xdr:nvGraphicFramePr>
        <xdr:cNvPr id="44" name="Gráfico 43">
          <a:extLst>
            <a:ext uri="{FF2B5EF4-FFF2-40B4-BE49-F238E27FC236}">
              <a16:creationId xmlns:a16="http://schemas.microsoft.com/office/drawing/2014/main" id="{1A3A93FB-9E1B-4D49-8DDD-24F0204FAC0E}"/>
            </a:ext>
            <a:ext uri="{147F2762-F138-4A5C-976F-8EAC2B608ADB}">
              <a16:predDERef xmlns:a16="http://schemas.microsoft.com/office/drawing/2014/main" pred="{202AB236-9AF6-4AF7-BD60-0BC3F3D66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1298575</xdr:colOff>
      <xdr:row>26</xdr:row>
      <xdr:rowOff>149225</xdr:rowOff>
    </xdr:from>
    <xdr:ext cx="65" cy="172227"/>
    <xdr:sp macro="" textlink="">
      <xdr:nvSpPr>
        <xdr:cNvPr id="3" name="CuadroTexto 2">
          <a:extLst>
            <a:ext uri="{FF2B5EF4-FFF2-40B4-BE49-F238E27FC236}">
              <a16:creationId xmlns:a16="http://schemas.microsoft.com/office/drawing/2014/main" id="{A196ABCD-8591-A3F6-5E04-EDE1C4F7B8BA}"/>
            </a:ext>
          </a:extLst>
        </xdr:cNvPr>
        <xdr:cNvSpPr txBox="1"/>
      </xdr:nvSpPr>
      <xdr:spPr>
        <a:xfrm>
          <a:off x="5413375" y="5400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8AE78-F898-4624-848C-1F18105F5419}">
  <sheetPr>
    <tabColor theme="4" tint="0.79998168889431442"/>
  </sheetPr>
  <dimension ref="A1:I27"/>
  <sheetViews>
    <sheetView showGridLines="0" zoomScaleNormal="100" workbookViewId="0">
      <selection activeCell="D18" sqref="D18"/>
    </sheetView>
  </sheetViews>
  <sheetFormatPr defaultColWidth="10.7109375" defaultRowHeight="14.45"/>
  <cols>
    <col min="2" max="2" width="34.7109375" bestFit="1" customWidth="1"/>
    <col min="3" max="3" width="5.85546875" customWidth="1"/>
    <col min="4" max="4" width="73.42578125" customWidth="1"/>
    <col min="5" max="5" width="12.5703125" bestFit="1" customWidth="1"/>
    <col min="8" max="8" width="19.42578125" customWidth="1"/>
  </cols>
  <sheetData>
    <row r="1" spans="1:9">
      <c r="A1" s="5"/>
      <c r="B1" s="5"/>
      <c r="C1" s="5"/>
      <c r="D1" s="5"/>
      <c r="E1" s="5"/>
      <c r="F1" s="5"/>
      <c r="G1" s="5"/>
      <c r="H1" s="5"/>
    </row>
    <row r="2" spans="1:9" ht="34.5" customHeight="1">
      <c r="A2" s="5"/>
      <c r="B2" s="194" t="s">
        <v>0</v>
      </c>
      <c r="C2" s="194"/>
      <c r="D2" s="195" t="s">
        <v>1</v>
      </c>
      <c r="E2" s="195"/>
      <c r="F2" s="195"/>
      <c r="G2" s="195"/>
      <c r="H2" s="195"/>
    </row>
    <row r="3" spans="1:9" ht="6.75" customHeight="1">
      <c r="A3" s="5"/>
      <c r="B3" s="5"/>
      <c r="C3" s="5"/>
      <c r="D3" s="5"/>
      <c r="E3" s="5"/>
      <c r="F3" s="5"/>
      <c r="G3" s="5"/>
      <c r="H3" s="5"/>
    </row>
    <row r="4" spans="1:9">
      <c r="A4" s="5"/>
      <c r="B4" s="193" t="s">
        <v>2</v>
      </c>
      <c r="C4" s="193"/>
      <c r="D4" s="5" t="s">
        <v>3</v>
      </c>
      <c r="E4" s="5"/>
      <c r="F4" s="5"/>
      <c r="G4" s="5"/>
      <c r="H4" s="5"/>
    </row>
    <row r="5" spans="1:9">
      <c r="A5" s="5"/>
      <c r="B5" s="5"/>
      <c r="C5" s="5"/>
      <c r="D5" s="26" t="s">
        <v>4</v>
      </c>
      <c r="E5" s="153">
        <v>25000</v>
      </c>
      <c r="F5" s="196" t="s">
        <v>5</v>
      </c>
      <c r="G5" s="196"/>
      <c r="H5" s="196"/>
    </row>
    <row r="6" spans="1:9">
      <c r="A6" s="5"/>
      <c r="B6" s="5"/>
      <c r="C6" s="5"/>
      <c r="D6" s="5" t="s">
        <v>6</v>
      </c>
      <c r="E6" s="154">
        <v>0.7</v>
      </c>
      <c r="F6" s="197" t="s">
        <v>7</v>
      </c>
      <c r="G6" s="197"/>
      <c r="H6" s="197"/>
    </row>
    <row r="7" spans="1:9" ht="30.75" customHeight="1">
      <c r="A7" s="5"/>
      <c r="B7" s="5"/>
      <c r="C7" s="5"/>
      <c r="D7" s="199" t="s">
        <v>8</v>
      </c>
      <c r="E7" s="199"/>
      <c r="F7" s="199"/>
      <c r="G7" s="199"/>
      <c r="H7" s="199"/>
    </row>
    <row r="8" spans="1:9" ht="15.6">
      <c r="A8" s="5"/>
      <c r="B8" s="166" t="s">
        <v>9</v>
      </c>
      <c r="C8" s="167">
        <f>+KAIZEN!L8</f>
        <v>10</v>
      </c>
      <c r="D8" s="163" t="s">
        <v>10</v>
      </c>
      <c r="F8" s="5"/>
      <c r="G8" s="5"/>
      <c r="H8" s="5"/>
    </row>
    <row r="9" spans="1:9">
      <c r="A9" s="5"/>
      <c r="B9" s="5"/>
      <c r="C9" s="5"/>
      <c r="D9" s="5"/>
      <c r="E9" s="5"/>
      <c r="F9" s="5"/>
      <c r="G9" s="5"/>
      <c r="H9" s="5"/>
    </row>
    <row r="10" spans="1:9" ht="21">
      <c r="A10" s="5"/>
      <c r="B10" s="5"/>
      <c r="C10" s="5"/>
      <c r="D10" s="27" t="str">
        <f>+KAIZEN!H3</f>
        <v>Grado de Ingeniería Informática, Curso: 23/24</v>
      </c>
      <c r="E10" s="5"/>
      <c r="F10" s="5"/>
      <c r="G10" s="5"/>
      <c r="H10" s="5"/>
    </row>
    <row r="11" spans="1:9" ht="21">
      <c r="A11" s="5"/>
      <c r="B11" s="5"/>
      <c r="C11" s="5"/>
      <c r="D11" s="27" t="str">
        <f>+KAIZEN!H4</f>
        <v>Asignatura de Economía y Administración de Empresas</v>
      </c>
      <c r="E11" s="5"/>
      <c r="F11" s="5"/>
      <c r="G11" s="5"/>
      <c r="H11" s="5"/>
    </row>
    <row r="12" spans="1:9" ht="21" customHeight="1">
      <c r="A12" s="5"/>
      <c r="B12" s="201" t="s">
        <v>11</v>
      </c>
      <c r="C12" s="201"/>
      <c r="D12" s="91" t="s">
        <v>12</v>
      </c>
      <c r="E12" s="5"/>
      <c r="F12" s="202" t="str">
        <f ca="1">+IF(KAIZEN!$K$10=0,"Está utizando ésta Hoja de Cálculo sin la autorización de su autor y por lo tanto de una forma fraudulenta. Los resultados mostrados son erroneos. Cierre la aplicación y pida autorización para poder continuar.", " ")</f>
        <v xml:space="preserve"> </v>
      </c>
      <c r="G12" s="202"/>
      <c r="H12" s="202"/>
      <c r="I12" s="202"/>
    </row>
    <row r="13" spans="1:9" ht="9.75" customHeight="1">
      <c r="A13" s="5"/>
      <c r="B13" s="28"/>
      <c r="C13" s="28"/>
      <c r="D13" s="29"/>
      <c r="E13" s="5"/>
      <c r="F13" s="202"/>
      <c r="G13" s="202"/>
      <c r="H13" s="202"/>
      <c r="I13" s="202"/>
    </row>
    <row r="14" spans="1:9" ht="21" customHeight="1">
      <c r="A14" s="5"/>
      <c r="B14" s="201" t="s">
        <v>13</v>
      </c>
      <c r="C14" s="201"/>
      <c r="D14" s="91">
        <v>2024</v>
      </c>
      <c r="E14" s="5"/>
      <c r="F14" s="202"/>
      <c r="G14" s="202"/>
      <c r="H14" s="202"/>
      <c r="I14" s="202"/>
    </row>
    <row r="15" spans="1:9" ht="9.75" customHeight="1">
      <c r="A15" s="5"/>
      <c r="B15" s="28"/>
      <c r="C15" s="28"/>
      <c r="D15" s="5"/>
      <c r="E15" s="5"/>
      <c r="F15" s="202"/>
      <c r="G15" s="202"/>
      <c r="H15" s="202"/>
      <c r="I15" s="202"/>
    </row>
    <row r="16" spans="1:9" ht="21" customHeight="1">
      <c r="A16" s="5"/>
      <c r="B16" s="201" t="s">
        <v>14</v>
      </c>
      <c r="C16" s="201"/>
      <c r="D16" s="92" t="s">
        <v>15</v>
      </c>
      <c r="E16" s="5"/>
      <c r="F16" s="202"/>
      <c r="G16" s="202"/>
      <c r="H16" s="202"/>
      <c r="I16" s="202"/>
    </row>
    <row r="17" spans="1:9" ht="27.75" customHeight="1">
      <c r="A17" s="5"/>
      <c r="B17" s="28"/>
      <c r="C17" s="28"/>
      <c r="D17" s="30" t="s">
        <v>16</v>
      </c>
      <c r="E17" s="5"/>
      <c r="F17" s="202"/>
      <c r="G17" s="202"/>
      <c r="H17" s="202"/>
      <c r="I17" s="202"/>
    </row>
    <row r="18" spans="1:9" ht="21" customHeight="1">
      <c r="A18" s="5"/>
      <c r="B18" s="200" t="s">
        <v>17</v>
      </c>
      <c r="C18" s="31" t="s">
        <v>18</v>
      </c>
      <c r="D18" s="93" t="s">
        <v>19</v>
      </c>
      <c r="E18" s="32" t="s">
        <v>20</v>
      </c>
      <c r="F18" s="202"/>
      <c r="G18" s="202"/>
      <c r="H18" s="202"/>
      <c r="I18" s="202"/>
    </row>
    <row r="19" spans="1:9" ht="21" customHeight="1">
      <c r="A19" s="5"/>
      <c r="B19" s="200"/>
      <c r="C19" s="31" t="s">
        <v>21</v>
      </c>
      <c r="D19" s="94" t="s">
        <v>22</v>
      </c>
      <c r="E19" s="5"/>
      <c r="F19" s="202"/>
      <c r="G19" s="202"/>
      <c r="H19" s="202"/>
      <c r="I19" s="202"/>
    </row>
    <row r="20" spans="1:9" ht="21" customHeight="1">
      <c r="A20" s="5"/>
      <c r="B20" s="200"/>
      <c r="C20" s="31" t="s">
        <v>23</v>
      </c>
      <c r="D20" s="95" t="s">
        <v>24</v>
      </c>
      <c r="E20" s="5"/>
      <c r="F20" s="202"/>
      <c r="G20" s="202"/>
      <c r="H20" s="202"/>
      <c r="I20" s="202"/>
    </row>
    <row r="21" spans="1:9" ht="21" customHeight="1">
      <c r="A21" s="5"/>
      <c r="B21" s="200"/>
      <c r="C21" s="31" t="s">
        <v>25</v>
      </c>
      <c r="D21" s="94"/>
      <c r="E21" s="5"/>
      <c r="F21" s="202"/>
      <c r="G21" s="202"/>
      <c r="H21" s="202"/>
      <c r="I21" s="202"/>
    </row>
    <row r="22" spans="1:9" ht="21" customHeight="1">
      <c r="A22" s="5"/>
      <c r="B22" s="200"/>
      <c r="C22" s="31" t="s">
        <v>26</v>
      </c>
      <c r="D22" s="95"/>
      <c r="E22" s="5"/>
      <c r="F22" s="5"/>
      <c r="G22" s="5"/>
      <c r="H22" s="5"/>
    </row>
    <row r="23" spans="1:9" ht="21" customHeight="1">
      <c r="A23" s="5"/>
      <c r="B23" s="200"/>
      <c r="C23" s="31"/>
      <c r="D23" s="94"/>
      <c r="E23" s="5"/>
      <c r="F23" s="5"/>
      <c r="G23" s="5"/>
      <c r="H23" s="5"/>
    </row>
    <row r="24" spans="1:9" ht="21" customHeight="1">
      <c r="A24" s="5"/>
      <c r="B24" s="200"/>
      <c r="C24" s="31"/>
      <c r="D24" s="95"/>
      <c r="E24" s="5"/>
      <c r="F24" s="5"/>
      <c r="G24" s="5"/>
      <c r="H24" s="5"/>
    </row>
    <row r="25" spans="1:9">
      <c r="D25" s="3"/>
    </row>
    <row r="26" spans="1:9" ht="18.600000000000001">
      <c r="B26" s="39" t="s">
        <v>27</v>
      </c>
      <c r="C26" s="39"/>
      <c r="D26" s="39"/>
      <c r="E26" s="39"/>
    </row>
    <row r="27" spans="1:9" ht="93" customHeight="1">
      <c r="B27" s="198" t="s">
        <v>28</v>
      </c>
      <c r="C27" s="198"/>
      <c r="D27" s="198"/>
      <c r="E27" s="198"/>
    </row>
  </sheetData>
  <sheetProtection algorithmName="SHA-512" hashValue="WU/RLWOGUEg991F8IIkiWaiB8AdKbGQ/lS88JRwWXl4uddYbsC28KU2dwkRIPs7gBEI3jsg/Ak4kiHo9yxc3eA==" saltValue="lfNz8L7dWPofxLC3JKmr8w==" spinCount="100000" sheet="1" objects="1" scenarios="1"/>
  <mergeCells count="12">
    <mergeCell ref="B27:E27"/>
    <mergeCell ref="D7:H7"/>
    <mergeCell ref="B18:B24"/>
    <mergeCell ref="B12:C12"/>
    <mergeCell ref="B14:C14"/>
    <mergeCell ref="B16:C16"/>
    <mergeCell ref="F12:I21"/>
    <mergeCell ref="B4:C4"/>
    <mergeCell ref="B2:C2"/>
    <mergeCell ref="D2:H2"/>
    <mergeCell ref="F5:H5"/>
    <mergeCell ref="F6:H6"/>
  </mergeCells>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4" stopIfTrue="1" id="{FF0CC29A-A814-4358-90C0-46D51DA2F3F6}">
            <xm:f>+KAIZEN!$K$10=0</xm:f>
            <x14:dxf>
              <font>
                <b/>
                <i val="0"/>
                <color theme="0"/>
              </font>
              <fill>
                <patternFill>
                  <bgColor rgb="FFFF0000"/>
                </patternFill>
              </fill>
            </x14:dxf>
          </x14:cfRule>
          <xm:sqref>F12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2BCA1-0E92-4E83-921F-9939A55BAD80}">
  <sheetPr>
    <tabColor rgb="FFFF0000"/>
    <pageSetUpPr fitToPage="1"/>
  </sheetPr>
  <dimension ref="A1:M256"/>
  <sheetViews>
    <sheetView topLeftCell="A300" zoomScale="93" zoomScaleNormal="93" workbookViewId="0">
      <selection activeCell="A300" sqref="A300"/>
    </sheetView>
  </sheetViews>
  <sheetFormatPr defaultColWidth="10.7109375" defaultRowHeight="14.45"/>
  <cols>
    <col min="1" max="1" width="8.140625" bestFit="1" customWidth="1"/>
    <col min="2" max="2" width="19.5703125" customWidth="1"/>
    <col min="3" max="3" width="18.28515625" customWidth="1"/>
    <col min="4" max="4" width="17.42578125" bestFit="1" customWidth="1"/>
    <col min="5" max="5" width="17.140625" bestFit="1" customWidth="1"/>
    <col min="6" max="6" width="19.5703125" customWidth="1"/>
    <col min="7" max="7" width="19.42578125" customWidth="1"/>
    <col min="8" max="8" width="18.28515625" customWidth="1"/>
    <col min="9" max="9" width="16.42578125" customWidth="1"/>
    <col min="10" max="10" width="19.140625" customWidth="1"/>
    <col min="11" max="11" width="18.140625" customWidth="1"/>
    <col min="12" max="12" width="17.7109375" customWidth="1"/>
  </cols>
  <sheetData>
    <row r="1" spans="1:13">
      <c r="A1" s="5"/>
      <c r="B1" s="5"/>
      <c r="C1" s="5"/>
      <c r="D1" s="5"/>
      <c r="E1" s="5"/>
      <c r="F1" s="5"/>
      <c r="G1" s="5"/>
      <c r="H1" s="5"/>
      <c r="I1" s="5"/>
      <c r="J1" s="5"/>
      <c r="K1" s="5"/>
      <c r="L1" s="5"/>
      <c r="M1" s="5"/>
    </row>
    <row r="2" spans="1:13" ht="18.75" customHeight="1">
      <c r="A2" s="6" t="s">
        <v>29</v>
      </c>
      <c r="B2" s="7" t="str">
        <f>+INICIO!D16</f>
        <v>G1M1W7</v>
      </c>
      <c r="C2" s="6" t="s">
        <v>30</v>
      </c>
      <c r="D2" s="8">
        <f ca="1">NOW()</f>
        <v>45264.963309375002</v>
      </c>
      <c r="E2" s="5"/>
      <c r="H2" s="205" t="s">
        <v>31</v>
      </c>
      <c r="I2" s="205"/>
      <c r="J2" s="205"/>
      <c r="K2" s="205"/>
      <c r="M2" s="5"/>
    </row>
    <row r="3" spans="1:13" ht="18.75" customHeight="1">
      <c r="A3" s="5"/>
      <c r="B3" s="211" t="s">
        <v>32</v>
      </c>
      <c r="C3" s="211"/>
      <c r="D3" s="211"/>
      <c r="E3" s="5"/>
      <c r="F3" s="144" t="s">
        <v>33</v>
      </c>
      <c r="H3" s="205" t="s">
        <v>34</v>
      </c>
      <c r="I3" s="205"/>
      <c r="J3" s="205"/>
      <c r="K3" s="205"/>
      <c r="M3" s="5"/>
    </row>
    <row r="4" spans="1:13" ht="18.75" customHeight="1">
      <c r="A4" s="9" t="s">
        <v>35</v>
      </c>
      <c r="B4" s="209" t="str">
        <f>IF(+INICIO!D18=0, " ", INICIO!D18)</f>
        <v>El Khiraoui, Khalid</v>
      </c>
      <c r="C4" s="209"/>
      <c r="D4" s="209"/>
      <c r="E4" s="5"/>
      <c r="F4" s="145" t="str">
        <f>IF(+INICIO!B27=0, "NO INDICADA", "SI INDICADA")</f>
        <v>SI INDICADA</v>
      </c>
      <c r="H4" s="206" t="s">
        <v>36</v>
      </c>
      <c r="I4" s="206"/>
      <c r="J4" s="206"/>
      <c r="K4" s="206"/>
      <c r="L4" s="5"/>
      <c r="M4" s="5"/>
    </row>
    <row r="5" spans="1:13" ht="18.75" customHeight="1">
      <c r="A5" s="5">
        <v>2</v>
      </c>
      <c r="B5" s="210" t="str">
        <f>IF(+INICIO!D19=0, " ", INICIO!D19)</f>
        <v>Campos Rodríguez, Jaime</v>
      </c>
      <c r="C5" s="210"/>
      <c r="D5" s="210"/>
      <c r="E5" s="5"/>
      <c r="F5" s="5"/>
      <c r="H5" s="207" t="s">
        <v>37</v>
      </c>
      <c r="I5" s="207"/>
      <c r="J5" s="207"/>
      <c r="K5" s="207"/>
      <c r="L5" s="5"/>
      <c r="M5" s="5"/>
    </row>
    <row r="6" spans="1:13">
      <c r="A6" s="5">
        <v>3</v>
      </c>
      <c r="B6" s="209" t="str">
        <f>IF(+INICIO!D20=0, " ", INICIO!D20)</f>
        <v>Gómez Amaro, Alejandro</v>
      </c>
      <c r="C6" s="209"/>
      <c r="D6" s="209"/>
      <c r="E6" s="5"/>
      <c r="F6" s="10" t="s">
        <v>38</v>
      </c>
      <c r="G6" s="168">
        <v>0.05</v>
      </c>
      <c r="K6" s="5"/>
      <c r="L6" s="5"/>
      <c r="M6" s="5"/>
    </row>
    <row r="7" spans="1:13" ht="15" customHeight="1">
      <c r="A7" s="5">
        <v>4</v>
      </c>
      <c r="B7" s="210" t="str">
        <f>IF(+INICIO!D21=0, " ", INICIO!D21)</f>
        <v xml:space="preserve"> </v>
      </c>
      <c r="C7" s="210"/>
      <c r="D7" s="210"/>
      <c r="E7" s="5"/>
      <c r="F7" s="10" t="s">
        <v>39</v>
      </c>
      <c r="G7" s="213" t="s">
        <v>40</v>
      </c>
      <c r="H7" s="213"/>
      <c r="I7" s="213"/>
      <c r="J7" s="213"/>
      <c r="K7" s="213"/>
      <c r="L7" s="44" t="s">
        <v>41</v>
      </c>
      <c r="M7" s="5"/>
    </row>
    <row r="8" spans="1:13" ht="15" customHeight="1">
      <c r="A8" s="5">
        <v>5</v>
      </c>
      <c r="B8" s="209" t="str">
        <f>IF(+INICIO!D22=0, " ", INICIO!D22)</f>
        <v xml:space="preserve"> </v>
      </c>
      <c r="C8" s="209"/>
      <c r="D8" s="209"/>
      <c r="E8" s="5"/>
      <c r="F8" s="114">
        <f>-PREVISION!H8</f>
        <v>-75000</v>
      </c>
      <c r="G8" s="11">
        <f ca="1">+PREVISION!C44</f>
        <v>32698.009865</v>
      </c>
      <c r="H8" s="11">
        <f ca="1">+PREVISION!D44</f>
        <v>7196.2648987500015</v>
      </c>
      <c r="I8" s="11">
        <f ca="1">+PREVISION!E44</f>
        <v>6288.1911740625001</v>
      </c>
      <c r="J8" s="11">
        <f ca="1">+PREVISION!F44</f>
        <v>25120.125880546875</v>
      </c>
      <c r="K8" s="11">
        <f ca="1">+PREVISION!G44</f>
        <v>70004.891910410166</v>
      </c>
      <c r="L8" s="111">
        <v>10</v>
      </c>
      <c r="M8" s="5"/>
    </row>
    <row r="9" spans="1:13">
      <c r="A9" s="5">
        <v>6</v>
      </c>
      <c r="B9" s="210" t="str">
        <f>IF(+INICIO!D23=0, " ", INICIO!D23)</f>
        <v xml:space="preserve"> </v>
      </c>
      <c r="C9" s="210"/>
      <c r="D9" s="210"/>
      <c r="E9" s="5"/>
      <c r="F9" s="10" t="s">
        <v>42</v>
      </c>
      <c r="G9" s="12">
        <f ca="1">NPV(G6,G8:K8)+F8</f>
        <v>43617.216458670649</v>
      </c>
      <c r="H9" s="5"/>
      <c r="I9" s="5"/>
      <c r="J9" s="5"/>
      <c r="K9" s="5"/>
      <c r="L9" s="155" t="s">
        <v>43</v>
      </c>
      <c r="M9" s="5"/>
    </row>
    <row r="10" spans="1:13">
      <c r="A10" s="5">
        <v>7</v>
      </c>
      <c r="B10" s="209" t="str">
        <f>IF(+INICIO!D24=0, " ", INICIO!D24)</f>
        <v xml:space="preserve"> </v>
      </c>
      <c r="C10" s="209"/>
      <c r="D10" s="209"/>
      <c r="E10" s="5"/>
      <c r="F10" s="10" t="s">
        <v>44</v>
      </c>
      <c r="G10" s="13">
        <f ca="1">IFERROR(IRR(F8:K8),0)</f>
        <v>0.20579775390317168</v>
      </c>
      <c r="H10" s="5"/>
      <c r="I10" s="5"/>
      <c r="J10" s="119">
        <v>45322</v>
      </c>
      <c r="K10" s="118">
        <f ca="1">IF(D2&gt;J10,0,1)</f>
        <v>1</v>
      </c>
      <c r="L10" s="111">
        <v>0</v>
      </c>
      <c r="M10" s="5"/>
    </row>
    <row r="11" spans="1:13">
      <c r="A11" s="5"/>
      <c r="B11" s="5"/>
      <c r="C11" s="5"/>
      <c r="D11" s="5"/>
      <c r="E11" s="5"/>
      <c r="F11" s="5"/>
      <c r="G11" s="5"/>
      <c r="H11" s="5"/>
      <c r="I11" s="5"/>
      <c r="J11" s="5"/>
      <c r="K11" s="5"/>
      <c r="L11" s="5"/>
      <c r="M11" s="5"/>
    </row>
    <row r="12" spans="1:13">
      <c r="A12" s="5"/>
      <c r="B12" s="214" t="s">
        <v>45</v>
      </c>
      <c r="C12" s="214"/>
      <c r="D12" s="7" t="s">
        <v>46</v>
      </c>
      <c r="E12" s="7" t="s">
        <v>47</v>
      </c>
      <c r="F12" s="14" t="s">
        <v>48</v>
      </c>
      <c r="G12" s="14" t="s">
        <v>49</v>
      </c>
      <c r="H12" s="15" t="s">
        <v>50</v>
      </c>
      <c r="I12" s="14" t="s">
        <v>51</v>
      </c>
      <c r="J12" s="14" t="s">
        <v>52</v>
      </c>
      <c r="K12" s="14" t="s">
        <v>53</v>
      </c>
      <c r="L12" s="5"/>
      <c r="M12" s="5"/>
    </row>
    <row r="13" spans="1:13">
      <c r="A13" s="5"/>
      <c r="B13" s="5" t="s">
        <v>54</v>
      </c>
      <c r="C13" s="17">
        <f>+ESTABLECIMIENTO!F3</f>
        <v>30786</v>
      </c>
      <c r="D13" s="5"/>
      <c r="E13" s="5"/>
      <c r="F13" s="10" t="s">
        <v>55</v>
      </c>
      <c r="G13" s="16">
        <f ca="1">+UMBRAL!D10</f>
        <v>3796.2670041126221</v>
      </c>
      <c r="H13" s="16">
        <f ca="1">+UMBRAL!E10</f>
        <v>4555.5204049351469</v>
      </c>
      <c r="I13" s="16">
        <f ca="1">+UMBRAL!F10</f>
        <v>6074.0272065801964</v>
      </c>
      <c r="J13" s="16">
        <f ca="1">+UMBRAL!G10</f>
        <v>126.54223347042075</v>
      </c>
      <c r="K13" s="16">
        <f ca="1">+UMBRAL!H10</f>
        <v>63.271116735210377</v>
      </c>
      <c r="L13" s="5"/>
      <c r="M13" s="5"/>
    </row>
    <row r="14" spans="1:13">
      <c r="A14" s="5"/>
      <c r="B14" s="18" t="s">
        <v>56</v>
      </c>
      <c r="C14" s="134">
        <f>+PREVISION!C38</f>
        <v>21386</v>
      </c>
      <c r="D14" s="114">
        <f>C14-C13</f>
        <v>-9400</v>
      </c>
      <c r="E14" s="5"/>
      <c r="F14" s="10" t="s">
        <v>57</v>
      </c>
      <c r="G14" s="16">
        <f>+UMBRAL!D60</f>
        <v>3420.3235626090222</v>
      </c>
      <c r="H14" s="16">
        <f>+UMBRAL!E60</f>
        <v>3078.2912063481199</v>
      </c>
      <c r="I14" s="16">
        <f>+UMBRAL!F60</f>
        <v>5130.4853439135341</v>
      </c>
      <c r="J14" s="16">
        <f>+UMBRAL!G60</f>
        <v>128.26213359783836</v>
      </c>
      <c r="K14" s="16">
        <f>+UMBRAL!H60</f>
        <v>62.420905017614658</v>
      </c>
      <c r="L14" s="5"/>
      <c r="M14" s="5"/>
    </row>
    <row r="15" spans="1:13">
      <c r="A15" s="5"/>
      <c r="B15" s="18" t="s">
        <v>58</v>
      </c>
      <c r="C15" s="17">
        <f>+PREVISION!D38</f>
        <v>5427.5</v>
      </c>
      <c r="D15" s="114">
        <f>IF(ESTABLECIMIENTO!E7&gt;1,+ESTABLECIMIENTO!F7-C15,0)</f>
        <v>-5277.5</v>
      </c>
      <c r="E15" s="186">
        <f>+ESTABLECIMIENTO!F7</f>
        <v>150</v>
      </c>
      <c r="F15" s="10" t="s">
        <v>59</v>
      </c>
      <c r="G15" s="16">
        <f>+UMBRAL!D110</f>
        <v>3305.2388035035528</v>
      </c>
      <c r="H15" s="16">
        <f>+UMBRAL!E110</f>
        <v>2892.0839530656085</v>
      </c>
      <c r="I15" s="16">
        <f>+UMBRAL!F110</f>
        <v>4544.7033548173849</v>
      </c>
      <c r="J15" s="16">
        <f>+UMBRAL!G110</f>
        <v>123.94645513138323</v>
      </c>
      <c r="K15" s="16">
        <f>+UMBRAL!H110</f>
        <v>57.841679061312171</v>
      </c>
      <c r="L15" s="5"/>
      <c r="M15" s="5"/>
    </row>
    <row r="16" spans="1:13">
      <c r="A16" s="5"/>
      <c r="B16" s="5"/>
      <c r="C16" s="17"/>
      <c r="D16" s="17"/>
      <c r="E16" s="5"/>
      <c r="F16" s="5"/>
      <c r="G16" s="5"/>
      <c r="H16" s="5"/>
      <c r="I16" s="5"/>
      <c r="J16" s="5"/>
      <c r="K16" s="5"/>
      <c r="L16" s="5"/>
      <c r="M16" s="5"/>
    </row>
    <row r="17" spans="1:13">
      <c r="A17" s="5"/>
      <c r="B17" s="214" t="s">
        <v>60</v>
      </c>
      <c r="C17" s="214"/>
      <c r="D17" s="7" t="s">
        <v>46</v>
      </c>
      <c r="E17" s="7"/>
      <c r="F17" s="5"/>
      <c r="G17" s="5"/>
      <c r="H17" s="5"/>
      <c r="I17" s="5"/>
      <c r="J17" s="203" t="s">
        <v>61</v>
      </c>
      <c r="K17" s="203"/>
      <c r="L17" s="203"/>
      <c r="M17" s="5"/>
    </row>
    <row r="18" spans="1:13">
      <c r="A18" s="5"/>
      <c r="B18" s="5" t="s">
        <v>62</v>
      </c>
      <c r="C18" s="17">
        <f ca="1">+ESTABLECIMIENTO!F22</f>
        <v>23200.1</v>
      </c>
      <c r="D18" s="17"/>
      <c r="E18" s="5"/>
      <c r="F18" s="214" t="s">
        <v>63</v>
      </c>
      <c r="G18" s="214"/>
      <c r="H18" s="7" t="s">
        <v>46</v>
      </c>
      <c r="I18" s="5"/>
      <c r="J18" s="19" t="s">
        <v>64</v>
      </c>
      <c r="K18" s="19" t="s">
        <v>65</v>
      </c>
      <c r="L18" s="19" t="s">
        <v>66</v>
      </c>
      <c r="M18" s="5"/>
    </row>
    <row r="19" spans="1:13">
      <c r="A19" s="5"/>
      <c r="B19" s="18" t="s">
        <v>56</v>
      </c>
      <c r="C19" s="17">
        <f>+PREVISION!C39</f>
        <v>15847.5</v>
      </c>
      <c r="D19" s="114">
        <f ca="1">C19-C18</f>
        <v>-7352.5999999999985</v>
      </c>
      <c r="E19" s="5"/>
      <c r="F19" s="5" t="s">
        <v>67</v>
      </c>
      <c r="G19" s="17">
        <f>+D35*40%</f>
        <v>4800</v>
      </c>
      <c r="H19" s="4"/>
      <c r="I19" s="18" t="s">
        <v>49</v>
      </c>
      <c r="J19" s="20">
        <f ca="1">+UMBRAL!P20</f>
        <v>0</v>
      </c>
      <c r="K19" s="20">
        <f>+UMBRAL!P70</f>
        <v>0</v>
      </c>
      <c r="L19" s="20">
        <f>+UMBRAL!P120</f>
        <v>0</v>
      </c>
      <c r="M19" s="5"/>
    </row>
    <row r="20" spans="1:13">
      <c r="A20" s="5"/>
      <c r="B20" s="18" t="s">
        <v>58</v>
      </c>
      <c r="C20" s="17">
        <f>+PREVISION!D39</f>
        <v>6400.1</v>
      </c>
      <c r="D20" s="114">
        <f>IF(ESTABLECIMIENTO!E26&gt;1,+C18-ESTABLECIMIENTO!F26-C20,0)</f>
        <v>0</v>
      </c>
      <c r="E20" s="186">
        <f ca="1">+ESTABLECIMIENTO!F22-ESTABLECIMIENTO!F26</f>
        <v>13700.099999999999</v>
      </c>
      <c r="F20" s="5" t="s">
        <v>68</v>
      </c>
      <c r="G20" s="17">
        <f>+PREVISION!C32</f>
        <v>2832</v>
      </c>
      <c r="H20" s="135">
        <f>+G20-G19</f>
        <v>-1968</v>
      </c>
      <c r="I20" s="18" t="s">
        <v>50</v>
      </c>
      <c r="J20" s="20">
        <f>+UMBRAL!P21</f>
        <v>0</v>
      </c>
      <c r="K20" s="20">
        <f>+UMBRAL!P71</f>
        <v>0</v>
      </c>
      <c r="L20" s="20">
        <f>+UMBRAL!P121</f>
        <v>0</v>
      </c>
      <c r="M20" s="5"/>
    </row>
    <row r="21" spans="1:13">
      <c r="A21" s="5"/>
      <c r="B21" s="5"/>
      <c r="C21" s="5"/>
      <c r="D21" s="17"/>
      <c r="E21" s="5"/>
      <c r="F21" s="5" t="s">
        <v>69</v>
      </c>
      <c r="G21" s="17">
        <f>+PREVISION!I69</f>
        <v>2832</v>
      </c>
      <c r="H21" s="135">
        <f>+G21-G19</f>
        <v>-1968</v>
      </c>
      <c r="I21" s="18" t="s">
        <v>51</v>
      </c>
      <c r="J21" s="20">
        <f>+UMBRAL!P22</f>
        <v>0</v>
      </c>
      <c r="K21" s="20">
        <f>+UMBRAL!P72</f>
        <v>0</v>
      </c>
      <c r="L21" s="20">
        <f>+UMBRAL!P122</f>
        <v>0</v>
      </c>
      <c r="M21" s="5"/>
    </row>
    <row r="22" spans="1:13">
      <c r="A22" s="5"/>
      <c r="B22" s="214" t="s">
        <v>70</v>
      </c>
      <c r="C22" s="214"/>
      <c r="D22" s="7" t="s">
        <v>46</v>
      </c>
      <c r="E22" s="5"/>
      <c r="F22" s="5"/>
      <c r="G22" s="17"/>
      <c r="H22" s="135"/>
      <c r="I22" s="18" t="s">
        <v>52</v>
      </c>
      <c r="J22" s="20">
        <f>+UMBRAL!P23</f>
        <v>0</v>
      </c>
      <c r="K22" s="20">
        <f>+UMBRAL!P73</f>
        <v>0</v>
      </c>
      <c r="L22" s="20">
        <f>+UMBRAL!P123</f>
        <v>0</v>
      </c>
      <c r="M22" s="5"/>
    </row>
    <row r="23" spans="1:13">
      <c r="A23" s="5"/>
      <c r="B23" s="5" t="s">
        <v>71</v>
      </c>
      <c r="C23" s="134">
        <f>+ESTABLECIMIENTO!C7</f>
        <v>750</v>
      </c>
      <c r="D23" s="134"/>
      <c r="E23" s="5"/>
      <c r="F23" s="5" t="s">
        <v>72</v>
      </c>
      <c r="G23" s="17">
        <f>+G35*40%</f>
        <v>4800</v>
      </c>
      <c r="H23" s="135"/>
      <c r="I23" s="18" t="s">
        <v>53</v>
      </c>
      <c r="J23" s="20">
        <f>+UMBRAL!P24</f>
        <v>0</v>
      </c>
      <c r="K23" s="20">
        <f>+UMBRAL!P74</f>
        <v>0</v>
      </c>
      <c r="L23" s="20">
        <f>+UMBRAL!P124</f>
        <v>0</v>
      </c>
      <c r="M23" s="5"/>
    </row>
    <row r="24" spans="1:13">
      <c r="A24" s="5"/>
      <c r="B24" s="18" t="s">
        <v>73</v>
      </c>
      <c r="C24" s="134">
        <f>+ESTABLECIMIENTO!C13*1.5%</f>
        <v>300</v>
      </c>
      <c r="D24" s="152">
        <f>C24-C23</f>
        <v>-450</v>
      </c>
      <c r="E24" s="5" t="s">
        <v>74</v>
      </c>
      <c r="F24" s="5" t="s">
        <v>75</v>
      </c>
      <c r="G24" s="17">
        <f>+PREVISION!D32</f>
        <v>2832</v>
      </c>
      <c r="H24" s="135">
        <f>+G24-G23</f>
        <v>-1968</v>
      </c>
      <c r="I24" s="5"/>
      <c r="J24" s="5"/>
      <c r="K24" s="5"/>
      <c r="L24" s="5"/>
      <c r="M24" s="5"/>
    </row>
    <row r="25" spans="1:13">
      <c r="A25" s="5"/>
      <c r="B25" s="18" t="s">
        <v>76</v>
      </c>
      <c r="C25" s="134">
        <f>+ESTABLECIMIENTO!C13*5%</f>
        <v>1000</v>
      </c>
      <c r="D25" s="152">
        <f>+C23-C25</f>
        <v>-250</v>
      </c>
      <c r="E25" s="5" t="s">
        <v>77</v>
      </c>
      <c r="F25" s="5" t="s">
        <v>78</v>
      </c>
      <c r="G25" s="17">
        <f>+PREVISION!I100</f>
        <v>2832</v>
      </c>
      <c r="H25" s="135">
        <f>+G25-G23</f>
        <v>-1968</v>
      </c>
      <c r="I25" s="5"/>
      <c r="J25" s="203" t="s">
        <v>79</v>
      </c>
      <c r="K25" s="203"/>
      <c r="L25" s="203"/>
      <c r="M25" s="5"/>
    </row>
    <row r="26" spans="1:13">
      <c r="A26" s="5"/>
      <c r="B26" s="5"/>
      <c r="C26" s="17"/>
      <c r="D26" s="5"/>
      <c r="E26" s="5"/>
      <c r="F26" s="5"/>
      <c r="G26" s="17"/>
      <c r="H26" s="135"/>
      <c r="I26" s="5"/>
      <c r="J26" s="19" t="s">
        <v>80</v>
      </c>
      <c r="K26" s="19" t="s">
        <v>81</v>
      </c>
      <c r="L26" s="19" t="s">
        <v>82</v>
      </c>
      <c r="M26" s="5"/>
    </row>
    <row r="27" spans="1:13">
      <c r="A27" s="5"/>
      <c r="B27" s="214" t="s">
        <v>83</v>
      </c>
      <c r="C27" s="214"/>
      <c r="D27" s="7" t="s">
        <v>46</v>
      </c>
      <c r="E27" s="5"/>
      <c r="F27" s="5" t="s">
        <v>84</v>
      </c>
      <c r="G27" s="17">
        <f>+J35*40%</f>
        <v>4800</v>
      </c>
      <c r="H27" s="135"/>
      <c r="I27" s="18" t="s">
        <v>49</v>
      </c>
      <c r="J27" s="121">
        <f ca="1">+UMBRAL!D9-UMBRAL!P44</f>
        <v>3.7333333333333385E-3</v>
      </c>
      <c r="K27" s="121">
        <f>+UMBRAL!D59-UMBRAL!P94</f>
        <v>-3.0000000000000027E-3</v>
      </c>
      <c r="L27" s="121">
        <f>+UMBRAL!D109-UMBRAL!P144</f>
        <v>-3.4374999999999822E-3</v>
      </c>
      <c r="M27" s="5"/>
    </row>
    <row r="28" spans="1:13">
      <c r="A28" s="5"/>
      <c r="B28" s="5" t="s">
        <v>85</v>
      </c>
      <c r="C28" s="134">
        <f>+SUM(PREVISION!C8:G8)</f>
        <v>75000</v>
      </c>
      <c r="D28" s="134">
        <f>+F62*INICIO!E5</f>
        <v>75000</v>
      </c>
      <c r="E28" s="150" t="s">
        <v>86</v>
      </c>
      <c r="F28" s="5" t="s">
        <v>87</v>
      </c>
      <c r="G28" s="17">
        <f>+PREVISION!E32</f>
        <v>2832</v>
      </c>
      <c r="H28" s="135">
        <f>+G28-G27</f>
        <v>-1968</v>
      </c>
      <c r="I28" s="18" t="s">
        <v>50</v>
      </c>
      <c r="J28" s="121">
        <f>+UMBRAL!E9-UMBRAL!P45</f>
        <v>3.1944444444444442E-3</v>
      </c>
      <c r="K28" s="121">
        <f>+UMBRAL!E59-UMBRAL!P95</f>
        <v>-2.555555555555547E-3</v>
      </c>
      <c r="L28" s="121">
        <f>+UMBRAL!E109-UMBRAL!P145</f>
        <v>-1.1357142857142816E-3</v>
      </c>
      <c r="M28" s="5"/>
    </row>
    <row r="29" spans="1:13">
      <c r="A29" s="5"/>
      <c r="B29" s="5" t="s">
        <v>88</v>
      </c>
      <c r="C29" s="134">
        <f>+SUM(PREVISION!C7:G7)</f>
        <v>0</v>
      </c>
      <c r="D29" s="169">
        <f>IFERROR(C29/C31,0)</f>
        <v>0</v>
      </c>
      <c r="E29" s="152">
        <f>+D28-C28</f>
        <v>0</v>
      </c>
      <c r="F29" s="5" t="s">
        <v>89</v>
      </c>
      <c r="G29" s="17">
        <f>+PREVISION!I131</f>
        <v>2832</v>
      </c>
      <c r="H29" s="135" t="s">
        <v>90</v>
      </c>
      <c r="I29" s="18" t="s">
        <v>51</v>
      </c>
      <c r="J29" s="121">
        <f>+UMBRAL!F9-UMBRAL!P46</f>
        <v>-1.041666666666663E-3</v>
      </c>
      <c r="K29" s="121">
        <f>+UMBRAL!F59-UMBRAL!P96</f>
        <v>4.7500000000000042E-3</v>
      </c>
      <c r="L29" s="121">
        <f>+UMBRAL!F109-UMBRAL!P146</f>
        <v>1.1000000000000038E-3</v>
      </c>
      <c r="M29" s="5"/>
    </row>
    <row r="30" spans="1:13">
      <c r="A30" s="5"/>
      <c r="B30" s="5" t="s">
        <v>91</v>
      </c>
      <c r="C30" s="134">
        <f>+SUM(PREVISION!C9:G9)</f>
        <v>20000</v>
      </c>
      <c r="D30" s="169">
        <f>IFERROR(C30/C31,0)</f>
        <v>0.21052631578947367</v>
      </c>
      <c r="E30" s="4"/>
      <c r="I30" s="18" t="s">
        <v>52</v>
      </c>
      <c r="J30" s="121">
        <f>+UMBRAL!G9-UMBRAL!P47</f>
        <v>0</v>
      </c>
      <c r="K30" s="121">
        <f>+UMBRAL!G59-UMBRAL!P97</f>
        <v>-3.3333333333329662E-3</v>
      </c>
      <c r="L30" s="121">
        <f>+UMBRAL!G109-UMBRAL!P147</f>
        <v>0</v>
      </c>
      <c r="M30" s="5"/>
    </row>
    <row r="31" spans="1:13">
      <c r="A31" s="5"/>
      <c r="B31" s="19" t="s">
        <v>92</v>
      </c>
      <c r="C31" s="170">
        <f>SUM(C28:C30)</f>
        <v>95000</v>
      </c>
      <c r="D31" s="22">
        <f>SUM(D29:D30)</f>
        <v>0.21052631578947367</v>
      </c>
      <c r="E31" s="171" t="s">
        <v>93</v>
      </c>
      <c r="I31" s="18" t="s">
        <v>53</v>
      </c>
      <c r="J31" s="121">
        <f>+UMBRAL!H9-UMBRAL!P48</f>
        <v>4.9999999999990052E-3</v>
      </c>
      <c r="K31" s="121">
        <f>+UMBRAL!H59-UMBRAL!P98</f>
        <v>2.8767123287671836E-3</v>
      </c>
      <c r="L31" s="121">
        <f>+UMBRAL!H109-UMBRAL!P148</f>
        <v>2.1428571428572241E-3</v>
      </c>
      <c r="M31" s="5"/>
    </row>
    <row r="32" spans="1:13" ht="8.25" customHeight="1">
      <c r="A32" s="5"/>
      <c r="B32" s="19"/>
      <c r="C32" s="21"/>
      <c r="D32" s="22"/>
      <c r="E32" s="5"/>
      <c r="F32" s="5"/>
      <c r="G32" s="5"/>
      <c r="H32" s="5"/>
      <c r="I32" s="5"/>
      <c r="J32" s="5"/>
      <c r="K32" s="5"/>
      <c r="L32" s="5"/>
      <c r="M32" s="5"/>
    </row>
    <row r="33" spans="1:13">
      <c r="A33" s="5"/>
      <c r="B33" s="5"/>
      <c r="C33" s="5"/>
      <c r="D33" s="19" t="s">
        <v>56</v>
      </c>
      <c r="E33" s="19" t="s">
        <v>94</v>
      </c>
      <c r="F33" s="7" t="s">
        <v>46</v>
      </c>
      <c r="G33" s="19" t="s">
        <v>58</v>
      </c>
      <c r="H33" s="19" t="s">
        <v>95</v>
      </c>
      <c r="I33" s="7" t="s">
        <v>46</v>
      </c>
      <c r="J33" s="19" t="s">
        <v>96</v>
      </c>
      <c r="K33" s="19" t="s">
        <v>97</v>
      </c>
      <c r="L33" s="7" t="s">
        <v>46</v>
      </c>
      <c r="M33" s="5"/>
    </row>
    <row r="34" spans="1:13">
      <c r="A34" s="5"/>
      <c r="B34" s="208" t="s">
        <v>98</v>
      </c>
      <c r="C34" s="208"/>
      <c r="D34" s="23">
        <f>+PREVISION!C6</f>
        <v>13625.5</v>
      </c>
      <c r="E34" s="17">
        <f ca="1">+PREVISION!I50</f>
        <v>21135.5</v>
      </c>
      <c r="F34" s="23">
        <f ca="1">+D34-E34</f>
        <v>-7510</v>
      </c>
      <c r="G34" s="23">
        <f>+PREVISION!D5</f>
        <v>21319.5</v>
      </c>
      <c r="H34" s="17">
        <f>+PREVISION!I81</f>
        <v>29911.5</v>
      </c>
      <c r="I34" s="23">
        <f>+G34-H34</f>
        <v>-8592</v>
      </c>
      <c r="J34" s="23">
        <f>+PREVISION!E6</f>
        <v>46638.5</v>
      </c>
      <c r="K34" s="17">
        <f>+PREVISION!I112</f>
        <v>41957</v>
      </c>
      <c r="L34" s="23">
        <f>+J34-K34</f>
        <v>4681.5</v>
      </c>
      <c r="M34" s="5"/>
    </row>
    <row r="35" spans="1:13">
      <c r="A35" s="5"/>
      <c r="B35" s="208" t="s">
        <v>99</v>
      </c>
      <c r="C35" s="208"/>
      <c r="D35" s="23">
        <f>+PREVISION!C31</f>
        <v>12000</v>
      </c>
      <c r="E35" s="17">
        <f>+PREVISION!I68</f>
        <v>12000</v>
      </c>
      <c r="F35" s="23">
        <f>+D35-E35</f>
        <v>0</v>
      </c>
      <c r="G35" s="23">
        <f>+PREVISION!D31</f>
        <v>12000</v>
      </c>
      <c r="H35" s="17">
        <f>+PREVISION!I99</f>
        <v>12000</v>
      </c>
      <c r="I35" s="23">
        <f t="shared" ref="I35" si="0">+G35-H35</f>
        <v>0</v>
      </c>
      <c r="J35" s="23">
        <f>+PREVISION!E31</f>
        <v>12000</v>
      </c>
      <c r="K35" s="17">
        <f>+PREVISION!I130</f>
        <v>12000</v>
      </c>
      <c r="L35" s="23">
        <f>+J35-K35</f>
        <v>0</v>
      </c>
      <c r="M35" s="5"/>
    </row>
    <row r="36" spans="1:13">
      <c r="A36" s="5"/>
      <c r="B36" s="208" t="s">
        <v>100</v>
      </c>
      <c r="C36" s="208"/>
      <c r="D36" s="23">
        <f>+PREVISION!C18</f>
        <v>0</v>
      </c>
      <c r="E36" s="17">
        <f>+PREVISION!I59</f>
        <v>0</v>
      </c>
      <c r="F36" s="23">
        <f t="shared" ref="F36:F42" si="1">+D36-E36</f>
        <v>0</v>
      </c>
      <c r="G36" s="23">
        <f>+PREVISION!D18</f>
        <v>0</v>
      </c>
      <c r="H36" s="17">
        <f>+PREVISION!I90</f>
        <v>0</v>
      </c>
      <c r="I36" s="23">
        <f>+G36-H36</f>
        <v>0</v>
      </c>
      <c r="J36" s="23">
        <f>+PREVISION!E18</f>
        <v>0</v>
      </c>
      <c r="K36" s="17">
        <f>+PREVISION!I121</f>
        <v>0</v>
      </c>
      <c r="L36" s="23">
        <f>+J36-K36</f>
        <v>0</v>
      </c>
      <c r="M36" s="5"/>
    </row>
    <row r="37" spans="1:13">
      <c r="A37" s="5"/>
      <c r="B37" s="208" t="s">
        <v>101</v>
      </c>
      <c r="C37" s="208"/>
      <c r="D37" s="23">
        <f>+PREVISION!C19</f>
        <v>1797.5</v>
      </c>
      <c r="E37" s="17">
        <f>+PREVISION!I60</f>
        <v>1797.4999999999998</v>
      </c>
      <c r="F37" s="23">
        <f t="shared" si="1"/>
        <v>0</v>
      </c>
      <c r="G37" s="23">
        <f>+PREVISION!D19</f>
        <v>1797.5</v>
      </c>
      <c r="H37" s="17">
        <f>+PREVISION!I91</f>
        <v>1797.4999999999998</v>
      </c>
      <c r="I37" s="23">
        <f t="shared" ref="I37:I42" si="2">+G37-H37</f>
        <v>0</v>
      </c>
      <c r="J37" s="23">
        <f>+PREVISION!E19</f>
        <v>1797.5</v>
      </c>
      <c r="K37" s="17">
        <f>+PREVISION!I122</f>
        <v>1797.4999999999998</v>
      </c>
      <c r="L37" s="23">
        <f t="shared" ref="L37:L42" si="3">+J37-K37</f>
        <v>0</v>
      </c>
      <c r="M37" s="5"/>
    </row>
    <row r="38" spans="1:13">
      <c r="A38" s="5"/>
      <c r="B38" s="208" t="s">
        <v>102</v>
      </c>
      <c r="C38" s="208"/>
      <c r="D38" s="23">
        <f>+PREVISION!C20</f>
        <v>400</v>
      </c>
      <c r="E38" s="17">
        <f>+PREVISION!I61</f>
        <v>400</v>
      </c>
      <c r="F38" s="23">
        <f>+D38-E38</f>
        <v>0</v>
      </c>
      <c r="G38" s="23">
        <f>+PREVISION!D20</f>
        <v>400</v>
      </c>
      <c r="H38" s="17">
        <f>+PREVISION!I92</f>
        <v>400</v>
      </c>
      <c r="I38" s="23">
        <f>+G38-H38</f>
        <v>0</v>
      </c>
      <c r="J38" s="23">
        <f>+PREVISION!E20</f>
        <v>400</v>
      </c>
      <c r="K38" s="17">
        <f>+PREVISION!I123</f>
        <v>400</v>
      </c>
      <c r="L38" s="23">
        <f t="shared" si="3"/>
        <v>0</v>
      </c>
      <c r="M38" s="5"/>
    </row>
    <row r="39" spans="1:13">
      <c r="A39" s="5"/>
      <c r="B39" s="208" t="s">
        <v>103</v>
      </c>
      <c r="C39" s="208"/>
      <c r="D39" s="23">
        <f>+PREVISION!C21</f>
        <v>250</v>
      </c>
      <c r="E39" s="17">
        <f>+PREVISION!I62</f>
        <v>249.99999999999994</v>
      </c>
      <c r="F39" s="23">
        <f t="shared" si="1"/>
        <v>0</v>
      </c>
      <c r="G39" s="23">
        <f>+PREVISION!D21</f>
        <v>250</v>
      </c>
      <c r="H39" s="17">
        <f>+PREVISION!I93</f>
        <v>249.99999999999994</v>
      </c>
      <c r="I39" s="23">
        <f t="shared" si="2"/>
        <v>0</v>
      </c>
      <c r="J39" s="23">
        <f>+PREVISION!E21</f>
        <v>250</v>
      </c>
      <c r="K39" s="17">
        <f>+PREVISION!I124</f>
        <v>249.99999999999994</v>
      </c>
      <c r="L39" s="23">
        <f t="shared" si="3"/>
        <v>0</v>
      </c>
      <c r="M39" s="5"/>
    </row>
    <row r="40" spans="1:13">
      <c r="A40" s="5"/>
      <c r="B40" s="208" t="s">
        <v>104</v>
      </c>
      <c r="C40" s="208"/>
      <c r="D40" s="23">
        <f>+PREVISION!C22</f>
        <v>1250</v>
      </c>
      <c r="E40" s="17">
        <f>+PREVISION!I63</f>
        <v>1250</v>
      </c>
      <c r="F40" s="23">
        <f t="shared" si="1"/>
        <v>0</v>
      </c>
      <c r="G40" s="23">
        <f>+PREVISION!D22</f>
        <v>1250</v>
      </c>
      <c r="H40" s="17">
        <f>+PREVISION!I94</f>
        <v>1250</v>
      </c>
      <c r="I40" s="23">
        <f t="shared" si="2"/>
        <v>0</v>
      </c>
      <c r="J40" s="23">
        <f>+PREVISION!E22</f>
        <v>1250</v>
      </c>
      <c r="K40" s="17">
        <f>+PREVISION!I125</f>
        <v>1250</v>
      </c>
      <c r="L40" s="23">
        <f t="shared" si="3"/>
        <v>0</v>
      </c>
      <c r="M40" s="5"/>
    </row>
    <row r="41" spans="1:13">
      <c r="A41" s="5"/>
      <c r="B41" s="208" t="s">
        <v>105</v>
      </c>
      <c r="C41" s="208"/>
      <c r="D41" s="23">
        <f>+PREVISION!C23</f>
        <v>550</v>
      </c>
      <c r="E41" s="17">
        <f>+PREVISION!I64</f>
        <v>550</v>
      </c>
      <c r="F41" s="23">
        <f t="shared" si="1"/>
        <v>0</v>
      </c>
      <c r="G41" s="23">
        <f>+PREVISION!D23</f>
        <v>150</v>
      </c>
      <c r="H41" s="17">
        <f>+PREVISION!I95</f>
        <v>150</v>
      </c>
      <c r="I41" s="23">
        <f t="shared" si="2"/>
        <v>0</v>
      </c>
      <c r="J41" s="23">
        <f>+PREVISION!E23</f>
        <v>150</v>
      </c>
      <c r="K41" s="17">
        <f>+PREVISION!I126</f>
        <v>150</v>
      </c>
      <c r="L41" s="23">
        <f t="shared" si="3"/>
        <v>0</v>
      </c>
      <c r="M41" s="5"/>
    </row>
    <row r="42" spans="1:13">
      <c r="A42" s="5"/>
      <c r="B42" s="208" t="s">
        <v>106</v>
      </c>
      <c r="C42" s="208"/>
      <c r="D42" s="23">
        <f>+PREVISION!C24</f>
        <v>8850</v>
      </c>
      <c r="E42" s="17">
        <f>+PREVISION!I65</f>
        <v>8212.5</v>
      </c>
      <c r="F42" s="23">
        <f t="shared" si="1"/>
        <v>637.5</v>
      </c>
      <c r="G42" s="23">
        <f>+PREVISION!D24</f>
        <v>1500</v>
      </c>
      <c r="H42" s="17">
        <f>+PREVISION!I96</f>
        <v>1500</v>
      </c>
      <c r="I42" s="23">
        <f t="shared" si="2"/>
        <v>0</v>
      </c>
      <c r="J42" s="23">
        <f>+PREVISION!E24</f>
        <v>2450</v>
      </c>
      <c r="K42" s="17">
        <f>+PREVISION!I127</f>
        <v>2450</v>
      </c>
      <c r="L42" s="23">
        <f t="shared" si="3"/>
        <v>0</v>
      </c>
      <c r="M42" s="5"/>
    </row>
    <row r="43" spans="1:13">
      <c r="A43" s="5"/>
      <c r="B43" s="208" t="s">
        <v>107</v>
      </c>
      <c r="C43" s="208"/>
      <c r="D43" s="23">
        <f>+PREVISION!C25+PREVISION!C15</f>
        <v>2000</v>
      </c>
      <c r="E43" s="17">
        <f>+PREVISION!I66</f>
        <v>0</v>
      </c>
      <c r="F43" s="23">
        <f>+D43-E43</f>
        <v>2000</v>
      </c>
      <c r="G43" s="23">
        <f>+PREVISION!D25+PREVISION!D15</f>
        <v>1000</v>
      </c>
      <c r="H43" s="17">
        <f>+PREVISION!I97</f>
        <v>0</v>
      </c>
      <c r="I43" s="23">
        <f>+G43-H43</f>
        <v>1000</v>
      </c>
      <c r="J43" s="23">
        <f>+PREVISION!E25+PREVISION!E15</f>
        <v>1200</v>
      </c>
      <c r="K43" s="17">
        <f>+PREVISION!I128</f>
        <v>0</v>
      </c>
      <c r="L43" s="23">
        <f>+J43-K43</f>
        <v>1200</v>
      </c>
      <c r="M43" s="5"/>
    </row>
    <row r="44" spans="1:13" ht="7.5" customHeight="1">
      <c r="A44" s="5"/>
      <c r="B44" s="5"/>
      <c r="C44" s="5"/>
      <c r="D44" s="23"/>
      <c r="E44" s="23"/>
      <c r="F44" s="23"/>
      <c r="G44" s="12"/>
      <c r="H44" s="12"/>
      <c r="I44" s="12"/>
      <c r="J44" s="12"/>
      <c r="K44" s="12"/>
      <c r="L44" s="12"/>
      <c r="M44" s="5"/>
    </row>
    <row r="45" spans="1:13">
      <c r="A45" s="5"/>
      <c r="B45" s="5"/>
      <c r="C45" s="5"/>
      <c r="D45" s="24" t="s">
        <v>56</v>
      </c>
      <c r="E45" s="24" t="s">
        <v>108</v>
      </c>
      <c r="F45" s="25" t="s">
        <v>46</v>
      </c>
      <c r="G45" s="24" t="s">
        <v>58</v>
      </c>
      <c r="H45" s="24" t="s">
        <v>109</v>
      </c>
      <c r="I45" s="25" t="s">
        <v>46</v>
      </c>
      <c r="J45" s="24" t="s">
        <v>96</v>
      </c>
      <c r="K45" s="24" t="s">
        <v>110</v>
      </c>
      <c r="L45" s="25" t="s">
        <v>46</v>
      </c>
      <c r="M45" s="5"/>
    </row>
    <row r="46" spans="1:13">
      <c r="A46" s="5"/>
      <c r="B46" s="208" t="s">
        <v>98</v>
      </c>
      <c r="C46" s="208"/>
      <c r="D46" s="23">
        <f>+D34</f>
        <v>13625.5</v>
      </c>
      <c r="E46" s="17">
        <f>+UMBRAL!C14</f>
        <v>21315</v>
      </c>
      <c r="F46" s="23">
        <f>+D46-E46</f>
        <v>-7689.5</v>
      </c>
      <c r="G46" s="23">
        <f>+G34</f>
        <v>21319.5</v>
      </c>
      <c r="H46" s="17">
        <f>+UMBRAL!C64</f>
        <v>30002.1</v>
      </c>
      <c r="I46" s="23">
        <f>+G46-H46</f>
        <v>-8682.5999999999985</v>
      </c>
      <c r="J46" s="23">
        <f>+J34</f>
        <v>46638.5</v>
      </c>
      <c r="K46" s="17">
        <f>+UMBRAL!C114</f>
        <v>60558</v>
      </c>
      <c r="L46" s="23">
        <f>+J46-K46</f>
        <v>-13919.5</v>
      </c>
      <c r="M46" s="5"/>
    </row>
    <row r="47" spans="1:13">
      <c r="A47" s="5"/>
      <c r="B47" s="208" t="s">
        <v>111</v>
      </c>
      <c r="C47" s="208"/>
      <c r="D47" s="23">
        <f>+PREVISION!C11-PREVISION!C12-PREVISION!C27</f>
        <v>71320.12</v>
      </c>
      <c r="E47" s="17">
        <f>+UMBRAL!C7</f>
        <v>2000</v>
      </c>
      <c r="F47" s="23">
        <f t="shared" ref="F47:F50" si="4">+D47-E47</f>
        <v>69320.12</v>
      </c>
      <c r="G47" s="23">
        <f ca="1">+PREVISION!D11-PREVISION!D12-PREVISION!D27</f>
        <v>38464.22</v>
      </c>
      <c r="H47" s="17">
        <f>+UMBRAL!C57</f>
        <v>2000</v>
      </c>
      <c r="I47" s="23">
        <f t="shared" ref="I47:I50" ca="1" si="5">+G47-H47</f>
        <v>36464.22</v>
      </c>
      <c r="J47" s="23">
        <f>+PREVISION!E11-PREVISION!E12-PREVISION!E27</f>
        <v>32984.22</v>
      </c>
      <c r="K47" s="17">
        <f>+UMBRAL!C107</f>
        <v>2000</v>
      </c>
      <c r="L47" s="23">
        <f t="shared" ref="L47:L50" si="6">+J47-K47</f>
        <v>30984.22</v>
      </c>
      <c r="M47" s="5"/>
    </row>
    <row r="48" spans="1:13">
      <c r="A48" s="5"/>
      <c r="B48" s="208" t="s">
        <v>112</v>
      </c>
      <c r="C48" s="208"/>
      <c r="D48" s="23">
        <f>+PREVISION!C12</f>
        <v>9500</v>
      </c>
      <c r="E48" s="17">
        <f ca="1">+UMBRAL!C13-UMBRAL!C7</f>
        <v>5510</v>
      </c>
      <c r="F48" s="23">
        <f t="shared" ca="1" si="4"/>
        <v>3990</v>
      </c>
      <c r="G48" s="23">
        <f>+PREVISION!D12</f>
        <v>9500</v>
      </c>
      <c r="H48" s="17">
        <f>+UMBRAL!C63-UMBRAL!C57</f>
        <v>6612.5</v>
      </c>
      <c r="I48" s="23">
        <f t="shared" si="5"/>
        <v>2887.5</v>
      </c>
      <c r="J48" s="23">
        <f>+PREVISION!E12</f>
        <v>9200</v>
      </c>
      <c r="K48" s="17">
        <f>+UMBRAL!C113-UMBRAL!C107</f>
        <v>12150</v>
      </c>
      <c r="L48" s="23">
        <f t="shared" si="6"/>
        <v>-2950</v>
      </c>
      <c r="M48" s="5"/>
    </row>
    <row r="49" spans="1:13">
      <c r="A49" s="5"/>
      <c r="B49" s="208" t="s">
        <v>113</v>
      </c>
      <c r="C49" s="208"/>
      <c r="D49" s="23">
        <f>SUM(D47:D48)</f>
        <v>80820.12</v>
      </c>
      <c r="E49" s="17">
        <f ca="1">+UMBRAL!C13</f>
        <v>7510</v>
      </c>
      <c r="F49" s="23">
        <f ca="1">+D49-E49</f>
        <v>73310.12</v>
      </c>
      <c r="G49" s="23">
        <f ca="1">SUM(G47:G48)</f>
        <v>47964.22</v>
      </c>
      <c r="H49" s="17">
        <f>+UMBRAL!C63</f>
        <v>8612.5</v>
      </c>
      <c r="I49" s="23">
        <f t="shared" ca="1" si="5"/>
        <v>39351.72</v>
      </c>
      <c r="J49" s="23">
        <f>SUM(J47:J48)</f>
        <v>42184.22</v>
      </c>
      <c r="K49" s="17">
        <f>+UMBRAL!C113</f>
        <v>14150</v>
      </c>
      <c r="L49" s="23">
        <f t="shared" si="6"/>
        <v>28034.22</v>
      </c>
      <c r="M49" s="5"/>
    </row>
    <row r="50" spans="1:13">
      <c r="A50" s="5"/>
      <c r="B50" s="208" t="s">
        <v>114</v>
      </c>
      <c r="C50" s="208"/>
      <c r="D50" s="23">
        <f>+PREVISION!C41</f>
        <v>4125.5</v>
      </c>
      <c r="E50" s="17">
        <f ca="1">+UMBRAL!C15</f>
        <v>13805</v>
      </c>
      <c r="F50" s="23">
        <f t="shared" ca="1" si="4"/>
        <v>-9679.5</v>
      </c>
      <c r="G50" s="23">
        <f>+PREVISION!D41</f>
        <v>11819.5</v>
      </c>
      <c r="H50" s="17">
        <f>+UMBRAL!C65</f>
        <v>21389.599999999999</v>
      </c>
      <c r="I50" s="23">
        <f t="shared" si="5"/>
        <v>-9570.0999999999985</v>
      </c>
      <c r="J50" s="23">
        <f>+PREVISION!E41</f>
        <v>37438.5</v>
      </c>
      <c r="K50" s="17">
        <f>+UMBRAL!C115</f>
        <v>46408</v>
      </c>
      <c r="L50" s="23">
        <f t="shared" si="6"/>
        <v>-8969.5</v>
      </c>
      <c r="M50" s="5"/>
    </row>
    <row r="51" spans="1:13" ht="8.25" customHeight="1">
      <c r="A51" s="5"/>
      <c r="B51" s="5"/>
      <c r="C51" s="5"/>
      <c r="D51" s="5"/>
      <c r="E51" s="5"/>
      <c r="F51" s="5"/>
      <c r="G51" s="5"/>
      <c r="H51" s="5"/>
      <c r="I51" s="5"/>
      <c r="J51" s="5"/>
      <c r="K51" s="5"/>
      <c r="L51" s="5"/>
      <c r="M51" s="5"/>
    </row>
    <row r="52" spans="1:13">
      <c r="A52" s="5"/>
      <c r="B52" s="208" t="s">
        <v>115</v>
      </c>
      <c r="C52" s="208"/>
      <c r="D52" s="127" t="s">
        <v>116</v>
      </c>
      <c r="E52" s="208" t="s">
        <v>117</v>
      </c>
      <c r="F52" s="208"/>
      <c r="G52" s="21">
        <f>+C24</f>
        <v>300</v>
      </c>
      <c r="H52" s="17"/>
      <c r="I52" s="17"/>
      <c r="J52" s="5"/>
      <c r="K52" s="5"/>
      <c r="L52" s="5"/>
      <c r="M52" s="5"/>
    </row>
    <row r="53" spans="1:13">
      <c r="A53" s="5"/>
      <c r="B53" s="208" t="s">
        <v>118</v>
      </c>
      <c r="C53" s="208"/>
      <c r="D53" s="17">
        <f>+ESTABLECIMIENTO!C13</f>
        <v>20000</v>
      </c>
      <c r="E53" s="208" t="s">
        <v>119</v>
      </c>
      <c r="F53" s="208"/>
      <c r="G53" s="131">
        <f>+C25</f>
        <v>1000</v>
      </c>
      <c r="I53" s="17"/>
      <c r="J53" s="5"/>
      <c r="K53" s="5"/>
      <c r="L53" s="5"/>
      <c r="M53" s="5"/>
    </row>
    <row r="54" spans="1:13">
      <c r="A54" s="5"/>
      <c r="B54" s="208" t="s">
        <v>120</v>
      </c>
      <c r="C54" s="208"/>
      <c r="D54" s="130">
        <f>+ESTABLECIMIENTO!C14</f>
        <v>6.6000000000000003E-2</v>
      </c>
      <c r="E54" s="187">
        <f>+C24</f>
        <v>300</v>
      </c>
      <c r="F54" s="187">
        <f>+C25</f>
        <v>1000</v>
      </c>
      <c r="G54" s="127" t="s">
        <v>121</v>
      </c>
      <c r="H54" s="127" t="s">
        <v>122</v>
      </c>
      <c r="I54" s="133" t="s">
        <v>123</v>
      </c>
      <c r="J54" s="133" t="s">
        <v>124</v>
      </c>
      <c r="K54" s="133" t="s">
        <v>125</v>
      </c>
      <c r="L54" s="133" t="s">
        <v>126</v>
      </c>
      <c r="M54" s="5"/>
    </row>
    <row r="55" spans="1:13">
      <c r="A55" s="5"/>
      <c r="B55" s="208" t="s">
        <v>127</v>
      </c>
      <c r="C55" s="208"/>
      <c r="D55" s="5">
        <f>+ESTABLECIMIENTO!C15</f>
        <v>0</v>
      </c>
      <c r="E55" s="208" t="s">
        <v>128</v>
      </c>
      <c r="F55" s="208"/>
      <c r="G55" s="21">
        <f>+D53*(D54/12)</f>
        <v>110.00000000000001</v>
      </c>
      <c r="H55" s="21">
        <f>+G55*12</f>
        <v>1320.0000000000002</v>
      </c>
      <c r="I55" s="12">
        <f>+PREVISION!C34+PREVISION!C35</f>
        <v>4707.12</v>
      </c>
      <c r="J55" s="12">
        <f>+PREVISION!D34+PREVISION!D35</f>
        <v>4707.12</v>
      </c>
      <c r="K55" s="12">
        <f>+PREVISION!E34+PREVISION!E35</f>
        <v>4707.12</v>
      </c>
      <c r="L55" s="12">
        <f>+PREVISION!F34+PREVISION!F35</f>
        <v>4707.12</v>
      </c>
      <c r="M55" s="5"/>
    </row>
    <row r="56" spans="1:13">
      <c r="A56" s="5"/>
      <c r="B56" s="208" t="s">
        <v>129</v>
      </c>
      <c r="C56" s="208"/>
      <c r="D56" s="5">
        <f>+ESTABLECIMIENTO!C16</f>
        <v>60</v>
      </c>
      <c r="E56" s="208" t="s">
        <v>130</v>
      </c>
      <c r="F56" s="208"/>
      <c r="G56" s="188">
        <f>IFERROR(PMT(D54/12,D56,-D53,0),0)</f>
        <v>392.26044228731286</v>
      </c>
      <c r="H56" s="21">
        <f>+G56*12</f>
        <v>4707.1253074477545</v>
      </c>
      <c r="I56" s="12">
        <f>+I55</f>
        <v>4707.12</v>
      </c>
      <c r="J56" s="12">
        <f>+J55</f>
        <v>4707.12</v>
      </c>
      <c r="K56" s="12">
        <f t="shared" ref="K56" si="7">+K55</f>
        <v>4707.12</v>
      </c>
      <c r="L56" s="12">
        <f>+L55</f>
        <v>4707.12</v>
      </c>
      <c r="M56" s="5"/>
    </row>
    <row r="57" spans="1:13">
      <c r="C57" s="212" t="s">
        <v>55</v>
      </c>
      <c r="D57" s="212"/>
      <c r="E57" s="212" t="s">
        <v>57</v>
      </c>
      <c r="F57" s="212"/>
      <c r="G57" s="212" t="s">
        <v>59</v>
      </c>
      <c r="H57" s="212"/>
      <c r="I57" s="212" t="s">
        <v>131</v>
      </c>
      <c r="J57" s="212"/>
      <c r="K57" s="212" t="s">
        <v>132</v>
      </c>
      <c r="L57" s="212"/>
    </row>
    <row r="58" spans="1:13">
      <c r="A58" s="5"/>
      <c r="C58" s="127" t="s">
        <v>133</v>
      </c>
      <c r="D58" s="127" t="s">
        <v>134</v>
      </c>
      <c r="E58" s="127" t="s">
        <v>133</v>
      </c>
      <c r="F58" s="127" t="s">
        <v>134</v>
      </c>
      <c r="G58" s="127" t="s">
        <v>133</v>
      </c>
      <c r="H58" s="127" t="s">
        <v>134</v>
      </c>
      <c r="I58" s="127" t="s">
        <v>133</v>
      </c>
      <c r="J58" s="127" t="s">
        <v>134</v>
      </c>
      <c r="K58" s="127" t="s">
        <v>133</v>
      </c>
      <c r="L58" s="127" t="s">
        <v>134</v>
      </c>
    </row>
    <row r="59" spans="1:13">
      <c r="A59" s="5"/>
      <c r="C59" s="23">
        <f>IFERROR(-CUMIPMT(D54/12,D56,D53,1,12,0),0)</f>
        <v>1215.6375645898597</v>
      </c>
      <c r="D59" s="23">
        <f>IFERROR(-CUMPRINC((D54/12),D56,(D53),1,12,0),0)</f>
        <v>3491.4877428578948</v>
      </c>
      <c r="E59" s="23">
        <f>IFERROR(-CUMIPMT(D54/12,D56,D53,13,24,0),0)</f>
        <v>978.09922560557425</v>
      </c>
      <c r="F59" s="23">
        <f>IFERROR(-CUMPRINC((D54/12),D56,(D53),13,24,0),0)</f>
        <v>3729.0260818421802</v>
      </c>
      <c r="G59" s="23">
        <f>IFERROR(-CUMIPMT(D54/12,D56,D53,25,36,0),0)</f>
        <v>724.40030791015488</v>
      </c>
      <c r="H59" s="23">
        <f>IFERROR(-CUMPRINC((D54/12),D56,(D53),25,36,0),0)</f>
        <v>3982.7249995375996</v>
      </c>
      <c r="I59" s="23">
        <f>IFERROR(-CUMIPMT(D54/12,D56,D53,37,48,0),0)</f>
        <v>453.44134981082698</v>
      </c>
      <c r="J59" s="23">
        <f>IFERROR(-CUMPRINC((D54/12),D56,(D53),37,48,0),0)</f>
        <v>4253.6839576369275</v>
      </c>
      <c r="K59" s="23">
        <f>IFERROR(-CUMIPMT(D54/12,D56,D53,49,60,0),0)</f>
        <v>164.04808932235665</v>
      </c>
      <c r="L59" s="23">
        <f>IFERROR(-CUMPRINC((D54/12),D56,(D53),49,60,0),0)</f>
        <v>4543.0772181253978</v>
      </c>
    </row>
    <row r="60" spans="1:13">
      <c r="A60" s="5"/>
      <c r="E60" s="23"/>
      <c r="F60" s="23"/>
      <c r="G60" s="23"/>
      <c r="H60" s="23"/>
      <c r="I60" s="23"/>
      <c r="J60" s="23"/>
      <c r="K60" s="23"/>
      <c r="L60" s="23"/>
      <c r="M60" s="5"/>
    </row>
    <row r="61" spans="1:13" ht="18.600000000000001">
      <c r="B61" s="6" t="s">
        <v>29</v>
      </c>
      <c r="C61" s="7" t="str">
        <f>+B2</f>
        <v>G1M1W7</v>
      </c>
      <c r="D61" s="6" t="s">
        <v>30</v>
      </c>
      <c r="E61" s="8">
        <f ca="1">NOW()</f>
        <v>45264.963309375002</v>
      </c>
      <c r="F61" s="5"/>
      <c r="G61" s="5"/>
      <c r="H61" s="207" t="s">
        <v>31</v>
      </c>
      <c r="I61" s="207"/>
      <c r="J61" s="207"/>
      <c r="K61" s="207"/>
      <c r="L61" s="5"/>
      <c r="M61" s="5"/>
    </row>
    <row r="62" spans="1:13" ht="18.600000000000001">
      <c r="B62" s="5"/>
      <c r="C62" s="211" t="s">
        <v>32</v>
      </c>
      <c r="D62" s="211"/>
      <c r="E62" s="211"/>
      <c r="F62" s="19">
        <f>SUM(F63:F69)</f>
        <v>3</v>
      </c>
      <c r="G62" s="5"/>
      <c r="H62" s="206" t="str">
        <f>+H3</f>
        <v>Grado de Ingeniería Informática, Curso: 23/24</v>
      </c>
      <c r="I62" s="206"/>
      <c r="J62" s="206"/>
      <c r="K62" s="206"/>
      <c r="L62" s="5"/>
      <c r="M62" s="5"/>
    </row>
    <row r="63" spans="1:13" ht="18.600000000000001">
      <c r="B63" s="9" t="s">
        <v>35</v>
      </c>
      <c r="C63" s="209" t="str">
        <f t="shared" ref="C63:C69" si="8">+B4</f>
        <v>El Khiraoui, Khalid</v>
      </c>
      <c r="D63" s="209"/>
      <c r="E63" s="209"/>
      <c r="F63" s="5">
        <f>+IF(C63&lt;&gt;" ",1,0)</f>
        <v>1</v>
      </c>
      <c r="G63" s="5"/>
      <c r="H63" s="206" t="str">
        <f>+H4</f>
        <v>Asignatura de Economía y Administración de Empresas</v>
      </c>
      <c r="I63" s="206"/>
      <c r="J63" s="206"/>
      <c r="K63" s="206"/>
      <c r="L63" s="5"/>
      <c r="M63" s="5"/>
    </row>
    <row r="64" spans="1:13" ht="18.600000000000001">
      <c r="B64" s="5">
        <v>2</v>
      </c>
      <c r="C64" s="210" t="str">
        <f t="shared" si="8"/>
        <v>Campos Rodríguez, Jaime</v>
      </c>
      <c r="D64" s="210"/>
      <c r="E64" s="210"/>
      <c r="F64" s="5">
        <f t="shared" ref="F64:F69" si="9">+IF(C64&lt;&gt;" ",1,0)</f>
        <v>1</v>
      </c>
      <c r="G64" s="5"/>
      <c r="H64" s="207" t="s">
        <v>135</v>
      </c>
      <c r="I64" s="207"/>
      <c r="J64" s="207"/>
      <c r="K64" s="207"/>
      <c r="L64" s="5"/>
      <c r="M64" s="5"/>
    </row>
    <row r="65" spans="2:13">
      <c r="B65" s="5">
        <v>3</v>
      </c>
      <c r="C65" s="209" t="str">
        <f t="shared" si="8"/>
        <v>Gómez Amaro, Alejandro</v>
      </c>
      <c r="D65" s="209"/>
      <c r="E65" s="209"/>
      <c r="F65" s="5">
        <f t="shared" si="9"/>
        <v>1</v>
      </c>
    </row>
    <row r="66" spans="2:13">
      <c r="B66" s="5">
        <v>4</v>
      </c>
      <c r="C66" s="210" t="str">
        <f t="shared" si="8"/>
        <v xml:space="preserve"> </v>
      </c>
      <c r="D66" s="210"/>
      <c r="E66" s="210"/>
      <c r="F66" s="5">
        <f t="shared" si="9"/>
        <v>0</v>
      </c>
      <c r="H66" s="127" t="s">
        <v>136</v>
      </c>
      <c r="I66" s="127" t="s">
        <v>18</v>
      </c>
      <c r="J66" s="127" t="s">
        <v>21</v>
      </c>
      <c r="K66" s="127" t="s">
        <v>23</v>
      </c>
    </row>
    <row r="67" spans="2:13">
      <c r="B67" s="5">
        <v>5</v>
      </c>
      <c r="C67" s="209" t="str">
        <f t="shared" si="8"/>
        <v xml:space="preserve"> </v>
      </c>
      <c r="D67" s="209"/>
      <c r="E67" s="209"/>
      <c r="F67" s="5">
        <f t="shared" si="9"/>
        <v>0</v>
      </c>
      <c r="H67" s="127" t="s">
        <v>137</v>
      </c>
      <c r="I67" s="149">
        <f>+(D46*0.21)-(D49*0.21)</f>
        <v>-14110.870199999998</v>
      </c>
      <c r="J67" s="149">
        <f ca="1">+(G46*0.21)-(G49*0.21)</f>
        <v>-5595.3911999999991</v>
      </c>
      <c r="K67" s="149">
        <f>+(J46*0.21)-(J49*0.21)</f>
        <v>935.39879999999903</v>
      </c>
    </row>
    <row r="68" spans="2:13">
      <c r="B68" s="5">
        <v>6</v>
      </c>
      <c r="C68" s="210" t="str">
        <f t="shared" si="8"/>
        <v xml:space="preserve"> </v>
      </c>
      <c r="D68" s="210"/>
      <c r="E68" s="210"/>
      <c r="F68" s="5">
        <f t="shared" si="9"/>
        <v>0</v>
      </c>
      <c r="H68" s="127" t="s">
        <v>138</v>
      </c>
      <c r="I68" s="149">
        <f>+(D46*0.1)-(D49*0.1)</f>
        <v>-6719.4619999999995</v>
      </c>
      <c r="J68" s="149">
        <f ca="1">+(G46*0.1)-(G49*0.1)</f>
        <v>-2664.4720000000002</v>
      </c>
      <c r="K68" s="149">
        <f>+(J46*0.1)-(J49*0.1)</f>
        <v>445.42799999999988</v>
      </c>
    </row>
    <row r="69" spans="2:13" ht="15.6">
      <c r="B69" s="5">
        <v>7</v>
      </c>
      <c r="C69" s="209" t="str">
        <f t="shared" si="8"/>
        <v xml:space="preserve"> </v>
      </c>
      <c r="D69" s="209"/>
      <c r="E69" s="209"/>
      <c r="F69" s="5">
        <f t="shared" si="9"/>
        <v>0</v>
      </c>
      <c r="H69" s="215" t="s">
        <v>33</v>
      </c>
      <c r="I69" s="215"/>
    </row>
    <row r="70" spans="2:13" ht="66" customHeight="1">
      <c r="B70" s="217" t="str">
        <f>IF(+INICIO!B27=" ", "NO INDICADA",+INICIO!B27)</f>
        <v>SecondNote es un servicio de música en streaming con un editor de audio incorporado, mediante el que los usuarios puedan escuchar canciones y crear remixes y/o covers de las canciones existentes en el servicio de manera sencilla. Nuestros productos son, además de la propia música como servicio, de diferentes artistas, ofrecemos varios tipos de suscripciones de pago que ofrecen ventajas.     En el caso de los 5 productos que aparecen en el Excel, nos encontramos con los productos 1, 2 y 3, albumes digitales, a traves de los cuales de forma oficial adquieres acceso a todas las canciones de estos tres artistas; Y los porductos 4 y 5 en los cuales ademas de tener acceso a todos los artistas anteriormente mencionados se te facilitan una serie de servicios con los cuales generar covers, remixes y demás modificaciones de dicho contenido legalmente.</v>
      </c>
      <c r="C70" s="217"/>
      <c r="D70" s="217"/>
      <c r="E70" s="217"/>
      <c r="F70" s="217"/>
      <c r="G70" s="217"/>
      <c r="H70" s="217"/>
      <c r="I70" s="217"/>
      <c r="J70" s="217"/>
      <c r="K70" s="217"/>
      <c r="L70" s="217"/>
    </row>
    <row r="71" spans="2:13" ht="15.6">
      <c r="D71" s="215" t="s">
        <v>139</v>
      </c>
      <c r="E71" s="215"/>
      <c r="F71" s="215"/>
      <c r="G71" s="215"/>
      <c r="H71" s="215"/>
      <c r="I71" s="215"/>
      <c r="J71" s="174" t="str">
        <f>+B2</f>
        <v>G1M1W7</v>
      </c>
      <c r="K71" s="172"/>
      <c r="L71" s="172"/>
      <c r="M71" s="172"/>
    </row>
    <row r="72" spans="2:13" ht="15.75" customHeight="1">
      <c r="B72" s="172"/>
      <c r="C72" s="172"/>
      <c r="D72" s="172"/>
      <c r="E72" s="172"/>
      <c r="F72" s="172"/>
      <c r="G72" s="172"/>
      <c r="H72" s="172"/>
      <c r="I72" s="172"/>
      <c r="J72" s="172"/>
      <c r="K72" s="172"/>
      <c r="L72" s="172"/>
    </row>
    <row r="73" spans="2:13" ht="15.75" customHeight="1">
      <c r="B73" s="172"/>
      <c r="C73" s="172"/>
      <c r="D73" s="172"/>
      <c r="E73" s="172"/>
      <c r="F73" s="172"/>
      <c r="G73" s="172"/>
      <c r="H73" s="172"/>
      <c r="I73" s="172"/>
      <c r="J73" s="172"/>
      <c r="K73" s="172"/>
      <c r="L73" s="172"/>
    </row>
    <row r="74" spans="2:13" ht="15.75" customHeight="1">
      <c r="B74" s="172"/>
      <c r="C74" s="172"/>
      <c r="D74" s="172"/>
      <c r="E74" s="172"/>
      <c r="F74" s="172"/>
      <c r="G74" s="172"/>
      <c r="H74" s="172"/>
      <c r="I74" s="172"/>
      <c r="J74" s="172"/>
      <c r="K74" s="172"/>
      <c r="L74" s="172"/>
    </row>
    <row r="75" spans="2:13" ht="15.75" customHeight="1">
      <c r="B75" s="172"/>
      <c r="C75" s="172"/>
      <c r="D75" s="172"/>
      <c r="E75" s="172"/>
      <c r="F75" s="172"/>
      <c r="G75" s="172"/>
      <c r="H75" s="172"/>
      <c r="I75" s="172"/>
      <c r="J75" s="172"/>
      <c r="K75" s="172"/>
      <c r="L75" s="172"/>
    </row>
    <row r="76" spans="2:13" ht="15.75" customHeight="1">
      <c r="B76" s="172"/>
      <c r="C76" s="172"/>
      <c r="D76" s="172"/>
      <c r="E76" s="172"/>
      <c r="F76" s="172"/>
      <c r="G76" s="172"/>
      <c r="H76" s="172"/>
      <c r="I76" s="172"/>
      <c r="J76" s="172"/>
      <c r="K76" s="172"/>
      <c r="L76" s="172"/>
    </row>
    <row r="77" spans="2:13" ht="15.75" customHeight="1">
      <c r="B77" s="172"/>
      <c r="C77" s="172"/>
      <c r="D77" s="172"/>
      <c r="E77" s="172"/>
      <c r="F77" s="172"/>
      <c r="G77" s="172"/>
      <c r="H77" s="172"/>
      <c r="I77" s="172"/>
      <c r="J77" s="172"/>
      <c r="K77" s="172"/>
      <c r="L77" s="172"/>
    </row>
    <row r="78" spans="2:13" ht="15.75" customHeight="1">
      <c r="B78" s="172"/>
      <c r="C78" s="172"/>
      <c r="D78" s="172"/>
      <c r="E78" s="172"/>
      <c r="F78" s="172"/>
      <c r="G78" s="172"/>
      <c r="H78" s="172"/>
      <c r="I78" s="172"/>
      <c r="J78" s="172"/>
      <c r="K78" s="172"/>
      <c r="L78" s="172"/>
    </row>
    <row r="79" spans="2:13" ht="15.75" customHeight="1">
      <c r="B79" s="172"/>
      <c r="C79" s="172"/>
      <c r="D79" s="172"/>
      <c r="E79" s="172"/>
      <c r="F79" s="172"/>
      <c r="G79" s="172"/>
      <c r="H79" s="172"/>
      <c r="I79" s="172"/>
      <c r="J79" s="172"/>
      <c r="K79" s="172"/>
      <c r="L79" s="172"/>
    </row>
    <row r="80" spans="2:13" ht="15.75" customHeight="1">
      <c r="B80" s="172"/>
      <c r="C80" s="172"/>
      <c r="D80" s="172"/>
      <c r="E80" s="172"/>
      <c r="F80" s="172"/>
      <c r="G80" s="172"/>
      <c r="H80" s="172"/>
      <c r="I80" s="172"/>
      <c r="J80" s="172"/>
      <c r="K80" s="172"/>
      <c r="L80" s="172"/>
    </row>
    <row r="81" spans="2:12" ht="15.75" customHeight="1">
      <c r="B81" s="172"/>
      <c r="C81" s="172"/>
      <c r="D81" s="172"/>
      <c r="E81" s="172"/>
      <c r="F81" s="172"/>
      <c r="G81" s="172"/>
      <c r="H81" s="172"/>
      <c r="I81" s="172"/>
      <c r="J81" s="172"/>
      <c r="K81" s="172"/>
      <c r="L81" s="172"/>
    </row>
    <row r="82" spans="2:12" ht="15.75" customHeight="1">
      <c r="B82" s="172"/>
      <c r="C82" s="172"/>
      <c r="D82" s="172"/>
      <c r="E82" s="172"/>
      <c r="F82" s="172"/>
      <c r="G82" s="172"/>
      <c r="H82" s="172"/>
      <c r="I82" s="172"/>
      <c r="J82" s="172"/>
      <c r="K82" s="172"/>
      <c r="L82" s="172"/>
    </row>
    <row r="83" spans="2:12" ht="15.75" customHeight="1">
      <c r="B83" s="172"/>
      <c r="C83" s="172"/>
      <c r="D83" s="172"/>
      <c r="E83" s="172"/>
      <c r="F83" s="172"/>
      <c r="G83" s="172"/>
      <c r="H83" s="172"/>
      <c r="I83" s="172"/>
      <c r="J83" s="172"/>
      <c r="K83" s="172"/>
      <c r="L83" s="172"/>
    </row>
    <row r="84" spans="2:12" ht="15.75" customHeight="1">
      <c r="B84" s="172"/>
      <c r="C84" s="172"/>
      <c r="D84" s="172"/>
      <c r="E84" s="172"/>
      <c r="F84" s="172"/>
      <c r="G84" s="172"/>
      <c r="H84" s="172"/>
      <c r="I84" s="172"/>
      <c r="J84" s="172"/>
      <c r="K84" s="172"/>
      <c r="L84" s="172"/>
    </row>
    <row r="85" spans="2:12" ht="15.75" customHeight="1">
      <c r="B85" s="172"/>
      <c r="C85" s="172"/>
      <c r="D85" s="172"/>
      <c r="E85" s="172"/>
      <c r="F85" s="172"/>
      <c r="G85" s="172"/>
      <c r="H85" s="172"/>
      <c r="I85" s="172"/>
      <c r="J85" s="172"/>
      <c r="K85" s="172"/>
      <c r="L85" s="172"/>
    </row>
    <row r="86" spans="2:12" ht="6" customHeight="1">
      <c r="B86" s="172"/>
      <c r="C86" s="172"/>
      <c r="D86" s="172"/>
      <c r="E86" s="172"/>
      <c r="F86" s="172"/>
      <c r="G86" s="172"/>
      <c r="H86" s="172"/>
      <c r="I86" s="172"/>
      <c r="J86" s="172"/>
      <c r="K86" s="172"/>
      <c r="L86" s="172"/>
    </row>
    <row r="87" spans="2:12" ht="15.75" customHeight="1">
      <c r="B87" s="172"/>
      <c r="C87" s="172"/>
      <c r="D87" s="172"/>
      <c r="E87" s="172"/>
      <c r="F87" s="172"/>
      <c r="G87" s="172"/>
      <c r="H87" s="172"/>
      <c r="I87" s="172"/>
      <c r="J87" s="172"/>
      <c r="K87" s="172"/>
      <c r="L87" s="172"/>
    </row>
    <row r="88" spans="2:12" ht="15.75" customHeight="1">
      <c r="B88" s="172"/>
      <c r="C88" s="172"/>
      <c r="D88" s="172"/>
      <c r="E88" s="172"/>
      <c r="F88" s="172"/>
      <c r="G88" s="172"/>
      <c r="H88" s="172"/>
      <c r="I88" s="172"/>
      <c r="J88" s="172"/>
      <c r="K88" s="172"/>
      <c r="L88" s="172"/>
    </row>
    <row r="89" spans="2:12" ht="15.75" customHeight="1">
      <c r="B89" s="172"/>
      <c r="C89" s="172"/>
      <c r="D89" s="172"/>
      <c r="E89" s="172"/>
      <c r="F89" s="172"/>
      <c r="G89" s="172"/>
      <c r="H89" s="172"/>
      <c r="I89" s="172"/>
      <c r="J89" s="172"/>
      <c r="K89" s="172"/>
      <c r="L89" s="172"/>
    </row>
    <row r="90" spans="2:12" ht="15.75" customHeight="1">
      <c r="B90" s="172"/>
      <c r="C90" s="172"/>
      <c r="D90" s="172"/>
      <c r="E90" s="172"/>
      <c r="F90" s="172"/>
      <c r="G90" s="172"/>
      <c r="H90" s="172"/>
      <c r="I90" s="172"/>
      <c r="J90" s="172"/>
      <c r="K90" s="172"/>
      <c r="L90" s="172"/>
    </row>
    <row r="91" spans="2:12" ht="15.75" customHeight="1">
      <c r="B91" s="172"/>
      <c r="C91" s="172"/>
      <c r="D91" s="172"/>
      <c r="E91" s="172"/>
      <c r="F91" s="172"/>
      <c r="G91" s="172"/>
      <c r="H91" s="172"/>
      <c r="I91" s="172"/>
      <c r="J91" s="172"/>
      <c r="K91" s="172"/>
      <c r="L91" s="172"/>
    </row>
    <row r="92" spans="2:12" ht="15.75" customHeight="1">
      <c r="B92" s="172"/>
      <c r="C92" s="172"/>
      <c r="D92" s="172"/>
      <c r="E92" s="172"/>
      <c r="F92" s="172"/>
      <c r="G92" s="172"/>
      <c r="H92" s="172"/>
      <c r="I92" s="172"/>
      <c r="J92" s="172"/>
      <c r="K92" s="172"/>
      <c r="L92" s="172"/>
    </row>
    <row r="93" spans="2:12" ht="15.75" customHeight="1">
      <c r="B93" s="172"/>
      <c r="C93" s="172"/>
      <c r="D93" s="172"/>
      <c r="E93" s="172"/>
      <c r="F93" s="172"/>
      <c r="G93" s="172"/>
      <c r="H93" s="172"/>
      <c r="I93" s="172"/>
      <c r="J93" s="172"/>
      <c r="K93" s="172"/>
      <c r="L93" s="172"/>
    </row>
    <row r="94" spans="2:12" ht="15.75" customHeight="1">
      <c r="B94" s="172"/>
      <c r="C94" s="172"/>
      <c r="D94" s="172"/>
      <c r="E94" s="172"/>
      <c r="F94" s="172"/>
      <c r="G94" s="172"/>
      <c r="H94" s="172"/>
      <c r="I94" s="172"/>
      <c r="J94" s="172"/>
      <c r="K94" s="172"/>
      <c r="L94" s="172"/>
    </row>
    <row r="95" spans="2:12" ht="15.75" customHeight="1">
      <c r="B95" s="172"/>
      <c r="C95" s="172"/>
      <c r="D95" s="172"/>
      <c r="E95" s="172"/>
      <c r="F95" s="172"/>
      <c r="G95" s="172"/>
      <c r="H95" s="172"/>
      <c r="I95" s="172"/>
      <c r="J95" s="172"/>
      <c r="K95" s="172"/>
      <c r="L95" s="172"/>
    </row>
    <row r="96" spans="2:12" ht="15.75" customHeight="1">
      <c r="B96" s="172"/>
      <c r="C96" s="172"/>
      <c r="D96" s="172"/>
      <c r="E96" s="172"/>
      <c r="F96" s="172"/>
      <c r="G96" s="172"/>
      <c r="H96" s="172"/>
      <c r="I96" s="172"/>
      <c r="J96" s="172"/>
      <c r="K96" s="172"/>
      <c r="L96" s="172"/>
    </row>
    <row r="97" spans="2:12" ht="15.75" customHeight="1">
      <c r="B97" s="172"/>
      <c r="C97" s="172"/>
      <c r="D97" s="172"/>
      <c r="E97" s="172"/>
      <c r="F97" s="172"/>
      <c r="G97" s="172"/>
      <c r="H97" s="172"/>
      <c r="I97" s="172"/>
      <c r="J97" s="172"/>
      <c r="K97" s="172"/>
      <c r="L97" s="172"/>
    </row>
    <row r="98" spans="2:12" ht="15.75" customHeight="1">
      <c r="B98" s="172"/>
      <c r="C98" s="172"/>
      <c r="D98" s="172"/>
      <c r="E98" s="172"/>
      <c r="F98" s="172"/>
      <c r="G98" s="172"/>
      <c r="H98" s="172"/>
      <c r="I98" s="172"/>
      <c r="J98" s="172"/>
      <c r="K98" s="172"/>
      <c r="L98" s="172"/>
    </row>
    <row r="99" spans="2:12" ht="15.75" customHeight="1">
      <c r="B99" s="172"/>
      <c r="C99" s="172"/>
      <c r="D99" s="172"/>
      <c r="E99" s="172"/>
      <c r="F99" s="172"/>
      <c r="G99" s="172"/>
      <c r="H99" s="172"/>
      <c r="I99" s="172"/>
      <c r="J99" s="172"/>
      <c r="K99" s="172"/>
      <c r="L99" s="172"/>
    </row>
    <row r="100" spans="2:12" ht="4.5" customHeight="1">
      <c r="B100" s="172"/>
      <c r="C100" s="172"/>
      <c r="D100" s="172"/>
      <c r="E100" s="172"/>
      <c r="F100" s="172"/>
      <c r="G100" s="172"/>
      <c r="H100" s="172"/>
      <c r="I100" s="172"/>
      <c r="J100" s="172"/>
      <c r="K100" s="172"/>
      <c r="L100" s="172"/>
    </row>
    <row r="101" spans="2:12" ht="15.75" customHeight="1">
      <c r="B101" s="172"/>
      <c r="C101" s="172"/>
      <c r="D101" s="172"/>
      <c r="E101" s="172"/>
      <c r="F101" s="172"/>
      <c r="G101" s="172"/>
      <c r="H101" s="172"/>
      <c r="I101" s="172"/>
      <c r="J101" s="172"/>
      <c r="K101" s="172"/>
      <c r="L101" s="172"/>
    </row>
    <row r="102" spans="2:12" ht="15.75" customHeight="1">
      <c r="B102" s="172"/>
      <c r="C102" s="172"/>
      <c r="D102" s="172"/>
      <c r="E102" s="172"/>
      <c r="F102" s="172"/>
      <c r="G102" s="172"/>
      <c r="H102" s="172"/>
      <c r="I102" s="172"/>
      <c r="J102" s="172"/>
      <c r="K102" s="172"/>
      <c r="L102" s="172"/>
    </row>
    <row r="103" spans="2:12" ht="15.75" customHeight="1">
      <c r="B103" s="172"/>
      <c r="C103" s="172"/>
      <c r="D103" s="172"/>
      <c r="E103" s="172"/>
      <c r="F103" s="172"/>
      <c r="G103" s="172"/>
      <c r="H103" s="172"/>
      <c r="I103" s="172"/>
      <c r="J103" s="172"/>
      <c r="K103" s="172"/>
      <c r="L103" s="172"/>
    </row>
    <row r="104" spans="2:12" ht="15.75" customHeight="1">
      <c r="B104" s="172"/>
      <c r="C104" s="172"/>
      <c r="D104" s="172"/>
      <c r="E104" s="172"/>
      <c r="F104" s="172"/>
      <c r="G104" s="172"/>
      <c r="H104" s="172"/>
      <c r="I104" s="172"/>
      <c r="J104" s="172"/>
      <c r="K104" s="172"/>
      <c r="L104" s="172"/>
    </row>
    <row r="105" spans="2:12" ht="15.75" customHeight="1">
      <c r="B105" s="172"/>
      <c r="C105" s="172"/>
      <c r="D105" s="172"/>
      <c r="E105" s="172"/>
      <c r="F105" s="172"/>
      <c r="G105" s="172"/>
      <c r="H105" s="172"/>
      <c r="I105" s="172"/>
      <c r="J105" s="172"/>
      <c r="K105" s="172"/>
      <c r="L105" s="172"/>
    </row>
    <row r="106" spans="2:12" ht="15.75" customHeight="1">
      <c r="B106" s="172"/>
      <c r="C106" s="172"/>
      <c r="D106" s="172"/>
      <c r="E106" s="172"/>
      <c r="F106" s="172"/>
      <c r="G106" s="172"/>
      <c r="H106" s="172"/>
      <c r="I106" s="172"/>
      <c r="J106" s="172"/>
      <c r="K106" s="172"/>
      <c r="L106" s="172"/>
    </row>
    <row r="107" spans="2:12" ht="15.75" customHeight="1">
      <c r="B107" s="172"/>
      <c r="C107" s="172"/>
      <c r="D107" s="172"/>
      <c r="E107" s="172"/>
      <c r="F107" s="172"/>
      <c r="G107" s="172"/>
      <c r="H107" s="172"/>
      <c r="I107" s="172"/>
      <c r="J107" s="172"/>
      <c r="K107" s="172"/>
      <c r="L107" s="172"/>
    </row>
    <row r="108" spans="2:12" ht="15.75" customHeight="1">
      <c r="B108" s="172"/>
      <c r="C108" s="172"/>
      <c r="D108" s="172"/>
      <c r="E108" s="172"/>
      <c r="F108" s="172"/>
      <c r="G108" s="172"/>
      <c r="H108" s="172"/>
      <c r="I108" s="172"/>
      <c r="J108" s="172"/>
      <c r="K108" s="172"/>
      <c r="L108" s="172"/>
    </row>
    <row r="109" spans="2:12" ht="15.75" customHeight="1">
      <c r="B109" s="172"/>
      <c r="C109" s="172"/>
      <c r="D109" s="172"/>
      <c r="E109" s="172"/>
      <c r="F109" s="172"/>
      <c r="G109" s="172"/>
      <c r="H109" s="172"/>
      <c r="I109" s="172"/>
      <c r="J109" s="172"/>
      <c r="K109" s="172"/>
      <c r="L109" s="172"/>
    </row>
    <row r="110" spans="2:12" ht="15.75" customHeight="1">
      <c r="B110" s="172"/>
      <c r="C110" s="172"/>
      <c r="D110" s="172"/>
      <c r="E110" s="172"/>
      <c r="F110" s="172"/>
      <c r="G110" s="172"/>
      <c r="H110" s="172"/>
      <c r="I110" s="172"/>
      <c r="J110" s="172"/>
      <c r="K110" s="172"/>
      <c r="L110" s="172"/>
    </row>
    <row r="111" spans="2:12" ht="15.75" customHeight="1">
      <c r="B111" s="172"/>
      <c r="C111" s="172"/>
      <c r="D111" s="172"/>
      <c r="E111" s="172"/>
      <c r="F111" s="172"/>
      <c r="G111" s="172"/>
      <c r="H111" s="172"/>
      <c r="I111" s="172"/>
      <c r="J111" s="172"/>
      <c r="K111" s="172"/>
      <c r="L111" s="172"/>
    </row>
    <row r="112" spans="2:12" ht="15.75" customHeight="1">
      <c r="B112" s="172"/>
      <c r="C112" s="172"/>
      <c r="D112" s="172"/>
      <c r="E112" s="172"/>
      <c r="F112" s="172"/>
      <c r="G112" s="172"/>
      <c r="H112" s="172"/>
      <c r="I112" s="172"/>
      <c r="J112" s="172"/>
      <c r="K112" s="172"/>
      <c r="L112" s="172"/>
    </row>
    <row r="113" spans="2:12" ht="15.75" customHeight="1">
      <c r="B113" s="172"/>
      <c r="C113" s="172"/>
      <c r="D113" s="172"/>
      <c r="E113" s="172"/>
      <c r="F113" s="172"/>
      <c r="G113" s="172"/>
      <c r="H113" s="172"/>
      <c r="I113" s="172"/>
      <c r="J113" s="172"/>
      <c r="K113" s="172"/>
      <c r="L113" s="172"/>
    </row>
    <row r="114" spans="2:12" ht="6" customHeight="1">
      <c r="B114" s="172"/>
      <c r="C114" s="172"/>
      <c r="D114" s="172"/>
      <c r="E114" s="172"/>
      <c r="F114" s="172"/>
      <c r="G114" s="172"/>
      <c r="H114" s="172"/>
      <c r="I114" s="172"/>
      <c r="J114" s="172"/>
      <c r="K114" s="172"/>
      <c r="L114" s="172"/>
    </row>
    <row r="115" spans="2:12" ht="15.75" customHeight="1">
      <c r="B115" s="172"/>
      <c r="C115" s="172"/>
      <c r="D115" s="172"/>
      <c r="E115" s="172"/>
      <c r="F115" s="172"/>
      <c r="G115" s="172"/>
      <c r="H115" s="172"/>
      <c r="I115" s="172"/>
      <c r="J115" s="172"/>
      <c r="K115" s="172"/>
      <c r="L115" s="172"/>
    </row>
    <row r="116" spans="2:12" ht="15.75" customHeight="1">
      <c r="B116" s="172"/>
      <c r="C116" s="172"/>
      <c r="D116" s="172"/>
      <c r="E116" s="172"/>
      <c r="F116" s="172"/>
      <c r="G116" s="172"/>
      <c r="H116" s="172"/>
      <c r="I116" s="172"/>
      <c r="J116" s="172"/>
      <c r="K116" s="172"/>
      <c r="L116" s="172"/>
    </row>
    <row r="117" spans="2:12" ht="15.75" customHeight="1">
      <c r="B117" s="172"/>
      <c r="C117" s="172"/>
      <c r="D117" s="172"/>
      <c r="E117" s="172"/>
      <c r="F117" s="172"/>
      <c r="G117" s="172"/>
      <c r="H117" s="172"/>
      <c r="I117" s="172"/>
      <c r="J117" s="172"/>
      <c r="K117" s="172"/>
      <c r="L117" s="172"/>
    </row>
    <row r="118" spans="2:12" ht="15.75" customHeight="1">
      <c r="B118" s="172"/>
      <c r="C118" s="172"/>
      <c r="D118" s="172"/>
      <c r="E118" s="172"/>
      <c r="F118" s="172"/>
      <c r="G118" s="172"/>
      <c r="H118" s="172"/>
      <c r="I118" s="172"/>
      <c r="J118" s="172"/>
      <c r="K118" s="172"/>
      <c r="L118" s="172"/>
    </row>
    <row r="119" spans="2:12" ht="15.75" customHeight="1">
      <c r="B119" s="172"/>
      <c r="C119" s="172"/>
      <c r="D119" s="172"/>
      <c r="E119" s="172"/>
      <c r="F119" s="172"/>
      <c r="G119" s="172"/>
      <c r="H119" s="172"/>
      <c r="I119" s="172"/>
      <c r="J119" s="172"/>
      <c r="K119" s="172"/>
      <c r="L119" s="172"/>
    </row>
    <row r="120" spans="2:12" ht="15.75" customHeight="1">
      <c r="B120" s="172"/>
      <c r="C120" s="172"/>
      <c r="D120" s="172"/>
      <c r="E120" s="172"/>
      <c r="F120" s="172"/>
      <c r="G120" s="172"/>
      <c r="H120" s="172"/>
      <c r="I120" s="172"/>
      <c r="J120" s="172"/>
      <c r="K120" s="172"/>
      <c r="L120" s="172"/>
    </row>
    <row r="121" spans="2:12" ht="15.75" customHeight="1">
      <c r="B121" s="172"/>
      <c r="C121" s="172"/>
      <c r="D121" s="172"/>
      <c r="E121" s="172"/>
      <c r="F121" s="172"/>
      <c r="G121" s="172"/>
      <c r="H121" s="172"/>
      <c r="I121" s="172"/>
      <c r="J121" s="172"/>
      <c r="K121" s="172"/>
      <c r="L121" s="172"/>
    </row>
    <row r="122" spans="2:12" ht="15.75" customHeight="1">
      <c r="B122" s="172"/>
      <c r="C122" s="172"/>
      <c r="D122" s="172"/>
      <c r="E122" s="172"/>
      <c r="F122" s="172"/>
      <c r="G122" s="172"/>
      <c r="H122" s="172"/>
      <c r="I122" s="172"/>
      <c r="J122" s="172"/>
      <c r="K122" s="172"/>
      <c r="L122" s="172"/>
    </row>
    <row r="123" spans="2:12" ht="15.75" customHeight="1">
      <c r="B123" s="172"/>
      <c r="C123" s="172"/>
      <c r="D123" s="172"/>
      <c r="E123" s="172"/>
      <c r="F123" s="172"/>
      <c r="G123" s="172"/>
      <c r="H123" s="172"/>
      <c r="I123" s="172"/>
      <c r="J123" s="172"/>
      <c r="K123" s="172"/>
      <c r="L123" s="172"/>
    </row>
    <row r="124" spans="2:12" ht="15.75" customHeight="1">
      <c r="B124" s="172"/>
      <c r="C124" s="172"/>
      <c r="D124" s="172"/>
      <c r="E124" s="172"/>
      <c r="F124" s="172"/>
      <c r="G124" s="172"/>
      <c r="H124" s="172"/>
      <c r="I124" s="172"/>
      <c r="J124" s="172"/>
      <c r="K124" s="172"/>
      <c r="L124" s="172"/>
    </row>
    <row r="125" spans="2:12" ht="15.75" customHeight="1">
      <c r="B125" s="172"/>
      <c r="C125" s="172"/>
      <c r="D125" s="172"/>
      <c r="E125" s="172"/>
      <c r="F125" s="172"/>
      <c r="G125" s="172"/>
      <c r="H125" s="172"/>
      <c r="I125" s="172"/>
      <c r="J125" s="172"/>
      <c r="K125" s="172"/>
      <c r="L125" s="172"/>
    </row>
    <row r="126" spans="2:12" ht="15.75" customHeight="1">
      <c r="B126" s="172"/>
      <c r="C126" s="172"/>
      <c r="D126" s="172"/>
      <c r="E126" s="172"/>
      <c r="F126" s="172"/>
      <c r="G126" s="172"/>
      <c r="H126" s="172"/>
      <c r="I126" s="172"/>
      <c r="J126" s="172"/>
      <c r="K126" s="172"/>
      <c r="L126" s="172"/>
    </row>
    <row r="127" spans="2:12" ht="15.75" customHeight="1">
      <c r="B127" s="172"/>
      <c r="C127" s="172"/>
      <c r="D127" s="172"/>
      <c r="E127" s="172"/>
      <c r="F127" s="172"/>
      <c r="G127" s="172"/>
      <c r="H127" s="172"/>
      <c r="I127" s="172"/>
      <c r="J127" s="172"/>
      <c r="K127" s="172"/>
      <c r="L127" s="172"/>
    </row>
    <row r="128" spans="2:12" ht="6" customHeight="1">
      <c r="B128" s="172"/>
      <c r="C128" s="172"/>
      <c r="D128" s="172"/>
      <c r="E128" s="172"/>
      <c r="F128" s="172"/>
      <c r="G128" s="172"/>
      <c r="H128" s="172"/>
      <c r="I128" s="172"/>
      <c r="J128" s="172"/>
      <c r="K128" s="172"/>
      <c r="L128" s="172"/>
    </row>
    <row r="129" spans="2:12" ht="15.75" customHeight="1">
      <c r="B129" s="172"/>
      <c r="C129" s="172"/>
      <c r="D129" s="172"/>
      <c r="E129" s="172"/>
      <c r="F129" s="172"/>
      <c r="G129" s="172"/>
      <c r="H129" s="172"/>
      <c r="I129" s="172"/>
      <c r="J129" s="172"/>
      <c r="K129" s="172"/>
      <c r="L129" s="172"/>
    </row>
    <row r="130" spans="2:12" ht="15.75" customHeight="1">
      <c r="B130" s="172"/>
      <c r="C130" s="172"/>
      <c r="D130" s="172"/>
      <c r="E130" s="172"/>
      <c r="F130" s="172"/>
      <c r="G130" s="172"/>
      <c r="H130" s="172"/>
      <c r="I130" s="172"/>
      <c r="J130" s="172"/>
      <c r="K130" s="172"/>
      <c r="L130" s="172"/>
    </row>
    <row r="131" spans="2:12" ht="15.75" customHeight="1">
      <c r="B131" s="172"/>
      <c r="C131" s="172"/>
      <c r="D131" s="172"/>
      <c r="E131" s="172"/>
      <c r="F131" s="172"/>
      <c r="G131" s="172"/>
      <c r="H131" s="172"/>
      <c r="I131" s="172"/>
      <c r="J131" s="172"/>
      <c r="K131" s="172"/>
      <c r="L131" s="172"/>
    </row>
    <row r="132" spans="2:12" ht="15.75" customHeight="1">
      <c r="B132" s="172"/>
      <c r="C132" s="172"/>
      <c r="D132" s="172"/>
      <c r="E132" s="172"/>
      <c r="F132" s="172"/>
      <c r="G132" s="172"/>
      <c r="H132" s="172"/>
      <c r="I132" s="172"/>
      <c r="J132" s="172"/>
      <c r="K132" s="172"/>
      <c r="L132" s="172"/>
    </row>
    <row r="133" spans="2:12" ht="15.75" customHeight="1">
      <c r="B133" s="172"/>
      <c r="C133" s="172"/>
      <c r="D133" s="172"/>
      <c r="E133" s="172"/>
      <c r="F133" s="172"/>
      <c r="G133" s="172"/>
      <c r="H133" s="172"/>
      <c r="I133" s="172"/>
      <c r="J133" s="172"/>
      <c r="K133" s="172"/>
      <c r="L133" s="172"/>
    </row>
    <row r="134" spans="2:12" ht="15.75" customHeight="1">
      <c r="B134" s="172"/>
      <c r="C134" s="172"/>
      <c r="D134" s="172"/>
      <c r="E134" s="172"/>
      <c r="F134" s="172"/>
      <c r="G134" s="172"/>
      <c r="H134" s="172"/>
      <c r="I134" s="172"/>
      <c r="J134" s="172"/>
      <c r="K134" s="172"/>
      <c r="L134" s="172"/>
    </row>
    <row r="135" spans="2:12" ht="15.75" customHeight="1">
      <c r="B135" s="172"/>
      <c r="C135" s="172"/>
      <c r="D135" s="172"/>
      <c r="E135" s="172"/>
      <c r="F135" s="172"/>
      <c r="G135" s="172"/>
      <c r="H135" s="172"/>
      <c r="I135" s="172"/>
      <c r="J135" s="172"/>
      <c r="K135" s="172"/>
      <c r="L135" s="172"/>
    </row>
    <row r="136" spans="2:12" ht="15.75" customHeight="1">
      <c r="B136" s="172"/>
      <c r="C136" s="172"/>
      <c r="D136" s="172"/>
      <c r="E136" s="172"/>
      <c r="F136" s="172"/>
      <c r="G136" s="172"/>
      <c r="H136" s="172"/>
      <c r="I136" s="172"/>
      <c r="J136" s="172"/>
      <c r="K136" s="172"/>
      <c r="L136" s="172"/>
    </row>
    <row r="137" spans="2:12" ht="15.75" customHeight="1">
      <c r="B137" s="172"/>
      <c r="C137" s="172"/>
      <c r="D137" s="172"/>
      <c r="E137" s="172"/>
      <c r="F137" s="172"/>
      <c r="G137" s="172"/>
      <c r="H137" s="172"/>
      <c r="I137" s="172"/>
      <c r="J137" s="172"/>
      <c r="K137" s="172"/>
      <c r="L137" s="172"/>
    </row>
    <row r="138" spans="2:12" ht="15.75" customHeight="1">
      <c r="B138" s="172"/>
      <c r="C138" s="172"/>
      <c r="D138" s="172"/>
      <c r="E138" s="172"/>
      <c r="F138" s="172"/>
      <c r="G138" s="172"/>
      <c r="H138" s="172"/>
      <c r="I138" s="172"/>
      <c r="J138" s="172"/>
      <c r="K138" s="172"/>
      <c r="L138" s="172"/>
    </row>
    <row r="139" spans="2:12" ht="15.75" customHeight="1">
      <c r="B139" s="172"/>
      <c r="C139" s="172"/>
      <c r="D139" s="172"/>
      <c r="E139" s="172"/>
      <c r="F139" s="172"/>
      <c r="G139" s="172"/>
      <c r="H139" s="172"/>
      <c r="I139" s="172"/>
      <c r="J139" s="172"/>
      <c r="K139" s="172"/>
      <c r="L139" s="172"/>
    </row>
    <row r="140" spans="2:12" ht="15.75" customHeight="1">
      <c r="B140" s="172"/>
      <c r="C140" s="172"/>
      <c r="D140" s="172"/>
      <c r="E140" s="172"/>
      <c r="F140" s="172"/>
      <c r="G140" s="172"/>
      <c r="H140" s="172"/>
      <c r="I140" s="172"/>
      <c r="J140" s="172"/>
      <c r="K140" s="172"/>
      <c r="L140" s="172"/>
    </row>
    <row r="141" spans="2:12" ht="15.75" customHeight="1">
      <c r="B141" s="172"/>
      <c r="C141" s="172"/>
      <c r="D141" s="172"/>
      <c r="E141" s="172"/>
      <c r="F141" s="172"/>
      <c r="G141" s="172"/>
      <c r="H141" s="172"/>
      <c r="I141" s="172"/>
      <c r="J141" s="172"/>
      <c r="K141" s="172"/>
      <c r="L141" s="172"/>
    </row>
    <row r="142" spans="2:12" ht="15.75" customHeight="1">
      <c r="B142" s="172"/>
      <c r="C142" s="172"/>
      <c r="D142" s="172"/>
      <c r="E142" s="172"/>
      <c r="F142" s="172"/>
      <c r="G142" s="172"/>
      <c r="H142" s="172"/>
      <c r="I142" s="172"/>
      <c r="J142" s="172"/>
      <c r="K142" s="172"/>
      <c r="L142" s="172"/>
    </row>
    <row r="143" spans="2:12" ht="15.75" customHeight="1">
      <c r="B143" s="172"/>
      <c r="C143" s="172"/>
      <c r="D143" s="172"/>
      <c r="E143" s="172"/>
      <c r="F143" s="172"/>
      <c r="G143" s="172"/>
      <c r="H143" s="172"/>
      <c r="I143" s="172"/>
      <c r="J143" s="172"/>
      <c r="K143" s="172"/>
      <c r="L143" s="172"/>
    </row>
    <row r="144" spans="2:12" ht="15.75" customHeight="1">
      <c r="B144" s="172"/>
      <c r="C144" s="172"/>
      <c r="D144" s="172"/>
      <c r="E144" s="172"/>
      <c r="F144" s="172"/>
      <c r="G144" s="172"/>
      <c r="H144" s="172"/>
      <c r="I144" s="172"/>
      <c r="J144" s="172"/>
      <c r="K144" s="172"/>
      <c r="L144" s="172"/>
    </row>
    <row r="145" spans="1:13">
      <c r="A145" t="s">
        <v>140</v>
      </c>
      <c r="B145" s="5"/>
      <c r="C145" s="5"/>
      <c r="D145" s="5"/>
      <c r="E145" s="5"/>
      <c r="F145" s="5"/>
      <c r="G145" s="5"/>
      <c r="H145" s="5"/>
      <c r="I145" s="5"/>
      <c r="J145" s="5"/>
      <c r="K145" s="5"/>
      <c r="L145" s="5"/>
      <c r="M145" s="5"/>
    </row>
    <row r="146" spans="1:13">
      <c r="A146" s="84"/>
      <c r="C146" s="216" t="s">
        <v>141</v>
      </c>
      <c r="D146" s="216"/>
      <c r="E146" s="216"/>
      <c r="F146" s="216"/>
      <c r="G146" s="216"/>
      <c r="H146" s="216"/>
      <c r="I146" s="85" t="str">
        <f>+C61</f>
        <v>G1M1W7</v>
      </c>
    </row>
    <row r="147" spans="1:13">
      <c r="A147" s="84" t="s">
        <v>142</v>
      </c>
      <c r="B147" s="86" t="s">
        <v>143</v>
      </c>
      <c r="C147" s="86" t="s">
        <v>144</v>
      </c>
      <c r="G147" s="85"/>
    </row>
    <row r="148" spans="1:13">
      <c r="A148" s="90"/>
      <c r="B148" s="87" t="s">
        <v>145</v>
      </c>
      <c r="C148" t="str">
        <f>+B148</f>
        <v>GENERAL</v>
      </c>
    </row>
    <row r="149" spans="1:13" s="125" customFormat="1" ht="45.75" customHeight="1">
      <c r="A149" s="124" t="s">
        <v>146</v>
      </c>
      <c r="B149" s="189"/>
      <c r="C149" s="218" t="str">
        <f>CONCATENATE("Se le transmiten recomendaciones, salvedades e información a tener en cuenta, relativa a la Hoja de Cálculo, facilitada por su grupo "&amp;TEXT(I146,0)&amp;", ordenadas según las pestañas que aparecen en la misma. Debe tener en cuenta que modificar alguno de los datos que se le solicita, implica cambios en el resto de datos de toda la Hoja de Cáculo." )</f>
        <v>Se le transmiten recomendaciones, salvedades e información a tener en cuenta, relativa a la Hoja de Cálculo, facilitada por su grupo G1M1W7, ordenadas según las pestañas que aparecen en la misma. Debe tener en cuenta que modificar alguno de los datos que se le solicita, implica cambios en el resto de datos de toda la Hoja de Cáculo.</v>
      </c>
      <c r="D149" s="218"/>
      <c r="E149" s="218"/>
      <c r="F149" s="218"/>
      <c r="G149" s="218"/>
      <c r="H149" s="218"/>
      <c r="I149" s="218"/>
      <c r="J149" s="148"/>
      <c r="K149" s="148"/>
      <c r="L149" s="148"/>
    </row>
    <row r="150" spans="1:13" ht="16.5" customHeight="1">
      <c r="A150" s="90" t="s">
        <v>146</v>
      </c>
      <c r="C150" s="219" t="s">
        <v>147</v>
      </c>
      <c r="D150" s="219"/>
      <c r="E150" s="219"/>
      <c r="F150" s="219"/>
      <c r="G150" s="219"/>
      <c r="H150" s="219"/>
      <c r="I150" s="219"/>
      <c r="J150" s="219"/>
      <c r="K150" s="219"/>
      <c r="L150" s="219"/>
    </row>
    <row r="151" spans="1:13" ht="15.75" customHeight="1">
      <c r="A151" s="90" t="s">
        <v>146</v>
      </c>
      <c r="C151" s="217" t="s">
        <v>148</v>
      </c>
      <c r="D151" s="217"/>
      <c r="E151" s="217"/>
      <c r="F151" s="217"/>
      <c r="G151" s="217"/>
      <c r="H151" s="217"/>
      <c r="I151" s="217"/>
      <c r="J151" s="217"/>
      <c r="K151" s="217"/>
      <c r="L151" s="217"/>
    </row>
    <row r="152" spans="1:13">
      <c r="A152" s="90" t="s">
        <v>146</v>
      </c>
      <c r="C152" s="217" t="s">
        <v>149</v>
      </c>
      <c r="D152" s="217"/>
      <c r="E152" s="217"/>
      <c r="F152" s="217"/>
      <c r="G152" s="217"/>
      <c r="H152" s="217"/>
      <c r="I152" s="217"/>
      <c r="J152" s="217"/>
      <c r="K152" s="217"/>
      <c r="L152" s="217"/>
    </row>
    <row r="153" spans="1:13" ht="15.75" customHeight="1">
      <c r="A153" s="90" t="s">
        <v>146</v>
      </c>
      <c r="C153" s="217" t="s">
        <v>150</v>
      </c>
      <c r="D153" s="217"/>
      <c r="E153" s="217"/>
      <c r="F153" s="217"/>
      <c r="G153" s="217"/>
      <c r="H153" s="217"/>
      <c r="I153" s="217"/>
      <c r="J153" s="217"/>
      <c r="K153" s="217"/>
      <c r="L153" s="217"/>
    </row>
    <row r="154" spans="1:13">
      <c r="A154" s="90" t="s">
        <v>146</v>
      </c>
      <c r="C154" s="161" t="s">
        <v>151</v>
      </c>
    </row>
    <row r="155" spans="1:13">
      <c r="A155" s="90" t="s">
        <v>146</v>
      </c>
      <c r="C155" s="161" t="s">
        <v>152</v>
      </c>
    </row>
    <row r="156" spans="1:13" ht="30" customHeight="1">
      <c r="A156" s="90" t="s">
        <v>146</v>
      </c>
      <c r="C156" s="218" t="s">
        <v>153</v>
      </c>
      <c r="D156" s="218"/>
      <c r="E156" s="218"/>
      <c r="F156" s="218"/>
      <c r="G156" s="218"/>
      <c r="H156" s="218"/>
      <c r="I156" s="218"/>
      <c r="J156" s="218"/>
      <c r="K156" s="218"/>
      <c r="L156" s="218"/>
    </row>
    <row r="157" spans="1:13" ht="30" customHeight="1">
      <c r="A157" s="90" t="s">
        <v>146</v>
      </c>
      <c r="C157" s="218" t="s">
        <v>154</v>
      </c>
      <c r="D157" s="218"/>
      <c r="E157" s="218"/>
      <c r="F157" s="218"/>
      <c r="G157" s="218"/>
      <c r="H157" s="218"/>
      <c r="I157" s="218"/>
      <c r="J157" s="218"/>
      <c r="K157" s="218"/>
      <c r="L157" s="218"/>
    </row>
    <row r="158" spans="1:13" ht="30" customHeight="1">
      <c r="A158" s="90" t="s">
        <v>146</v>
      </c>
      <c r="C158" s="218" t="s">
        <v>155</v>
      </c>
      <c r="D158" s="218"/>
      <c r="E158" s="218"/>
      <c r="F158" s="218"/>
      <c r="G158" s="218"/>
      <c r="H158" s="218"/>
      <c r="I158" s="218"/>
      <c r="J158" s="218"/>
      <c r="K158" s="218"/>
      <c r="L158" s="218"/>
    </row>
    <row r="159" spans="1:13" ht="28.5" customHeight="1">
      <c r="A159" s="90" t="s">
        <v>146</v>
      </c>
      <c r="C159" s="218" t="s">
        <v>156</v>
      </c>
      <c r="D159" s="218"/>
      <c r="E159" s="218"/>
      <c r="F159" s="218"/>
      <c r="G159" s="218"/>
      <c r="H159" s="218"/>
      <c r="I159" s="218"/>
      <c r="J159" s="218"/>
      <c r="K159" s="218"/>
      <c r="L159" s="218"/>
    </row>
    <row r="160" spans="1:13">
      <c r="A160" s="90" t="s">
        <v>146</v>
      </c>
      <c r="C160" s="218" t="s">
        <v>157</v>
      </c>
      <c r="D160" s="218"/>
      <c r="E160" s="218"/>
      <c r="F160" s="218"/>
      <c r="G160" s="218"/>
      <c r="H160" s="218"/>
      <c r="I160" s="218"/>
      <c r="J160" s="218"/>
      <c r="K160" s="218"/>
      <c r="L160" s="218"/>
    </row>
    <row r="161" spans="1:12">
      <c r="A161" s="90" t="s">
        <v>158</v>
      </c>
      <c r="C161" s="218" t="s">
        <v>159</v>
      </c>
      <c r="D161" s="218"/>
      <c r="E161" s="218"/>
      <c r="F161" s="218"/>
      <c r="G161" s="218"/>
      <c r="H161" s="218"/>
      <c r="I161" s="218"/>
      <c r="J161" s="218"/>
      <c r="K161" s="218"/>
      <c r="L161" s="218"/>
    </row>
    <row r="162" spans="1:12">
      <c r="A162" s="90" t="s">
        <v>158</v>
      </c>
      <c r="C162" s="218" t="s">
        <v>160</v>
      </c>
      <c r="D162" s="218"/>
      <c r="E162" s="218"/>
      <c r="F162" s="218"/>
      <c r="G162" s="218"/>
      <c r="H162" s="218"/>
      <c r="I162" s="218"/>
      <c r="J162" s="218"/>
      <c r="K162" s="218"/>
      <c r="L162" s="218"/>
    </row>
    <row r="163" spans="1:12" ht="30" customHeight="1">
      <c r="A163" s="90" t="s">
        <v>146</v>
      </c>
      <c r="C163" s="217" t="s">
        <v>161</v>
      </c>
      <c r="D163" s="217"/>
      <c r="E163" s="217"/>
      <c r="F163" s="217"/>
      <c r="G163" s="217"/>
      <c r="H163" s="217"/>
      <c r="I163" s="217"/>
      <c r="J163" s="217"/>
      <c r="K163" s="217"/>
      <c r="L163" s="217"/>
    </row>
    <row r="164" spans="1:12">
      <c r="A164" s="90" t="s">
        <v>146</v>
      </c>
      <c r="C164" s="217" t="s">
        <v>162</v>
      </c>
      <c r="D164" s="217"/>
      <c r="E164" s="217"/>
      <c r="F164" s="217"/>
      <c r="G164" s="217"/>
      <c r="H164" s="217"/>
      <c r="I164" s="217"/>
      <c r="J164" s="217"/>
      <c r="K164" s="217"/>
      <c r="L164" s="172"/>
    </row>
    <row r="165" spans="1:12">
      <c r="A165" s="164" t="s">
        <v>146</v>
      </c>
      <c r="B165" s="86"/>
      <c r="C165" s="165" t="s">
        <v>163</v>
      </c>
      <c r="G165" s="85"/>
    </row>
    <row r="166" spans="1:12">
      <c r="A166" s="89"/>
      <c r="B166" s="87" t="s">
        <v>164</v>
      </c>
      <c r="C166" t="str">
        <f>+B166</f>
        <v>INICIO</v>
      </c>
    </row>
    <row r="167" spans="1:12">
      <c r="A167" s="90" t="s">
        <v>165</v>
      </c>
      <c r="C167" s="218" t="s">
        <v>166</v>
      </c>
      <c r="D167" s="218"/>
      <c r="E167" s="218"/>
      <c r="F167" s="218"/>
      <c r="G167" s="218"/>
      <c r="H167" s="218"/>
      <c r="I167" s="218"/>
      <c r="J167" s="218"/>
      <c r="K167" s="218"/>
      <c r="L167" s="218"/>
    </row>
    <row r="168" spans="1:12">
      <c r="A168" s="90" t="s">
        <v>167</v>
      </c>
      <c r="C168" s="216" t="s">
        <v>168</v>
      </c>
      <c r="D168" s="216"/>
      <c r="E168" s="216"/>
      <c r="F168" s="216"/>
      <c r="G168" s="216"/>
      <c r="H168" s="216"/>
      <c r="I168" s="216"/>
      <c r="J168" s="216"/>
      <c r="K168" s="216"/>
      <c r="L168" s="216"/>
    </row>
    <row r="169" spans="1:12">
      <c r="A169" s="90" t="s">
        <v>167</v>
      </c>
      <c r="C169" s="216" t="s">
        <v>169</v>
      </c>
      <c r="D169" s="216"/>
      <c r="E169" s="216"/>
      <c r="F169" s="216"/>
      <c r="G169" s="216"/>
      <c r="H169" s="216"/>
      <c r="I169" s="216"/>
      <c r="J169" s="216"/>
      <c r="K169" s="216"/>
      <c r="L169" s="216"/>
    </row>
    <row r="170" spans="1:12">
      <c r="A170" s="90" t="s">
        <v>167</v>
      </c>
      <c r="C170" s="216" t="s">
        <v>170</v>
      </c>
      <c r="D170" s="216"/>
      <c r="E170" s="216"/>
      <c r="F170" s="216"/>
      <c r="G170" s="216"/>
      <c r="H170" s="216"/>
      <c r="I170" s="216"/>
      <c r="J170" s="216"/>
      <c r="K170" s="216"/>
      <c r="L170" s="216"/>
    </row>
    <row r="171" spans="1:12">
      <c r="A171" s="90" t="s">
        <v>165</v>
      </c>
      <c r="C171" s="216" t="s">
        <v>171</v>
      </c>
      <c r="D171" s="216"/>
      <c r="E171" s="216"/>
      <c r="F171" s="216"/>
      <c r="G171" s="216"/>
      <c r="H171" s="216"/>
      <c r="I171" s="216"/>
      <c r="J171" s="216"/>
      <c r="K171" s="216"/>
      <c r="L171" s="216"/>
    </row>
    <row r="172" spans="1:12">
      <c r="A172" s="90" t="s">
        <v>167</v>
      </c>
      <c r="C172" s="216" t="s">
        <v>172</v>
      </c>
      <c r="D172" s="216"/>
      <c r="E172" s="216"/>
      <c r="F172" s="216"/>
      <c r="G172" s="216"/>
      <c r="H172" s="216"/>
      <c r="I172" s="216"/>
      <c r="J172" s="216"/>
      <c r="K172" s="216"/>
      <c r="L172" s="216"/>
    </row>
    <row r="173" spans="1:12">
      <c r="A173" s="90" t="s">
        <v>165</v>
      </c>
      <c r="C173" s="216" t="s">
        <v>173</v>
      </c>
      <c r="D173" s="216"/>
      <c r="E173" s="216"/>
      <c r="F173" s="216"/>
      <c r="G173" s="216"/>
      <c r="H173" s="216"/>
      <c r="I173" s="216"/>
      <c r="J173" s="216"/>
      <c r="K173" s="216"/>
      <c r="L173" s="216"/>
    </row>
    <row r="174" spans="1:12">
      <c r="A174" s="90" t="s">
        <v>167</v>
      </c>
      <c r="C174" s="216" t="s">
        <v>174</v>
      </c>
      <c r="D174" s="216"/>
      <c r="E174" s="216"/>
      <c r="F174" s="216"/>
      <c r="G174" s="216"/>
      <c r="H174" s="216"/>
      <c r="I174" s="216"/>
      <c r="J174" s="216"/>
      <c r="K174" s="216"/>
      <c r="L174" s="216"/>
    </row>
    <row r="175" spans="1:12">
      <c r="A175" s="90" t="s">
        <v>165</v>
      </c>
      <c r="B175" s="83" t="str">
        <f>+F4</f>
        <v>SI INDICADA</v>
      </c>
      <c r="C175" s="136" t="s">
        <v>175</v>
      </c>
      <c r="D175" s="136"/>
      <c r="E175" s="136"/>
      <c r="F175" s="136"/>
      <c r="G175" s="136"/>
      <c r="H175" s="136"/>
      <c r="I175" s="136"/>
      <c r="J175" s="136"/>
      <c r="K175" s="136"/>
      <c r="L175" s="136"/>
    </row>
    <row r="176" spans="1:12">
      <c r="A176" s="90" t="s">
        <v>167</v>
      </c>
      <c r="C176" t="s">
        <v>176</v>
      </c>
      <c r="D176" s="136"/>
      <c r="E176" s="136"/>
      <c r="F176" s="136"/>
      <c r="G176" s="136"/>
      <c r="H176" s="136"/>
      <c r="I176" s="136"/>
      <c r="J176" s="136"/>
      <c r="K176" s="136"/>
      <c r="L176" s="136"/>
    </row>
    <row r="177" spans="1:12">
      <c r="A177" s="90" t="s">
        <v>167</v>
      </c>
      <c r="C177" t="s">
        <v>177</v>
      </c>
      <c r="D177" s="136"/>
      <c r="E177" s="136"/>
      <c r="F177" s="136"/>
      <c r="G177" s="136"/>
      <c r="H177" s="136"/>
      <c r="I177" s="136"/>
      <c r="J177" s="136"/>
      <c r="K177" s="136"/>
      <c r="L177" s="136"/>
    </row>
    <row r="178" spans="1:12">
      <c r="A178" s="90"/>
      <c r="B178" s="87" t="s">
        <v>178</v>
      </c>
      <c r="C178" t="str">
        <f>+B178</f>
        <v>ESTABLECIMIENTO</v>
      </c>
    </row>
    <row r="179" spans="1:12">
      <c r="A179" s="90" t="s">
        <v>165</v>
      </c>
      <c r="C179" t="s">
        <v>179</v>
      </c>
    </row>
    <row r="180" spans="1:12" ht="28.5" customHeight="1">
      <c r="A180" s="90" t="s">
        <v>165</v>
      </c>
      <c r="C180" s="218" t="s">
        <v>180</v>
      </c>
      <c r="D180" s="218"/>
      <c r="E180" s="218"/>
      <c r="F180" s="218"/>
      <c r="G180" s="218"/>
      <c r="H180" s="218"/>
      <c r="I180" s="218"/>
      <c r="J180" s="218"/>
      <c r="K180" s="218"/>
      <c r="L180" s="218"/>
    </row>
    <row r="181" spans="1:12">
      <c r="A181" s="90" t="s">
        <v>146</v>
      </c>
      <c r="B181" s="83" t="s">
        <v>181</v>
      </c>
      <c r="C181" t="s">
        <v>182</v>
      </c>
    </row>
    <row r="182" spans="1:12">
      <c r="A182" s="90" t="s">
        <v>146</v>
      </c>
      <c r="C182" t="s">
        <v>183</v>
      </c>
    </row>
    <row r="183" spans="1:12" s="125" customFormat="1" ht="44.25" customHeight="1">
      <c r="A183" s="124" t="s">
        <v>165</v>
      </c>
      <c r="B183" s="151">
        <f>+D14</f>
        <v>-9400</v>
      </c>
      <c r="C183" s="217" t="str">
        <f>CONCATENATE("Existen diferencias significativas, por importe de "&amp;TEXT(B183,"#.###,##")&amp;" € a corregir, en los  gastos de establecimiento. Ésta se debe a la cifra aportada en el cuadro de GASTOS DE ESTABLECIMIENTO, con un importe anual de "&amp;TEXT(C13,"#.###,##")&amp;" € , y la aportada en el cuadro de CUENTAS DE RESULTADOS por años, en el apartado GASTOS, subapartado Dotaciones para la Amortización correspondiente a Gastos de establecimiento del primer año, cuyo importe se ha asignado con "&amp;TEXT(C14,"#.###,##")&amp;" €.")</f>
        <v>Existen diferencias significativas, por importe de -9.400, € a corregir, en los  gastos de establecimiento. Ésta se debe a la cifra aportada en el cuadro de GASTOS DE ESTABLECIMIENTO, con un importe anual de 30.786, € , y la aportada en el cuadro de CUENTAS DE RESULTADOS por años, en el apartado GASTOS, subapartado Dotaciones para la Amortización correspondiente a Gastos de establecimiento del primer año, cuyo importe se ha asignado con 21.386, €.</v>
      </c>
      <c r="D183" s="217"/>
      <c r="E183" s="217"/>
      <c r="F183" s="217"/>
      <c r="G183" s="217"/>
      <c r="H183" s="217"/>
      <c r="I183" s="217"/>
      <c r="J183" s="217"/>
      <c r="K183" s="217"/>
      <c r="L183" s="217"/>
    </row>
    <row r="184" spans="1:12" s="125" customFormat="1">
      <c r="A184" s="124" t="s">
        <v>165</v>
      </c>
      <c r="B184" s="151">
        <f>+E15</f>
        <v>150</v>
      </c>
      <c r="C184" s="217" t="str">
        <f>CONCATENATE("La cifra correspondiente a los Gastos de Establecimiento para los años posteriores al primero, debería ser, por importe de "&amp;TEXT(B184,"#.###,##")&amp;" €, y no de "&amp;TEXT(C15,"#.###,##")&amp;" €, como se ha considerado, corríjala y aplíquela para años sucesivos. ")</f>
        <v xml:space="preserve">La cifra correspondiente a los Gastos de Establecimiento para los años posteriores al primero, debería ser, por importe de 150, €, y no de 5.427,5 €, como se ha considerado, corríjala y aplíquela para años sucesivos. </v>
      </c>
      <c r="D184" s="217"/>
      <c r="E184" s="217"/>
      <c r="F184" s="217"/>
      <c r="G184" s="217"/>
      <c r="H184" s="217"/>
      <c r="I184" s="217"/>
      <c r="J184" s="217"/>
      <c r="K184" s="217"/>
      <c r="L184" s="217"/>
    </row>
    <row r="185" spans="1:12" s="125" customFormat="1" ht="48" customHeight="1">
      <c r="A185" s="124" t="s">
        <v>165</v>
      </c>
      <c r="B185" s="126">
        <f ca="1">+D19</f>
        <v>-7352.5999999999985</v>
      </c>
      <c r="C185" s="217" t="str">
        <f ca="1">CONCATENATE("Existen diferencias significativas, por importe de "&amp;TEXT(B185,"#.###,##")&amp;" € a corregir, en el cuadro de las inversiones. Ésta se debe a la cifra aportada en el cuadro de TOTAL INVERSIONES, con un importe anual de "&amp;TEXT(C18,"#.###,##")&amp;" € , y la aportada en el cuadro de CUENTAS DE RESULTADOS por años, en el apartado GASTOS, subapartado Dotaciones para la Amortización correspondientes al Del Inmovilizado del primer año, cuyo importe se ha asignado con "&amp;TEXT(C19,"#.###,##")&amp;" €. Debería repasar igualmente el resto de periodos sobre todo aquellos conceptos que se distribuyen en menos de los 5 años que se presentan.")</f>
        <v>Existen diferencias significativas, por importe de -7.352,6 € a corregir, en el cuadro de las inversiones. Ésta se debe a la cifra aportada en el cuadro de TOTAL INVERSIONES, con un importe anual de 23.200,1 € , y la aportada en el cuadro de CUENTAS DE RESULTADOS por años, en el apartado GASTOS, subapartado Dotaciones para la Amortización correspondientes al Del Inmovilizado del primer año, cuyo importe se ha asignado con 15.847,5 €. Debería repasar igualmente el resto de periodos sobre todo aquellos conceptos que se distribuyen en menos de los 5 años que se presentan.</v>
      </c>
      <c r="D185" s="217"/>
      <c r="E185" s="217"/>
      <c r="F185" s="217"/>
      <c r="G185" s="217"/>
      <c r="H185" s="217"/>
      <c r="I185" s="217"/>
      <c r="J185" s="217"/>
      <c r="K185" s="217"/>
      <c r="L185" s="217"/>
    </row>
    <row r="186" spans="1:12" s="125" customFormat="1">
      <c r="A186" s="124" t="s">
        <v>165</v>
      </c>
      <c r="B186" s="151">
        <f ca="1">+E20</f>
        <v>13700.099999999999</v>
      </c>
      <c r="C186" s="217" t="str">
        <f ca="1">CONCATENATE("La cifra correspondiente a los Gastos de inversiones para los años posteriores al primero, debería ser, por importe de "&amp;TEXT(B186,"#.###,##")&amp;" €, y no de "&amp;TEXT(C20,"#.###,##")&amp;" €, como se ha considerado, ya que la inversión en existencias iniciales sólo daben de contar para el primer periodo, corríjala y aplíquela para años sucesivos. ")</f>
        <v xml:space="preserve">La cifra correspondiente a los Gastos de inversiones para los años posteriores al primero, debería ser, por importe de 13.700,1 €, y no de 6.400,1 €, como se ha considerado, ya que la inversión en existencias iniciales sólo daben de contar para el primer periodo, corríjala y aplíquela para años sucesivos. </v>
      </c>
      <c r="D186" s="217"/>
      <c r="E186" s="217"/>
      <c r="F186" s="217"/>
      <c r="G186" s="217"/>
      <c r="H186" s="217"/>
      <c r="I186" s="217"/>
      <c r="J186" s="217"/>
      <c r="K186" s="217"/>
      <c r="L186" s="217"/>
    </row>
    <row r="187" spans="1:12" s="125" customFormat="1">
      <c r="A187" s="124" t="s">
        <v>165</v>
      </c>
      <c r="B187" s="126"/>
      <c r="C187" s="217" t="s">
        <v>184</v>
      </c>
      <c r="D187" s="217"/>
      <c r="E187" s="217"/>
      <c r="F187" s="217"/>
      <c r="G187" s="217"/>
      <c r="H187" s="217"/>
      <c r="I187" s="217"/>
      <c r="J187" s="217"/>
      <c r="K187" s="217"/>
      <c r="L187" s="217"/>
    </row>
    <row r="188" spans="1:12" s="125" customFormat="1">
      <c r="A188" s="124" t="s">
        <v>165</v>
      </c>
      <c r="B188" s="126"/>
      <c r="C188" s="217" t="s">
        <v>185</v>
      </c>
      <c r="D188" s="217"/>
      <c r="E188" s="217"/>
      <c r="F188" s="217"/>
      <c r="G188" s="217"/>
      <c r="H188" s="217"/>
      <c r="I188" s="217"/>
      <c r="J188" s="217"/>
      <c r="K188" s="217"/>
      <c r="L188" s="217"/>
    </row>
    <row r="189" spans="1:12" s="125" customFormat="1" ht="32.25" customHeight="1">
      <c r="A189" s="124" t="s">
        <v>186</v>
      </c>
      <c r="B189" s="126">
        <f>+D24</f>
        <v>-450</v>
      </c>
      <c r="C189" s="217" t="str">
        <f>CONCATENATE("Existen diferencias significativas, por importe de "&amp;TEXT(B189,"#.###,##")&amp;" € a corregir, en el apartado de los gastos de formalización del préstamo inicial. Ésta se debe a la cifra aportada en el cuadro de GASTOS DE ESTABLECIMIENTO, en el apartado de los Gastos de la formalización de préstamos con un importe de "&amp;TEXT(C23,"#.###,##")&amp;" €, no alcanzando ni el 1,5% mínimo y que se correspondería con un importe de al menos "&amp;TEXT(C24,"#.###,##")&amp;" €")</f>
        <v>Existen diferencias significativas, por importe de -450, € a corregir, en el apartado de los gastos de formalización del préstamo inicial. Ésta se debe a la cifra aportada en el cuadro de GASTOS DE ESTABLECIMIENTO, en el apartado de los Gastos de la formalización de préstamos con un importe de 750, €, no alcanzando ni el 1,5% mínimo y que se correspondería con un importe de al menos 300, €</v>
      </c>
      <c r="D189" s="217"/>
      <c r="E189" s="217"/>
      <c r="F189" s="217"/>
      <c r="G189" s="217"/>
      <c r="H189" s="217"/>
      <c r="I189" s="217"/>
      <c r="J189" s="217"/>
      <c r="K189" s="217"/>
      <c r="L189" s="217"/>
    </row>
    <row r="190" spans="1:12" s="125" customFormat="1" ht="36" customHeight="1">
      <c r="A190" s="124" t="s">
        <v>165</v>
      </c>
      <c r="B190" s="132">
        <f ca="1">+G10-D54</f>
        <v>0.13979775390317167</v>
      </c>
      <c r="C190" s="217" t="str">
        <f ca="1">CONCATENATE("La diferencia entre el tipo de interés en que se plantea el préstamo inicial por un "&amp;TEXT(D54,"#,##%")&amp;", y la TIR del proyecto que supone un "&amp;TEXT(G10,"#,##%")&amp;", no parece suficientemente coherente, ya que para poder ser financieramente interesante debería ser mayor la TIR, por lo que deberá incrementarla aumentando los ingresos del proyecto, en cualquier caso siempre es bueno conocerlo realizando su cálculo.")</f>
        <v>La diferencia entre el tipo de interés en que se plantea el préstamo inicial por un 6,6%, y la TIR del proyecto que supone un 20,58%, no parece suficientemente coherente, ya que para poder ser financieramente interesante debería ser mayor la TIR, por lo que deberá incrementarla aumentando los ingresos del proyecto, en cualquier caso siempre es bueno conocerlo realizando su cálculo.</v>
      </c>
      <c r="D190" s="217"/>
      <c r="E190" s="217"/>
      <c r="F190" s="217"/>
      <c r="G190" s="217"/>
      <c r="H190" s="217"/>
      <c r="I190" s="217"/>
      <c r="J190" s="217"/>
      <c r="K190" s="217"/>
      <c r="L190" s="217"/>
    </row>
    <row r="191" spans="1:12" s="125" customFormat="1" ht="52.5" customHeight="1">
      <c r="A191" s="124" t="s">
        <v>165</v>
      </c>
      <c r="B191" s="126">
        <f>+I55-H55</f>
        <v>3387.12</v>
      </c>
      <c r="C191" s="217" t="str">
        <f>CONCATENATE("Existen diferencias significativas, por importe de "&amp;TEXT(B191,"#.###,##")&amp;" € a corregir. Así la cifra aportada en el cuadro de CUENTAS DE RESULTADOS por años, en su primer año es de "&amp;TEXT(I55,"#.###,##")&amp;" € como cuota anual de un préstamo con carencia en los 12 primeros meses, a un tipo de interés de "&amp;TEXT(D54,"#,##%")&amp;", y la que realmente debería ser una vez calcula, sería de "&amp;TEXT(H55,"#.###,##")&amp;" €, para los 12 primeros meses. Deberá repasar igualmente el resto de periodos, si procede, para que no existan estas diferencias en el resto de años que se presentan, recuerde sólo hay "&amp;TEXT(D55,"#")&amp;" meses de carencia.")</f>
        <v>Existen diferencias significativas, por importe de 3.387,12 € a corregir. Así la cifra aportada en el cuadro de CUENTAS DE RESULTADOS por años, en su primer año es de 4.707,12 € como cuota anual de un préstamo con carencia en los 12 primeros meses, a un tipo de interés de 6,6%, y la que realmente debería ser una vez calcula, sería de 1.320, €, para los 12 primeros meses. Deberá repasar igualmente el resto de periodos, si procede, para que no existan estas diferencias en el resto de años que se presentan, recuerde sólo hay  meses de carencia.</v>
      </c>
      <c r="D191" s="217"/>
      <c r="E191" s="217"/>
      <c r="F191" s="217"/>
      <c r="G191" s="217"/>
      <c r="H191" s="217"/>
      <c r="I191" s="217"/>
      <c r="J191" s="217"/>
      <c r="K191" s="217"/>
      <c r="L191" s="217"/>
    </row>
    <row r="192" spans="1:12" s="125" customFormat="1" ht="50.25" customHeight="1">
      <c r="A192" s="124" t="s">
        <v>165</v>
      </c>
      <c r="B192" s="126">
        <f>+I56-H56</f>
        <v>-5.3074477546033449E-3</v>
      </c>
      <c r="C192" s="217" t="str">
        <f>CONCATENATE("Existen diferencias significativas, por importe de "&amp;TEXT(B192,"#.###,##")&amp;" € a corregir. Así la cifra aportada en el cuadro de CUENTAS DE RESULTADOS por años, en su primer año es de "&amp;TEXT(I56,"#.###,##")&amp;" € como cuota anual de un préstamo sin carencia en los 12 primeros meses, a un tipo de interés de "&amp;TEXT(D54,"#,##%")&amp;", y la que realmente debería ser una vez calcula, sería de "&amp;TEXT(H56,"#.###,##")&amp;" €, para los 12 primeros meses. Deberá repasar igualmente el resto de periodos, para que no existan estas diferencias en el resto de años que se presentan.")</f>
        <v>Existen diferencias significativas, por importe de -,01 € a corregir. Así la cifra aportada en el cuadro de CUENTAS DE RESULTADOS por años, en su primer año es de 4.707,12 € como cuota anual de un préstamo sin carencia en los 12 primeros meses, a un tipo de interés de 6,6%, y la que realmente debería ser una vez calcula, sería de 4.707,13 €, para los 12 primeros meses. Deberá repasar igualmente el resto de periodos, para que no existan estas diferencias en el resto de años que se presentan.</v>
      </c>
      <c r="D192" s="217"/>
      <c r="E192" s="217"/>
      <c r="F192" s="217"/>
      <c r="G192" s="217"/>
      <c r="H192" s="217"/>
      <c r="I192" s="217"/>
      <c r="J192" s="217"/>
      <c r="K192" s="217"/>
      <c r="L192" s="217"/>
    </row>
    <row r="193" spans="1:12">
      <c r="A193" s="90"/>
      <c r="B193" s="146" t="s">
        <v>187</v>
      </c>
      <c r="C193" t="str">
        <f>+B193</f>
        <v>PREVISIÓN</v>
      </c>
    </row>
    <row r="194" spans="1:12">
      <c r="A194" s="90" t="s">
        <v>167</v>
      </c>
      <c r="C194" t="s">
        <v>188</v>
      </c>
    </row>
    <row r="195" spans="1:12" ht="30" customHeight="1">
      <c r="A195" s="90" t="s">
        <v>165</v>
      </c>
      <c r="B195" s="151">
        <f>+C28</f>
        <v>75000</v>
      </c>
      <c r="C195" s="218" t="s">
        <v>189</v>
      </c>
      <c r="D195" s="218"/>
      <c r="E195" s="218"/>
      <c r="F195" s="218"/>
      <c r="G195" s="218"/>
      <c r="H195" s="218"/>
      <c r="I195" s="218"/>
      <c r="J195" s="218"/>
      <c r="K195" s="218"/>
      <c r="L195" s="218"/>
    </row>
    <row r="196" spans="1:12" ht="30" customHeight="1">
      <c r="A196" s="90" t="s">
        <v>165</v>
      </c>
      <c r="B196" s="151">
        <f>+C29</f>
        <v>0</v>
      </c>
      <c r="C196" s="218" t="s">
        <v>190</v>
      </c>
      <c r="D196" s="218"/>
      <c r="E196" s="218"/>
      <c r="F196" s="218"/>
      <c r="G196" s="218"/>
      <c r="H196" s="218"/>
      <c r="I196" s="218"/>
      <c r="J196" s="218"/>
      <c r="K196" s="218"/>
      <c r="L196" s="218"/>
    </row>
    <row r="197" spans="1:12" ht="32.25" customHeight="1">
      <c r="A197" s="90" t="s">
        <v>167</v>
      </c>
      <c r="C197" s="218" t="s">
        <v>191</v>
      </c>
      <c r="D197" s="218"/>
      <c r="E197" s="218"/>
      <c r="F197" s="218"/>
      <c r="G197" s="218"/>
      <c r="H197" s="218"/>
      <c r="I197" s="218"/>
      <c r="J197" s="218"/>
      <c r="K197" s="218"/>
      <c r="L197" s="218"/>
    </row>
    <row r="198" spans="1:12" s="125" customFormat="1" ht="30" customHeight="1">
      <c r="A198" s="124" t="s">
        <v>167</v>
      </c>
      <c r="B198" s="126"/>
      <c r="C198" s="217" t="s">
        <v>192</v>
      </c>
      <c r="D198" s="217"/>
      <c r="E198" s="217"/>
      <c r="F198" s="217"/>
      <c r="G198" s="217"/>
      <c r="H198" s="217"/>
      <c r="I198" s="217"/>
      <c r="J198" s="217"/>
      <c r="K198" s="217"/>
      <c r="L198" s="217"/>
    </row>
    <row r="199" spans="1:12" s="125" customFormat="1" ht="36" customHeight="1">
      <c r="A199" s="124" t="s">
        <v>165</v>
      </c>
      <c r="B199" s="151">
        <f>+E29</f>
        <v>0</v>
      </c>
      <c r="C199" s="217" t="str">
        <f>CONCATENATE("El capital comprometido por los socios es de "&amp;TEXT(C28,"#.###,##")&amp;" €, superando el autorizado por la actividad y establecido en la pestaña INICIO, por lo que éste no debería sobrepasae el importe de "&amp;TEXT(B199,"#.###,##")&amp;" €. Repase los porcentajes de financiación ajena y compruebe que esta no supera el 70% de la financiación total")</f>
        <v>El capital comprometido por los socios es de 75.000, €, superando el autorizado por la actividad y establecido en la pestaña INICIO, por lo que éste no debería sobrepasae el importe de , €. Repase los porcentajes de financiación ajena y compruebe que esta no supera el 70% de la financiación total</v>
      </c>
      <c r="D199" s="217"/>
      <c r="E199" s="217"/>
      <c r="F199" s="217"/>
      <c r="G199" s="217"/>
      <c r="H199" s="217"/>
      <c r="I199" s="217"/>
      <c r="J199" s="217"/>
      <c r="K199" s="217"/>
      <c r="L199" s="217"/>
    </row>
    <row r="200" spans="1:12" s="125" customFormat="1">
      <c r="A200" s="124" t="s">
        <v>165</v>
      </c>
      <c r="B200" s="132">
        <f>-70%-D31</f>
        <v>-0.91052631578947363</v>
      </c>
      <c r="C200" s="217" t="str">
        <f>CONCATENATE("El porcentaje de Financiación Ajena no atiende a la recomendación de no superar el 70% sobre el total de la financiación de la actividad. Este debería reducirse en al menos un  "&amp;TEXT(B200,"#,##%")&amp;"")</f>
        <v>El porcentaje de Financiación Ajena no atiende a la recomendación de no superar el 70% sobre el total de la financiación de la actividad. Este debería reducirse en al menos un  -91,05%</v>
      </c>
      <c r="D200" s="217"/>
      <c r="E200" s="217"/>
      <c r="F200" s="217"/>
      <c r="G200" s="217"/>
      <c r="H200" s="217"/>
      <c r="I200" s="217"/>
      <c r="J200" s="217"/>
      <c r="K200" s="217"/>
      <c r="L200" s="217"/>
    </row>
    <row r="201" spans="1:12" s="125" customFormat="1" ht="30" customHeight="1">
      <c r="A201" s="124" t="s">
        <v>165</v>
      </c>
      <c r="B201" s="126">
        <f>+H20</f>
        <v>-1968</v>
      </c>
      <c r="C201" s="217" t="str">
        <f>CONCATENATE("Existen diferencias significativas, por importe de "&amp;TEXT(B201,"#.###,##")&amp;" € a corregir. Ésta se debe a que la cifra aportada como Seguridad Social a cargo de la empresa debería suponer al menos un 40% de la partida de Sueldos y Salarios."&amp;"Repáselo en la CUENTA DE RESULTADOS por años y en la de TESORERÍA PREVISIONAL ya que debería haber coresponcidencia entre ambos datos para cada uno de los años ")</f>
        <v xml:space="preserve">Existen diferencias significativas, por importe de -1.968, € a corregir. Ésta se debe a que la cifra aportada como Seguridad Social a cargo de la empresa debería suponer al menos un 40% de la partida de Sueldos y Salarios.Repáselo en la CUENTA DE RESULTADOS por años y en la de TESORERÍA PREVISIONAL ya que debería haber coresponcidencia entre ambos datos para cada uno de los años </v>
      </c>
      <c r="D201" s="217"/>
      <c r="E201" s="217"/>
      <c r="F201" s="217"/>
      <c r="G201" s="217"/>
      <c r="H201" s="217"/>
      <c r="I201" s="217"/>
      <c r="J201" s="217"/>
      <c r="K201" s="217"/>
      <c r="L201" s="217"/>
    </row>
    <row r="202" spans="1:12" s="125" customFormat="1" ht="48" customHeight="1">
      <c r="A202" s="124" t="s">
        <v>165</v>
      </c>
      <c r="B202" s="126">
        <f ca="1">+F34</f>
        <v>-7510</v>
      </c>
      <c r="C202" s="217" t="str">
        <f ca="1">CONCATENATE("Existen diferencias significativas, por importe de "&amp;TEXT(B202,"#.###,##")&amp;" € a corregir. Ésta se debe a la cifra aportada para el primer año, en el apartado de ventas del CUADRO DE RESULTADOS PREVISIONALES, con un importe anual de "&amp;TEXT(D34,"#.###,##")&amp;" €  y la aportada en el cuadro de CUENTAS DE TESORERÍA PREVISIONAL, correspondientes al primero de los años, cuyo importe se ha asignado con "&amp;TEXT(E34,"#.###,##")&amp;" €. Deberá repasar igualmente el resto de periodos, para que no existan estas diferencias en el resto de años que se presentan.")</f>
        <v>Existen diferencias significativas, por importe de -7.510, € a corregir. Ésta se debe a la cifra aportada para el primer año, en el apartado de ventas del CUADRO DE RESULTADOS PREVISIONALES, con un importe anual de 13.625,5 €  y la aportada en el cuadro de CUENTAS DE TESORERÍA PREVISIONAL, correspondientes al primero de los años, cuyo importe se ha asignado con 21.135,5 €. Deberá repasar igualmente el resto de periodos, para que no existan estas diferencias en el resto de años que se presentan.</v>
      </c>
      <c r="D202" s="217"/>
      <c r="E202" s="217"/>
      <c r="F202" s="217"/>
      <c r="G202" s="217"/>
      <c r="H202" s="217"/>
      <c r="I202" s="217"/>
      <c r="J202" s="217"/>
      <c r="K202" s="217"/>
      <c r="L202" s="217"/>
    </row>
    <row r="203" spans="1:12" s="125" customFormat="1" ht="48" customHeight="1">
      <c r="A203" s="124" t="s">
        <v>165</v>
      </c>
      <c r="B203" s="126">
        <f>+F35</f>
        <v>0</v>
      </c>
      <c r="C203" s="217" t="str">
        <f>CONCATENATE("Existen diferencias significativas, por importe de "&amp;TEXT(B203,"#.###,##")&amp;" € a corregir. Ésta se debe a la cifra aportada en el apartado de sueldos del CUADRO DE RESULTADOS PREVISIONALES, con un importe anual de "&amp;TEXT(D35,"#.###,##")&amp;" € y la aportada en el cuadro de CUENTAS DE TESORERÍA PREVISIONAL, correspondientes al primero de los años, cuyo importe se ha asignado con "&amp;TEXT(E35,"#.###,##")&amp;" €. Deberá repasar igualmente el resto de periodos, para que no existan estas diferencias en el resto de años que se presentan.")</f>
        <v>Existen diferencias significativas, por importe de , € a corregir. Ésta se debe a la cifra aportada en el apartado de sueldos del CUADRO DE RESULTADOS PREVISIONALES, con un importe anual de 12.000, € y la aportada en el cuadro de CUENTAS DE TESORERÍA PREVISIONAL, correspondientes al primero de los años, cuyo importe se ha asignado con 12.000, €. Deberá repasar igualmente el resto de periodos, para que no existan estas diferencias en el resto de años que se presentan.</v>
      </c>
      <c r="D203" s="217"/>
      <c r="E203" s="217"/>
      <c r="F203" s="217"/>
      <c r="G203" s="217"/>
      <c r="H203" s="217"/>
      <c r="I203" s="217"/>
      <c r="J203" s="217"/>
      <c r="K203" s="217"/>
      <c r="L203" s="217"/>
    </row>
    <row r="204" spans="1:12" s="125" customFormat="1" ht="48" customHeight="1">
      <c r="A204" s="124" t="s">
        <v>165</v>
      </c>
      <c r="B204" s="126">
        <f>+F36</f>
        <v>0</v>
      </c>
      <c r="C204" s="217" t="str">
        <f>CONCATENATE("Existen diferencias significativas, por importe de "&amp;TEXT(B204,"#.###,##")&amp;" € a corregir. Ésta se debe a la cifra aportada en el apartado de arrendamientos del CUADRO DE RESULTADOS PREVISIONALES, con un importe anual de "&amp;TEXT(D36,"#.###,##")&amp;" € y la aportada en el cuadro de CUENTAS DE TESORERÍA PREVISIONAL, correspondientes al primero de los años, cuyo importe se ha asignado con "&amp;TEXT(E36,"#.###,##")&amp;" €. Deberá repasar igualmente el resto de periodos, para que no existan estas diferencias en el resto de años que se presentan.")</f>
        <v>Existen diferencias significativas, por importe de , € a corregir. Ésta se debe a la cifra aportada en el apartado de arrendamientos del CUADRO DE RESULTADOS PREVISIONALES, con un importe anual de , € y la aportada en el cuadro de CUENTAS DE TESORERÍA PREVISIONAL, correspondientes al primero de los años, cuyo importe se ha asignado con , €. Deberá repasar igualmente el resto de periodos, para que no existan estas diferencias en el resto de años que se presentan.</v>
      </c>
      <c r="D204" s="217"/>
      <c r="E204" s="217"/>
      <c r="F204" s="217"/>
      <c r="G204" s="217"/>
      <c r="H204" s="217"/>
      <c r="I204" s="217"/>
      <c r="J204" s="217"/>
      <c r="K204" s="217"/>
      <c r="L204" s="217"/>
    </row>
    <row r="205" spans="1:12" s="125" customFormat="1" ht="48" customHeight="1">
      <c r="A205" s="124" t="s">
        <v>165</v>
      </c>
      <c r="B205" s="126">
        <f>+F37</f>
        <v>0</v>
      </c>
      <c r="C205" s="217" t="str">
        <f>CONCATENATE("Existen diferencias significativas, por importe de "&amp;TEXT(B205,"#.###,##")&amp;" € a corregir. Ésta se debe a la cifra aportada en el apartado de reparaciones y conservación del CUADRO DE RESULTADOS PREVISIONALES, con un importe anual de "&amp;TEXT(D37,"#.###,##")&amp;" € y la aportada en el cuadro de CUENTAS DE TESORERÍA PREVISIONAL, correspondientes al primero de los años, cuyo importe se ha asignado con "&amp;TEXT(E37,"#.###,##")&amp;" €. Deberá repasar igualmente el resto de periodos, para que no existan estas diferencias en el resto de años que se presentan.")</f>
        <v>Existen diferencias significativas, por importe de , € a corregir. Ésta se debe a la cifra aportada en el apartado de reparaciones y conservación del CUADRO DE RESULTADOS PREVISIONALES, con un importe anual de 1.797,5 € y la aportada en el cuadro de CUENTAS DE TESORERÍA PREVISIONAL, correspondientes al primero de los años, cuyo importe se ha asignado con 1.797,5 €. Deberá repasar igualmente el resto de periodos, para que no existan estas diferencias en el resto de años que se presentan.</v>
      </c>
      <c r="D205" s="217"/>
      <c r="E205" s="217"/>
      <c r="F205" s="217"/>
      <c r="G205" s="217"/>
      <c r="H205" s="217"/>
      <c r="I205" s="217"/>
      <c r="J205" s="217"/>
      <c r="K205" s="217"/>
      <c r="L205" s="217"/>
    </row>
    <row r="206" spans="1:12" s="125" customFormat="1" ht="48" customHeight="1">
      <c r="A206" s="124" t="s">
        <v>165</v>
      </c>
      <c r="B206" s="126">
        <f>+F38</f>
        <v>0</v>
      </c>
      <c r="C206" s="217" t="str">
        <f>CONCATENATE("Existen diferencias significativas, por importe de "&amp;TEXT(B206,"#.###,##")&amp;" € a corregir. Ésta se debe a la cifra aportada en el apartado de servicios profesionales independientes del CUADRO DE RESULTADOS PREVISIONALES, con un importe anual de "&amp;TEXT(D38,"#.###,##")&amp;" € y la aportada en el cuadro de CUENTAS DE TESORERÍA PREVISIONAL, correspondientes al primero de los años, cuyo importe se ha asignado con "&amp;TEXT(E38,"#.###,##")&amp;" €. Deberá repasar igualmente el resto de periodos, para que no existan estas diferencias en el resto de años que se presentan.")</f>
        <v>Existen diferencias significativas, por importe de , € a corregir. Ésta se debe a la cifra aportada en el apartado de servicios profesionales independientes del CUADRO DE RESULTADOS PREVISIONALES, con un importe anual de 400, € y la aportada en el cuadro de CUENTAS DE TESORERÍA PREVISIONAL, correspondientes al primero de los años, cuyo importe se ha asignado con 400, €. Deberá repasar igualmente el resto de periodos, para que no existan estas diferencias en el resto de años que se presentan.</v>
      </c>
      <c r="D206" s="217"/>
      <c r="E206" s="217"/>
      <c r="F206" s="217"/>
      <c r="G206" s="217"/>
      <c r="H206" s="217"/>
      <c r="I206" s="217"/>
      <c r="J206" s="217"/>
      <c r="K206" s="217"/>
      <c r="L206" s="217"/>
    </row>
    <row r="207" spans="1:12" s="125" customFormat="1" ht="48" customHeight="1">
      <c r="A207" s="124" t="s">
        <v>165</v>
      </c>
      <c r="B207" s="126">
        <f t="shared" ref="B207:B210" si="10">+F39</f>
        <v>0</v>
      </c>
      <c r="C207" s="217" t="str">
        <f>CONCATENATE("Existen diferencias significativas, por importe de "&amp;TEXT(B207,"#.###,##")&amp;" € a corregir. Ésta se debe a la cifra aportada en el apartado de Transportes del CUADRO DE RESULTADOS PREVISIONALES, con un importe anual de "&amp;TEXT(D39,"#.###,##")&amp;" € y la aportada en el cuadro de CUENTAS DE TESORERÍA PREVISIONAL, correspondientes al primero de los años, cuyo importe se ha asignado con "&amp;TEXT(E39,"#.###,##")&amp;" €. Deberá repasar igualmente el resto de periodos, para que no existan estas diferencias en el resto de años que se presentan.")</f>
        <v>Existen diferencias significativas, por importe de , € a corregir. Ésta se debe a la cifra aportada en el apartado de Transportes del CUADRO DE RESULTADOS PREVISIONALES, con un importe anual de 250, € y la aportada en el cuadro de CUENTAS DE TESORERÍA PREVISIONAL, correspondientes al primero de los años, cuyo importe se ha asignado con 250, €. Deberá repasar igualmente el resto de periodos, para que no existan estas diferencias en el resto de años que se presentan.</v>
      </c>
      <c r="D207" s="217"/>
      <c r="E207" s="217"/>
      <c r="F207" s="217"/>
      <c r="G207" s="217"/>
      <c r="H207" s="217"/>
      <c r="I207" s="217"/>
      <c r="J207" s="217"/>
      <c r="K207" s="217"/>
      <c r="L207" s="217"/>
    </row>
    <row r="208" spans="1:12" s="125" customFormat="1" ht="48" customHeight="1">
      <c r="A208" s="124" t="s">
        <v>165</v>
      </c>
      <c r="B208" s="126">
        <f t="shared" si="10"/>
        <v>0</v>
      </c>
      <c r="C208" s="217" t="str">
        <f>CONCATENATE("Existen diferencias significativas, por importe de "&amp;TEXT(B208,"#.###,##")&amp;" € a corregir. Ésta se debe a la cifra aportada en el apartado de primas de seguro del CUADRO DE RESULTADOS PREVISIONALES, con un importe anual de "&amp;TEXT(D40,"#.###,##")&amp;" € y la aportada en el cuadro de CUENTAS DE TESORERÍA PREVISIONAL, correspondientes al primero de los años, cuyo importe se ha asignado con "&amp;TEXT(E40,"#.###,##")&amp;" €. Deberá repasar igualmente el resto de periodos, para que no existan estas diferencias en el resto de años que se presentan.")</f>
        <v>Existen diferencias significativas, por importe de , € a corregir. Ésta se debe a la cifra aportada en el apartado de primas de seguro del CUADRO DE RESULTADOS PREVISIONALES, con un importe anual de 1.250, € y la aportada en el cuadro de CUENTAS DE TESORERÍA PREVISIONAL, correspondientes al primero de los años, cuyo importe se ha asignado con 1.250, €. Deberá repasar igualmente el resto de periodos, para que no existan estas diferencias en el resto de años que se presentan.</v>
      </c>
      <c r="D208" s="217"/>
      <c r="E208" s="217"/>
      <c r="F208" s="217"/>
      <c r="G208" s="217"/>
      <c r="H208" s="217"/>
      <c r="I208" s="217"/>
      <c r="J208" s="217"/>
      <c r="K208" s="217"/>
      <c r="L208" s="217"/>
    </row>
    <row r="209" spans="1:12" s="125" customFormat="1" ht="48" customHeight="1">
      <c r="A209" s="124" t="s">
        <v>165</v>
      </c>
      <c r="B209" s="126">
        <f t="shared" si="10"/>
        <v>0</v>
      </c>
      <c r="C209" s="217" t="str">
        <f>CONCATENATE("Existen diferencias significativas, por importe de "&amp;TEXT(B209,"#.###,##")&amp;" € a corregir. Ésta se debe a la cifra aportada en el apartado de servicios bancarios del CUADRO DE RESULTADOS PREVISIONALES, con un importe anual de "&amp;TEXT(D41,"#.###,##")&amp;" € , y la aportada en el cuadro de CUENTAS DE TESORERÍA PREVISIONAL, correspondientes al primero de los años, cuyo importe se ha asignado con "&amp;TEXT(E41,"#.###,##")&amp;" €. Deberá repasar igualmente el resto de periodos, para que no existan estas diferencias en el resto de años que se presentan.")</f>
        <v>Existen diferencias significativas, por importe de , € a corregir. Ésta se debe a la cifra aportada en el apartado de servicios bancarios del CUADRO DE RESULTADOS PREVISIONALES, con un importe anual de 550, € , y la aportada en el cuadro de CUENTAS DE TESORERÍA PREVISIONAL, correspondientes al primero de los años, cuyo importe se ha asignado con 550, €. Deberá repasar igualmente el resto de periodos, para que no existan estas diferencias en el resto de años que se presentan.</v>
      </c>
      <c r="D209" s="217"/>
      <c r="E209" s="217"/>
      <c r="F209" s="217"/>
      <c r="G209" s="217"/>
      <c r="H209" s="217"/>
      <c r="I209" s="217"/>
      <c r="J209" s="217"/>
      <c r="K209" s="217"/>
      <c r="L209" s="217"/>
    </row>
    <row r="210" spans="1:12" s="125" customFormat="1" ht="48" customHeight="1">
      <c r="A210" s="124" t="s">
        <v>165</v>
      </c>
      <c r="B210" s="126">
        <f t="shared" si="10"/>
        <v>637.5</v>
      </c>
      <c r="C210" s="217" t="str">
        <f>CONCATENATE("Existen diferencias significativas, por importe de "&amp;TEXT(B210,"#.###,##")&amp;" € a corregir. Ésta se debe a la cifra aportada en el apartado de publicidad y promociones del CUADRO DE RESULTADOS PREVISIONALES, con un importe anual de "&amp;TEXT(D42,"#.###,##")&amp;" € , y la aportada en el cuadro de CUENTAS DE TESORERÍA PREVISIONAL, correspondientes al primero de los años, cuyo importe se ha asignado con "&amp;TEXT(E42,"#.###,##")&amp;" €. Deberá repasar igualmente el resto de periodos, para que no existan estas diferencias en el resto de años que se presentan.")</f>
        <v>Existen diferencias significativas, por importe de 637,5 € a corregir. Ésta se debe a la cifra aportada en el apartado de publicidad y promociones del CUADRO DE RESULTADOS PREVISIONALES, con un importe anual de 8.850, € , y la aportada en el cuadro de CUENTAS DE TESORERÍA PREVISIONAL, correspondientes al primero de los años, cuyo importe se ha asignado con 8.212,5 €. Deberá repasar igualmente el resto de periodos, para que no existan estas diferencias en el resto de años que se presentan.</v>
      </c>
      <c r="D210" s="217"/>
      <c r="E210" s="217"/>
      <c r="F210" s="217"/>
      <c r="G210" s="217"/>
      <c r="H210" s="217"/>
      <c r="I210" s="217"/>
      <c r="J210" s="217"/>
      <c r="K210" s="217"/>
      <c r="L210" s="217"/>
    </row>
    <row r="211" spans="1:12" s="125" customFormat="1" ht="48" customHeight="1">
      <c r="A211" s="124" t="s">
        <v>165</v>
      </c>
      <c r="B211" s="126">
        <f>+F43</f>
        <v>2000</v>
      </c>
      <c r="C211" s="217" t="str">
        <f>CONCATENATE("Existen diferencias significativas, por importe de "&amp;TEXT(B211,"#.###,##")&amp;" € a corregir. Ésta se debe a la cifra aportada en el apartado de Suministros del CUADRO DE RESULTADOS PREVISIONALES, con un importe anual de "&amp;TEXT(D43,"#.###,##")&amp;" € , y la aportada en el cuadro de CUENTAS DE TESORERÍA PREVISIONAL, correspondientes al primero de los años, cuyo importe se ha asignado con "&amp;TEXT(E43,"#.###,##")&amp;" €. Deberá repasar igualmente el resto de periodos, para que no existan estas diferencias en el resto de años que se presentan.")</f>
        <v>Existen diferencias significativas, por importe de 2.000, € a corregir. Ésta se debe a la cifra aportada en el apartado de Suministros del CUADRO DE RESULTADOS PREVISIONALES, con un importe anual de 2.000, € , y la aportada en el cuadro de CUENTAS DE TESORERÍA PREVISIONAL, correspondientes al primero de los años, cuyo importe se ha asignado con , €. Deberá repasar igualmente el resto de periodos, para que no existan estas diferencias en el resto de años que se presentan.</v>
      </c>
      <c r="D211" s="217"/>
      <c r="E211" s="217"/>
      <c r="F211" s="217"/>
      <c r="G211" s="217"/>
      <c r="H211" s="217"/>
      <c r="I211" s="217"/>
      <c r="J211" s="217"/>
      <c r="K211" s="217"/>
      <c r="L211" s="217"/>
    </row>
    <row r="212" spans="1:12" s="125" customFormat="1" ht="48" customHeight="1">
      <c r="A212" s="124" t="s">
        <v>165</v>
      </c>
      <c r="B212" s="126">
        <f ca="1">+F49</f>
        <v>73310.12</v>
      </c>
      <c r="C212" s="217" t="str">
        <f ca="1">CONCATENATE("Existen diferencias significativas, por importe de "&amp;TEXT(B212,"#.###,##")&amp;" € a corregir. Ésta se debe a la cifra aportada en el apartado de Costes Totales de Producción del CUADRO DE RESULTADOS PREVISIONALES, con un importe anual de "&amp;TEXT(D49,"#.###,##")&amp;" € y la aportada en el cuadro de RESULTADOS POR PRODUCTOS, apartado de Costes Totales en su columna de TOTAL, correspondientes al primero de los años, cuyo importe se ha asignado con "&amp;TEXT(E49,"#.###,##")&amp;" €. Deberá repasar igualmente el resto de periodos, para que no existan estas diferencias en el resto de años que se presentan.")</f>
        <v>Existen diferencias significativas, por importe de 73.310,12 € a corregir. Ésta se debe a la cifra aportada en el apartado de Costes Totales de Producción del CUADRO DE RESULTADOS PREVISIONALES, con un importe anual de 80.820,12 € y la aportada en el cuadro de RESULTADOS POR PRODUCTOS, apartado de Costes Totales en su columna de TOTAL, correspondientes al primero de los años, cuyo importe se ha asignado con 7.510, €. Deberá repasar igualmente el resto de periodos, para que no existan estas diferencias en el resto de años que se presentan.</v>
      </c>
      <c r="D212" s="217"/>
      <c r="E212" s="217"/>
      <c r="F212" s="217"/>
      <c r="G212" s="217"/>
      <c r="H212" s="217"/>
      <c r="I212" s="217"/>
      <c r="J212" s="217"/>
      <c r="K212" s="217"/>
      <c r="L212" s="217"/>
    </row>
    <row r="213" spans="1:12" s="125" customFormat="1" ht="48" customHeight="1">
      <c r="A213" s="124" t="s">
        <v>165</v>
      </c>
      <c r="B213" s="126">
        <f ca="1">+F49</f>
        <v>73310.12</v>
      </c>
      <c r="C213" s="217" t="str">
        <f ca="1">CONCATENATE("Existen diferencias significativas, por importe de "&amp;TEXT(B213,"#.###,##")&amp;" € a corregir. Ésta se debe a la cifra aportada en el apartado de Costes Totales de Producción del CUADRO DE RESULTADOS PREVISIONALES, con un importe anual de "&amp;TEXT(G49,"#.###,##")&amp;" € y la aportada en el cuadro de RESULTADOS POR PRODUCTOS, apartado de Costes Totales en su columna de TOTAL, correspondientes al segundo de los años, cuyo importe se ha asignado con "&amp;TEXT(H50,"#.###,##")&amp;" €. Deberá repasar igualmente el resto de periodos, para que no existan estas diferencias en el resto de años que se presentan.")</f>
        <v>Existen diferencias significativas, por importe de 73.310,12 € a corregir. Ésta se debe a la cifra aportada en el apartado de Costes Totales de Producción del CUADRO DE RESULTADOS PREVISIONALES, con un importe anual de 47.964,22 € y la aportada en el cuadro de RESULTADOS POR PRODUCTOS, apartado de Costes Totales en su columna de TOTAL, correspondientes al segundo de los años, cuyo importe se ha asignado con 21.389,6 €. Deberá repasar igualmente el resto de periodos, para que no existan estas diferencias en el resto de años que se presentan.</v>
      </c>
      <c r="D213" s="217"/>
      <c r="E213" s="217"/>
      <c r="F213" s="217"/>
      <c r="G213" s="217"/>
      <c r="H213" s="217"/>
      <c r="I213" s="217"/>
      <c r="J213" s="217"/>
      <c r="K213" s="217"/>
      <c r="L213" s="217"/>
    </row>
    <row r="214" spans="1:12" s="125" customFormat="1">
      <c r="A214" s="124" t="s">
        <v>167</v>
      </c>
      <c r="B214" s="126">
        <f ca="1">+SUM(B202:B213)</f>
        <v>141747.74</v>
      </c>
      <c r="C214" s="217" t="str">
        <f>CONCATENATE("Igualmente deberían comprobar que no existen diferencias en los datos que aparecen en los cuadros y conceptos anteriores con los expresados en el cuadro de RESULTADOS POR productos y por años de la pestaña de UMBRAL, a la que ahora analizaremos.")</f>
        <v>Igualmente deberían comprobar que no existen diferencias en los datos que aparecen en los cuadros y conceptos anteriores con los expresados en el cuadro de RESULTADOS POR productos y por años de la pestaña de UMBRAL, a la que ahora analizaremos.</v>
      </c>
      <c r="D214" s="217"/>
      <c r="E214" s="217"/>
      <c r="F214" s="217"/>
      <c r="G214" s="217"/>
      <c r="H214" s="217"/>
      <c r="I214" s="217"/>
      <c r="J214" s="217"/>
      <c r="K214" s="217"/>
      <c r="L214" s="217"/>
    </row>
    <row r="215" spans="1:12">
      <c r="A215" s="90"/>
      <c r="B215" s="147" t="s">
        <v>193</v>
      </c>
      <c r="C215" t="str">
        <f>+B215</f>
        <v>UMBRAL</v>
      </c>
    </row>
    <row r="216" spans="1:12">
      <c r="A216" s="90" t="s">
        <v>165</v>
      </c>
      <c r="B216" s="149"/>
      <c r="C216" t="s">
        <v>194</v>
      </c>
    </row>
    <row r="217" spans="1:12">
      <c r="A217" s="90" t="s">
        <v>167</v>
      </c>
      <c r="B217" s="122">
        <f ca="1">+J19</f>
        <v>0</v>
      </c>
      <c r="C217" s="218" t="s">
        <v>195</v>
      </c>
      <c r="D217" s="218"/>
      <c r="E217" s="218"/>
      <c r="F217" s="218"/>
      <c r="G217" s="218"/>
      <c r="H217" s="218"/>
      <c r="I217" s="218"/>
      <c r="J217" s="218"/>
      <c r="K217" s="218"/>
      <c r="L217" s="218"/>
    </row>
    <row r="218" spans="1:12">
      <c r="A218" s="90" t="s">
        <v>167</v>
      </c>
      <c r="B218" s="122">
        <f>+K19</f>
        <v>0</v>
      </c>
      <c r="C218" s="218" t="s">
        <v>196</v>
      </c>
      <c r="D218" s="218"/>
      <c r="E218" s="218"/>
      <c r="F218" s="218"/>
      <c r="G218" s="218"/>
      <c r="H218" s="218"/>
      <c r="I218" s="218"/>
      <c r="J218" s="218"/>
      <c r="K218" s="218"/>
      <c r="L218" s="218"/>
    </row>
    <row r="219" spans="1:12">
      <c r="A219" s="90" t="s">
        <v>167</v>
      </c>
      <c r="B219" s="122">
        <f>+L19</f>
        <v>0</v>
      </c>
      <c r="C219" s="218" t="s">
        <v>197</v>
      </c>
      <c r="D219" s="218"/>
      <c r="E219" s="218"/>
      <c r="F219" s="218"/>
      <c r="G219" s="218"/>
      <c r="H219" s="218"/>
      <c r="I219" s="218"/>
      <c r="J219" s="218"/>
      <c r="K219" s="218"/>
      <c r="L219" s="218"/>
    </row>
    <row r="220" spans="1:12" ht="30.75" customHeight="1">
      <c r="A220" s="90" t="s">
        <v>165</v>
      </c>
      <c r="B220" s="123">
        <f ca="1">+J19</f>
        <v>0</v>
      </c>
      <c r="C220" s="218" t="str">
        <f ca="1">"Repase las unidades de producto asignadas en el cuadro de RESULTADOS POR PRODUCTOS por años y el desagregado por meses. Así del producto 1, quedan por asignar "&amp;J19&amp;" unidades en el primer año. En el año segundo, quedan por asignar "&amp;K19&amp;" unidades..."</f>
        <v>Repase las unidades de producto asignadas en el cuadro de RESULTADOS POR PRODUCTOS por años y el desagregado por meses. Así del producto 1, quedan por asignar 0 unidades en el primer año. En el año segundo, quedan por asignar 0 unidades...</v>
      </c>
      <c r="D220" s="218"/>
      <c r="E220" s="218"/>
      <c r="F220" s="218"/>
      <c r="G220" s="218"/>
      <c r="H220" s="218"/>
      <c r="I220" s="218"/>
      <c r="J220" s="218"/>
      <c r="K220" s="218"/>
      <c r="L220" s="218"/>
    </row>
    <row r="221" spans="1:12" ht="31.5" customHeight="1">
      <c r="A221" s="90" t="s">
        <v>165</v>
      </c>
      <c r="B221" s="123">
        <f>+J20</f>
        <v>0</v>
      </c>
      <c r="C221" s="218" t="str">
        <f>"Repase las unidades de producto asignadas en el cuadro de RESULTADOS POR PRODUCTOS por años y el desagregado por meses. Así del producto 2, quedan por asignar "&amp;J20&amp;" unidades en el primer año. En el año segundo, quedan por asignar "&amp;K20&amp;" unidades..."</f>
        <v>Repase las unidades de producto asignadas en el cuadro de RESULTADOS POR PRODUCTOS por años y el desagregado por meses. Así del producto 2, quedan por asignar 0 unidades en el primer año. En el año segundo, quedan por asignar 0 unidades...</v>
      </c>
      <c r="D221" s="218"/>
      <c r="E221" s="218"/>
      <c r="F221" s="218"/>
      <c r="G221" s="218"/>
      <c r="H221" s="218"/>
      <c r="I221" s="218"/>
      <c r="J221" s="218"/>
      <c r="K221" s="218"/>
      <c r="L221" s="218"/>
    </row>
    <row r="222" spans="1:12" ht="29.25" customHeight="1">
      <c r="A222" s="90" t="s">
        <v>165</v>
      </c>
      <c r="B222" s="88"/>
      <c r="C222" s="218" t="str">
        <f>"Repase las unidades de producto asignadas en el cuadro de RESULTADOS POR PRODUCTOS por años y el desagregado por meses. Así del producto 3, quedan por asignar "&amp;J21&amp;" unidades en el primer año. En el año segundo, quedan por asignar "&amp;K21&amp;" unidades..."</f>
        <v>Repase las unidades de producto asignadas en el cuadro de RESULTADOS POR PRODUCTOS por años y el desagregado por meses. Así del producto 3, quedan por asignar 0 unidades en el primer año. En el año segundo, quedan por asignar 0 unidades...</v>
      </c>
      <c r="D222" s="218"/>
      <c r="E222" s="218"/>
      <c r="F222" s="218"/>
      <c r="G222" s="218"/>
      <c r="H222" s="218"/>
      <c r="I222" s="218"/>
      <c r="J222" s="218"/>
      <c r="K222" s="218"/>
      <c r="L222" s="218"/>
    </row>
    <row r="223" spans="1:12" ht="30" customHeight="1">
      <c r="A223" s="90" t="s">
        <v>165</v>
      </c>
      <c r="B223" s="151">
        <f ca="1">+J27</f>
        <v>3.7333333333333385E-3</v>
      </c>
      <c r="C223" s="218" t="str">
        <f ca="1">"Repase los precios asignados a cada producto en el cuadro de RESULTADOS POR PRODUCTOS por años y el desagregado por meses. Así para el producto 1, existe una diferencia entre ambos precios para el primer año de "&amp;J27&amp;" €, repase el resto de precios de los demás productos, la no coincidencia supone desajustes en el margen y por tanto en el beneficio."</f>
        <v>Repase los precios asignados a cada producto en el cuadro de RESULTADOS POR PRODUCTOS por años y el desagregado por meses. Así para el producto 1, existe una diferencia entre ambos precios para el primer año de 0,00373333333333334 €, repase el resto de precios de los demás productos, la no coincidencia supone desajustes en el margen y por tanto en el beneficio.</v>
      </c>
      <c r="D223" s="218"/>
      <c r="E223" s="218"/>
      <c r="F223" s="218"/>
      <c r="G223" s="218"/>
      <c r="H223" s="218"/>
      <c r="I223" s="218"/>
      <c r="J223" s="218"/>
      <c r="K223" s="218"/>
      <c r="L223" s="218"/>
    </row>
    <row r="224" spans="1:12" ht="31.5" customHeight="1">
      <c r="A224" s="90" t="s">
        <v>165</v>
      </c>
      <c r="B224" s="187">
        <f>+K27</f>
        <v>-3.0000000000000027E-3</v>
      </c>
      <c r="C224" s="218" t="str">
        <f>"Repase los precios asignados a cada producto en el cuadro de RESULTADOS POR PRODUCTOS por años y el desagregado por meses. Así para el producto 1, existe una diferencia entre ambos precios para el segundo año de "&amp;K27&amp;" €, repase el resto de precios de los demás productos, la no coincidencia supone desajustes en el margen y por tanto en el beneficio."</f>
        <v>Repase los precios asignados a cada producto en el cuadro de RESULTADOS POR PRODUCTOS por años y el desagregado por meses. Así para el producto 1, existe una diferencia entre ambos precios para el segundo año de -0,003 €, repase el resto de precios de los demás productos, la no coincidencia supone desajustes en el margen y por tanto en el beneficio.</v>
      </c>
      <c r="D224" s="218"/>
      <c r="E224" s="218"/>
      <c r="F224" s="218"/>
      <c r="G224" s="218"/>
      <c r="H224" s="218"/>
      <c r="I224" s="218"/>
      <c r="J224" s="218"/>
      <c r="K224" s="218"/>
      <c r="L224" s="218"/>
    </row>
    <row r="225" spans="1:12" ht="31.5" customHeight="1">
      <c r="A225" s="90" t="s">
        <v>165</v>
      </c>
      <c r="B225" s="151">
        <f>+L27</f>
        <v>-3.4374999999999822E-3</v>
      </c>
      <c r="C225" s="218" t="str">
        <f>"Repase los precios asignados a cada producto en el cuadro de RESULTADOS POR PRODUCTOS por años y el desagregado por meses. Así para el producto 1, existe una diferencia entre ambos precios para el tercer año de "&amp;L27&amp;" €, repase el resto de precios de los demás productos, la no coincidencia supone desajustes en el margen y por tanto en el beneficio."</f>
        <v>Repase los precios asignados a cada producto en el cuadro de RESULTADOS POR PRODUCTOS por años y el desagregado por meses. Así para el producto 1, existe una diferencia entre ambos precios para el tercer año de -0,00343749999999998 €, repase el resto de precios de los demás productos, la no coincidencia supone desajustes en el margen y por tanto en el beneficio.</v>
      </c>
      <c r="D225" s="218"/>
      <c r="E225" s="218"/>
      <c r="F225" s="218"/>
      <c r="G225" s="218"/>
      <c r="H225" s="218"/>
      <c r="I225" s="218"/>
      <c r="J225" s="218"/>
      <c r="K225" s="218"/>
      <c r="L225" s="218"/>
    </row>
    <row r="226" spans="1:12" ht="30" customHeight="1">
      <c r="A226" s="90" t="s">
        <v>165</v>
      </c>
      <c r="B226" s="123">
        <f ca="1">+G13</f>
        <v>3796.2670041126221</v>
      </c>
      <c r="C226" s="218" t="str">
        <f ca="1">"Existen diferencias significativas en el número de unidades físicas para alcanzar el Punto Muerto, así el producto 1 para el primer año se alcanza a las "&amp;B226&amp;" unidades, para el segundo año a las "&amp;G14&amp;" unidades y el tercer año a las "&amp;G15&amp;" unidades ... Repáselo, no parece ser muy coherente."</f>
        <v>Existen diferencias significativas en el número de unidades físicas para alcanzar el Punto Muerto, así el producto 1 para el primer año se alcanza a las 3796,26700411262 unidades, para el segundo año a las 3420,32356260902 unidades y el tercer año a las 3305,23880350355 unidades ... Repáselo, no parece ser muy coherente.</v>
      </c>
      <c r="D226" s="218"/>
      <c r="E226" s="218"/>
      <c r="F226" s="218"/>
      <c r="G226" s="218"/>
      <c r="H226" s="218"/>
      <c r="I226" s="218"/>
      <c r="J226" s="218"/>
      <c r="K226" s="218"/>
      <c r="L226" s="218"/>
    </row>
    <row r="227" spans="1:12" ht="29.25" customHeight="1">
      <c r="A227" s="90" t="s">
        <v>165</v>
      </c>
      <c r="B227" s="123">
        <f ca="1">+H13</f>
        <v>4555.5204049351469</v>
      </c>
      <c r="C227" s="218" t="str">
        <f ca="1">"Existen diferencias significativas en el número de unidades físicas para alcanzar el Punto Muerto, así el producto 2 para el primer año se alcanza a las "&amp;B227&amp;" unidades, para el segundo año a las "&amp;H14&amp;" unidades y el tercer año a las "&amp;H15&amp;" unidades ... Repáselo, no parece ser muy coherente."</f>
        <v>Existen diferencias significativas en el número de unidades físicas para alcanzar el Punto Muerto, así el producto 2 para el primer año se alcanza a las 4555,52040493515 unidades, para el segundo año a las 3078,29120634812 unidades y el tercer año a las 2892,08395306561 unidades ... Repáselo, no parece ser muy coherente.</v>
      </c>
      <c r="D227" s="218"/>
      <c r="E227" s="218"/>
      <c r="F227" s="218"/>
      <c r="G227" s="218"/>
      <c r="H227" s="218"/>
      <c r="I227" s="218"/>
      <c r="J227" s="218"/>
      <c r="K227" s="218"/>
      <c r="L227" s="218"/>
    </row>
    <row r="228" spans="1:12" ht="29.25" customHeight="1">
      <c r="A228" s="90" t="s">
        <v>165</v>
      </c>
      <c r="B228" s="123">
        <f ca="1">+I13</f>
        <v>6074.0272065801964</v>
      </c>
      <c r="C228" s="218" t="str">
        <f ca="1">"Existen diferencias significativas en el número de unidades físicas para alcanzar el Punto Muerto, así el producto 3 para el primer año se alcanza a las "&amp;B228&amp;" unidades, para el segundo año a las "&amp;I14&amp;" unidades y el tercer año a las "&amp;I15&amp;" unidades ... Repáselo, no parece ser muy coherente."</f>
        <v>Existen diferencias significativas en el número de unidades físicas para alcanzar el Punto Muerto, así el producto 3 para el primer año se alcanza a las 6074,0272065802 unidades, para el segundo año a las 5130,48534391353 unidades y el tercer año a las 4544,70335481738 unidades ... Repáselo, no parece ser muy coherente.</v>
      </c>
      <c r="D228" s="218"/>
      <c r="E228" s="218"/>
      <c r="F228" s="218"/>
      <c r="G228" s="218"/>
      <c r="H228" s="218"/>
      <c r="I228" s="218"/>
      <c r="J228" s="218"/>
      <c r="K228" s="218"/>
      <c r="L228" s="218"/>
    </row>
    <row r="229" spans="1:12" s="125" customFormat="1" ht="15" customHeight="1">
      <c r="A229" s="124" t="s">
        <v>165</v>
      </c>
      <c r="B229" s="126">
        <f ca="1">+G9</f>
        <v>43617.216458670649</v>
      </c>
      <c r="C229" s="217" t="str">
        <f ca="1">CONCATENATE("Con los datos proporcionados, el VAN (Valor Actual Neto) del proyecto, con un tipo de interés aplicado del "&amp;TEXT(G6,"#,##%")&amp;" alcanzaría un valor de "&amp;TEXT(B229,"#.###,##")&amp;" €. Reconsidere su inversión, no parece tener sentido invertir para perder.")</f>
        <v>Con los datos proporcionados, el VAN (Valor Actual Neto) del proyecto, con un tipo de interés aplicado del 5,% alcanzaría un valor de 43.617,22 €. Reconsidere su inversión, no parece tener sentido invertir para perder.</v>
      </c>
      <c r="D229" s="217"/>
      <c r="E229" s="217"/>
      <c r="F229" s="217"/>
      <c r="G229" s="217"/>
      <c r="H229" s="217"/>
      <c r="I229" s="217"/>
      <c r="J229" s="217"/>
      <c r="K229" s="217"/>
      <c r="L229" s="217"/>
    </row>
    <row r="230" spans="1:12" s="125" customFormat="1" ht="15" customHeight="1">
      <c r="A230" s="124" t="s">
        <v>165</v>
      </c>
      <c r="B230" s="132">
        <f ca="1">++G10</f>
        <v>0.20579775390317168</v>
      </c>
      <c r="C230" s="217" t="str">
        <f ca="1">CONCATENATE("Con los datos proporcionados, debería considerar su inversión dado que la TIR (Tasa interna de Rentabilidad) de su proyecto es del "&amp;TEXT(B230,"#,##%")&amp;".")</f>
        <v>Con los datos proporcionados, debería considerar su inversión dado que la TIR (Tasa interna de Rentabilidad) de su proyecto es del 20,58%.</v>
      </c>
      <c r="D230" s="217"/>
      <c r="E230" s="217"/>
      <c r="F230" s="217"/>
      <c r="G230" s="217"/>
      <c r="H230" s="217"/>
      <c r="I230" s="217"/>
      <c r="J230" s="217"/>
      <c r="K230" s="217"/>
      <c r="L230" s="217"/>
    </row>
    <row r="231" spans="1:12" ht="28.5" customHeight="1">
      <c r="A231" s="83" t="s">
        <v>165</v>
      </c>
      <c r="C231" s="220" t="s">
        <v>198</v>
      </c>
      <c r="D231" s="220"/>
      <c r="E231" s="220"/>
      <c r="F231" s="220"/>
      <c r="G231" s="220"/>
      <c r="H231" s="220"/>
      <c r="I231" s="220"/>
      <c r="J231" s="220"/>
      <c r="K231" s="220"/>
      <c r="L231" s="220"/>
    </row>
    <row r="233" spans="1:12" ht="18.600000000000001">
      <c r="B233" s="204" t="s">
        <v>199</v>
      </c>
      <c r="C233" s="204"/>
      <c r="D233" s="204"/>
      <c r="F233" s="204" t="s">
        <v>200</v>
      </c>
      <c r="G233" s="204"/>
      <c r="H233" s="204"/>
    </row>
    <row r="234" spans="1:12" ht="18.600000000000001">
      <c r="B234" s="34"/>
      <c r="C234" s="180" t="s">
        <v>201</v>
      </c>
      <c r="D234" s="34" t="str">
        <f>+B2</f>
        <v>G1M1W7</v>
      </c>
      <c r="F234" s="34"/>
      <c r="G234" s="180" t="s">
        <v>201</v>
      </c>
      <c r="H234" s="34" t="str">
        <f>+B2</f>
        <v>G1M1W7</v>
      </c>
    </row>
    <row r="235" spans="1:12">
      <c r="B235" s="203" t="s">
        <v>202</v>
      </c>
      <c r="C235" s="203"/>
      <c r="D235" s="203"/>
      <c r="F235" s="127" t="s">
        <v>203</v>
      </c>
      <c r="G235" s="127" t="s">
        <v>204</v>
      </c>
      <c r="H235" s="127" t="s">
        <v>205</v>
      </c>
    </row>
    <row r="236" spans="1:12">
      <c r="B236" s="127" t="s">
        <v>203</v>
      </c>
      <c r="C236" s="127" t="s">
        <v>204</v>
      </c>
      <c r="D236" s="203" t="s">
        <v>205</v>
      </c>
      <c r="F236" s="179" t="s">
        <v>206</v>
      </c>
      <c r="G236" s="177">
        <v>0</v>
      </c>
      <c r="H236" s="127"/>
    </row>
    <row r="237" spans="1:12">
      <c r="B237" s="179" t="s">
        <v>206</v>
      </c>
      <c r="C237" s="177">
        <v>0</v>
      </c>
      <c r="D237" s="203"/>
      <c r="F237" s="179" t="s">
        <v>207</v>
      </c>
      <c r="G237" s="175">
        <v>0.1</v>
      </c>
      <c r="H237" s="83">
        <v>6</v>
      </c>
    </row>
    <row r="238" spans="1:12">
      <c r="B238" s="179" t="s">
        <v>208</v>
      </c>
      <c r="C238" s="175">
        <v>0.05</v>
      </c>
      <c r="D238" s="83">
        <v>6</v>
      </c>
      <c r="F238" s="179" t="s">
        <v>209</v>
      </c>
      <c r="G238" s="175">
        <v>0.12</v>
      </c>
      <c r="H238" s="83">
        <v>6</v>
      </c>
    </row>
    <row r="239" spans="1:12">
      <c r="B239" s="179" t="s">
        <v>210</v>
      </c>
      <c r="C239" s="175">
        <v>0.15</v>
      </c>
      <c r="D239" s="83">
        <v>6</v>
      </c>
      <c r="F239" s="179" t="s">
        <v>211</v>
      </c>
      <c r="G239" s="175">
        <v>0.16</v>
      </c>
      <c r="H239" s="83">
        <v>6</v>
      </c>
    </row>
    <row r="240" spans="1:12">
      <c r="B240" s="179" t="s">
        <v>212</v>
      </c>
      <c r="C240" s="175">
        <v>0.2</v>
      </c>
      <c r="D240" s="83">
        <v>6</v>
      </c>
      <c r="F240" s="179" t="s">
        <v>213</v>
      </c>
      <c r="G240" s="175">
        <v>0.16</v>
      </c>
      <c r="H240" s="83">
        <v>6</v>
      </c>
    </row>
    <row r="241" spans="2:8">
      <c r="B241" s="179" t="s">
        <v>214</v>
      </c>
      <c r="C241" s="175">
        <v>0.25</v>
      </c>
      <c r="D241" s="83">
        <v>6</v>
      </c>
      <c r="F241" s="179" t="s">
        <v>215</v>
      </c>
      <c r="G241" s="175">
        <v>0.1</v>
      </c>
      <c r="H241" s="83">
        <v>6</v>
      </c>
    </row>
    <row r="242" spans="2:8">
      <c r="B242" s="179" t="s">
        <v>216</v>
      </c>
      <c r="C242" s="175">
        <v>0.2</v>
      </c>
      <c r="D242" s="83">
        <v>6</v>
      </c>
      <c r="F242" s="179" t="s">
        <v>217</v>
      </c>
      <c r="G242" s="175">
        <v>0.16</v>
      </c>
      <c r="H242" s="83">
        <v>6</v>
      </c>
    </row>
    <row r="243" spans="2:8">
      <c r="B243" s="179" t="s">
        <v>218</v>
      </c>
      <c r="C243" s="175">
        <v>0.15</v>
      </c>
      <c r="D243" s="83">
        <v>6</v>
      </c>
      <c r="F243" s="179" t="s">
        <v>219</v>
      </c>
      <c r="G243" s="175">
        <v>0.1</v>
      </c>
      <c r="H243" s="83">
        <v>6</v>
      </c>
    </row>
    <row r="244" spans="2:8">
      <c r="B244" s="127" t="s">
        <v>220</v>
      </c>
      <c r="C244" s="178">
        <f>SUM(C238:C243)-C237</f>
        <v>1</v>
      </c>
      <c r="D244" s="176">
        <f>+((C238*D238)+(C239*D239)+(+C240*D240)+(C241*D241)+(C242*D242)+(C243*D243))*C244</f>
        <v>6</v>
      </c>
      <c r="F244" s="179" t="s">
        <v>221</v>
      </c>
      <c r="G244" s="175">
        <v>0.1</v>
      </c>
      <c r="H244" s="83">
        <v>6</v>
      </c>
    </row>
    <row r="245" spans="2:8">
      <c r="B245" s="203" t="s">
        <v>222</v>
      </c>
      <c r="C245" s="203"/>
      <c r="D245" s="203"/>
      <c r="F245" s="127" t="s">
        <v>220</v>
      </c>
      <c r="G245" s="178">
        <f>SUM(G237:G244)-G236</f>
        <v>1</v>
      </c>
      <c r="H245" s="176">
        <f>+((G237*H237)+(G238*H238)+(+G239*H239)+(G240*H240)+(G241*H241)+(G242*H242)+(G243*H243)+(G244*H244))*G245</f>
        <v>6</v>
      </c>
    </row>
    <row r="246" spans="2:8">
      <c r="B246" s="127" t="s">
        <v>203</v>
      </c>
      <c r="C246" s="127" t="s">
        <v>204</v>
      </c>
      <c r="D246" s="127" t="s">
        <v>205</v>
      </c>
    </row>
    <row r="247" spans="2:8">
      <c r="B247" s="179" t="s">
        <v>206</v>
      </c>
      <c r="C247" s="177">
        <v>0</v>
      </c>
      <c r="D247" s="127"/>
      <c r="F247" s="3"/>
    </row>
    <row r="248" spans="2:8">
      <c r="B248" s="179" t="s">
        <v>207</v>
      </c>
      <c r="C248" s="175">
        <v>0.1</v>
      </c>
      <c r="D248" s="83">
        <v>6</v>
      </c>
      <c r="G248" s="87" t="s">
        <v>223</v>
      </c>
    </row>
    <row r="249" spans="2:8">
      <c r="B249" s="179" t="s">
        <v>224</v>
      </c>
      <c r="C249" s="175">
        <v>0.1</v>
      </c>
      <c r="D249" s="83">
        <v>6</v>
      </c>
      <c r="G249" s="184" t="s">
        <v>225</v>
      </c>
    </row>
    <row r="250" spans="2:8">
      <c r="B250" s="179" t="s">
        <v>226</v>
      </c>
      <c r="C250" s="175">
        <v>0.15</v>
      </c>
      <c r="D250" s="83">
        <v>6</v>
      </c>
      <c r="G250" s="185" t="s">
        <v>227</v>
      </c>
    </row>
    <row r="251" spans="2:8">
      <c r="B251" s="179" t="s">
        <v>228</v>
      </c>
      <c r="C251" s="175">
        <v>0.15</v>
      </c>
      <c r="D251" s="83">
        <v>6</v>
      </c>
      <c r="G251" s="181" t="s">
        <v>229</v>
      </c>
    </row>
    <row r="252" spans="2:8">
      <c r="B252" s="179" t="s">
        <v>217</v>
      </c>
      <c r="C252" s="175">
        <v>0.2</v>
      </c>
      <c r="D252" s="83">
        <v>6</v>
      </c>
      <c r="G252" s="182" t="s">
        <v>230</v>
      </c>
    </row>
    <row r="253" spans="2:8">
      <c r="B253" s="179" t="s">
        <v>231</v>
      </c>
      <c r="C253" s="175">
        <v>0.05</v>
      </c>
      <c r="D253" s="83">
        <v>6</v>
      </c>
      <c r="G253" s="183" t="s">
        <v>232</v>
      </c>
    </row>
    <row r="254" spans="2:8">
      <c r="B254" s="179" t="s">
        <v>233</v>
      </c>
      <c r="C254" s="175">
        <v>0.1</v>
      </c>
      <c r="D254" s="83">
        <v>6</v>
      </c>
    </row>
    <row r="255" spans="2:8">
      <c r="B255" s="179" t="s">
        <v>234</v>
      </c>
      <c r="C255" s="175">
        <v>0.15</v>
      </c>
      <c r="D255" s="83">
        <v>6</v>
      </c>
    </row>
    <row r="256" spans="2:8">
      <c r="B256" s="127" t="s">
        <v>220</v>
      </c>
      <c r="C256" s="178">
        <f>SUM(C248:C255)-C247</f>
        <v>1</v>
      </c>
      <c r="D256" s="176">
        <f>+((C248*D248)+(C249*D249)+(+C250*D250)+(C251*D251)+(C252*D252)+(C253*D253)+(C254*D254)+(C255*D255))*C256</f>
        <v>6</v>
      </c>
    </row>
  </sheetData>
  <sheetProtection algorithmName="SHA-512" hashValue="g+lDDjG0DZChQr+QrL+GhVZpJvtEbWOGjP9UeCuAa5BkGtDonGShim33eXA+lrOTIqtvKxABYTsrW33y2ju8eg==" saltValue="PUjjMMu4n1cwVnLMwJLabg==" spinCount="100000" sheet="1" objects="1" scenarios="1"/>
  <autoFilter ref="A147:C230" xr:uid="{AF12BCA1-0E92-4E83-921F-9939A55BAD80}"/>
  <mergeCells count="138">
    <mergeCell ref="B235:D235"/>
    <mergeCell ref="B233:D233"/>
    <mergeCell ref="C231:L231"/>
    <mergeCell ref="C211:L211"/>
    <mergeCell ref="C208:L208"/>
    <mergeCell ref="C146:H146"/>
    <mergeCell ref="C188:L188"/>
    <mergeCell ref="C187:L187"/>
    <mergeCell ref="C164:K164"/>
    <mergeCell ref="C227:L227"/>
    <mergeCell ref="C228:L228"/>
    <mergeCell ref="C229:L229"/>
    <mergeCell ref="C230:L230"/>
    <mergeCell ref="C222:L222"/>
    <mergeCell ref="C223:L223"/>
    <mergeCell ref="C224:L224"/>
    <mergeCell ref="C225:L225"/>
    <mergeCell ref="C167:L167"/>
    <mergeCell ref="C180:L180"/>
    <mergeCell ref="C196:L196"/>
    <mergeCell ref="C197:L197"/>
    <mergeCell ref="C226:L226"/>
    <mergeCell ref="C221:L221"/>
    <mergeCell ref="C213:L213"/>
    <mergeCell ref="B70:L70"/>
    <mergeCell ref="C156:L156"/>
    <mergeCell ref="C157:L157"/>
    <mergeCell ref="C162:L162"/>
    <mergeCell ref="C158:L158"/>
    <mergeCell ref="C159:L159"/>
    <mergeCell ref="C160:L160"/>
    <mergeCell ref="C150:L150"/>
    <mergeCell ref="C151:L151"/>
    <mergeCell ref="C152:L152"/>
    <mergeCell ref="C153:L153"/>
    <mergeCell ref="D71:I71"/>
    <mergeCell ref="C149:I149"/>
    <mergeCell ref="C217:L217"/>
    <mergeCell ref="C218:L218"/>
    <mergeCell ref="C219:L219"/>
    <mergeCell ref="C220:L220"/>
    <mergeCell ref="C183:L183"/>
    <mergeCell ref="C168:L168"/>
    <mergeCell ref="C169:L169"/>
    <mergeCell ref="C170:L170"/>
    <mergeCell ref="C212:L212"/>
    <mergeCell ref="C184:L184"/>
    <mergeCell ref="C186:L186"/>
    <mergeCell ref="C195:L195"/>
    <mergeCell ref="C214:L214"/>
    <mergeCell ref="H69:I69"/>
    <mergeCell ref="C171:L171"/>
    <mergeCell ref="C172:L172"/>
    <mergeCell ref="C192:L192"/>
    <mergeCell ref="C191:L191"/>
    <mergeCell ref="C190:L190"/>
    <mergeCell ref="C209:L209"/>
    <mergeCell ref="C210:L210"/>
    <mergeCell ref="C199:L199"/>
    <mergeCell ref="C200:L200"/>
    <mergeCell ref="C203:L203"/>
    <mergeCell ref="C185:L185"/>
    <mergeCell ref="C173:L173"/>
    <mergeCell ref="C174:L174"/>
    <mergeCell ref="C198:L198"/>
    <mergeCell ref="C161:L161"/>
    <mergeCell ref="C163:L163"/>
    <mergeCell ref="C189:L189"/>
    <mergeCell ref="C201:L201"/>
    <mergeCell ref="C202:L202"/>
    <mergeCell ref="C204:L204"/>
    <mergeCell ref="C207:L207"/>
    <mergeCell ref="C205:L205"/>
    <mergeCell ref="C206:L206"/>
    <mergeCell ref="C67:E67"/>
    <mergeCell ref="C68:E68"/>
    <mergeCell ref="C69:E69"/>
    <mergeCell ref="B17:C17"/>
    <mergeCell ref="B22:C22"/>
    <mergeCell ref="B27:C27"/>
    <mergeCell ref="B37:C37"/>
    <mergeCell ref="E52:F52"/>
    <mergeCell ref="B34:C34"/>
    <mergeCell ref="B35:C35"/>
    <mergeCell ref="B46:C46"/>
    <mergeCell ref="B50:C50"/>
    <mergeCell ref="B43:C43"/>
    <mergeCell ref="B49:C49"/>
    <mergeCell ref="B36:C36"/>
    <mergeCell ref="B48:C48"/>
    <mergeCell ref="B55:C55"/>
    <mergeCell ref="B54:C54"/>
    <mergeCell ref="E55:F55"/>
    <mergeCell ref="E53:F53"/>
    <mergeCell ref="B53:C53"/>
    <mergeCell ref="I57:J57"/>
    <mergeCell ref="K57:L57"/>
    <mergeCell ref="B6:D6"/>
    <mergeCell ref="B3:D3"/>
    <mergeCell ref="G7:K7"/>
    <mergeCell ref="F18:G18"/>
    <mergeCell ref="J25:L25"/>
    <mergeCell ref="B47:C47"/>
    <mergeCell ref="B42:C42"/>
    <mergeCell ref="J17:L17"/>
    <mergeCell ref="B7:D7"/>
    <mergeCell ref="B8:D8"/>
    <mergeCell ref="B9:D9"/>
    <mergeCell ref="B10:D10"/>
    <mergeCell ref="B4:D4"/>
    <mergeCell ref="B5:D5"/>
    <mergeCell ref="B39:C39"/>
    <mergeCell ref="B40:C40"/>
    <mergeCell ref="B12:C12"/>
    <mergeCell ref="D236:D237"/>
    <mergeCell ref="F233:H233"/>
    <mergeCell ref="B245:D245"/>
    <mergeCell ref="H2:K2"/>
    <mergeCell ref="H3:K3"/>
    <mergeCell ref="H4:K4"/>
    <mergeCell ref="H5:K5"/>
    <mergeCell ref="B38:C38"/>
    <mergeCell ref="B41:C41"/>
    <mergeCell ref="H64:K64"/>
    <mergeCell ref="C65:E65"/>
    <mergeCell ref="C66:E66"/>
    <mergeCell ref="H61:K61"/>
    <mergeCell ref="C62:E62"/>
    <mergeCell ref="H62:K62"/>
    <mergeCell ref="C63:E63"/>
    <mergeCell ref="H63:K63"/>
    <mergeCell ref="B52:C52"/>
    <mergeCell ref="E56:F56"/>
    <mergeCell ref="B56:C56"/>
    <mergeCell ref="C64:E64"/>
    <mergeCell ref="C57:D57"/>
    <mergeCell ref="E57:F57"/>
    <mergeCell ref="G57:H57"/>
  </mergeCells>
  <phoneticPr fontId="4" type="noConversion"/>
  <conditionalFormatting sqref="B214">
    <cfRule type="cellIs" dxfId="18" priority="1" operator="greaterThan">
      <formula>10</formula>
    </cfRule>
  </conditionalFormatting>
  <pageMargins left="0.28000000000000003" right="0.28999999999999998" top="0.11" bottom="0.16" header="0.11" footer="0.16"/>
  <pageSetup paperSize="9" scale="67" fitToHeight="0" orientation="landscape" r:id="rId1"/>
  <ignoredErrors>
    <ignoredError sqref="H62:H63"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522B-A56D-4478-89E5-30F69138E176}">
  <sheetPr>
    <tabColor theme="4" tint="0.59999389629810485"/>
    <pageSetUpPr fitToPage="1"/>
  </sheetPr>
  <dimension ref="B1:L43"/>
  <sheetViews>
    <sheetView showGridLines="0" topLeftCell="A20" zoomScaleNormal="100" workbookViewId="0">
      <selection activeCell="E30" sqref="E30"/>
    </sheetView>
  </sheetViews>
  <sheetFormatPr defaultColWidth="10.7109375" defaultRowHeight="14.45"/>
  <cols>
    <col min="2" max="2" width="48.140625" customWidth="1"/>
    <col min="3" max="3" width="23" customWidth="1"/>
    <col min="4" max="4" width="0.42578125" customWidth="1"/>
    <col min="5" max="5" width="12.42578125" customWidth="1"/>
    <col min="6" max="6" width="22.42578125" customWidth="1"/>
  </cols>
  <sheetData>
    <row r="1" spans="2:12">
      <c r="D1" s="5"/>
    </row>
    <row r="2" spans="2:12" ht="45.75" customHeight="1">
      <c r="B2" s="222" t="str">
        <f>+INICIO!D12</f>
        <v>SecondNote</v>
      </c>
      <c r="C2" s="222"/>
      <c r="D2" s="5"/>
      <c r="E2" s="223" t="s">
        <v>235</v>
      </c>
      <c r="F2" s="33" t="s">
        <v>236</v>
      </c>
    </row>
    <row r="3" spans="2:12" ht="18.600000000000001">
      <c r="B3" s="34" t="s">
        <v>237</v>
      </c>
      <c r="C3" s="35">
        <f ca="1">SUM(C4:C10)*KAIZEN!K10</f>
        <v>31386</v>
      </c>
      <c r="D3" s="5"/>
      <c r="E3" s="223"/>
      <c r="F3" s="35">
        <f>SUM(F4:F10)</f>
        <v>30786</v>
      </c>
    </row>
    <row r="4" spans="2:12">
      <c r="B4" s="5" t="s">
        <v>238</v>
      </c>
      <c r="C4" s="96">
        <v>4000</v>
      </c>
      <c r="D4" s="5"/>
      <c r="E4" s="99">
        <v>1</v>
      </c>
      <c r="F4" s="36">
        <f>IFERROR(+C4/E4,0)</f>
        <v>4000</v>
      </c>
    </row>
    <row r="5" spans="2:12">
      <c r="B5" s="37" t="s">
        <v>239</v>
      </c>
      <c r="C5" s="97">
        <v>686</v>
      </c>
      <c r="D5" s="5"/>
      <c r="E5" s="100">
        <v>1</v>
      </c>
      <c r="F5" s="36">
        <f t="shared" ref="F5:F10" si="0">IFERROR(+C5/E5,0)</f>
        <v>686</v>
      </c>
    </row>
    <row r="6" spans="2:12">
      <c r="B6" s="5" t="s">
        <v>240</v>
      </c>
      <c r="C6" s="98">
        <v>13200</v>
      </c>
      <c r="D6" s="5"/>
      <c r="E6" s="99">
        <v>1</v>
      </c>
      <c r="F6" s="36">
        <f t="shared" si="0"/>
        <v>13200</v>
      </c>
    </row>
    <row r="7" spans="2:12">
      <c r="B7" s="37" t="s">
        <v>241</v>
      </c>
      <c r="C7" s="97">
        <v>750</v>
      </c>
      <c r="D7" s="5"/>
      <c r="E7" s="100">
        <v>5</v>
      </c>
      <c r="F7" s="36">
        <f t="shared" si="0"/>
        <v>150</v>
      </c>
    </row>
    <row r="8" spans="2:12">
      <c r="B8" s="5" t="s">
        <v>242</v>
      </c>
      <c r="C8" s="98">
        <v>400</v>
      </c>
      <c r="D8" s="5"/>
      <c r="E8" s="99">
        <v>1</v>
      </c>
      <c r="F8" s="36">
        <f t="shared" si="0"/>
        <v>400</v>
      </c>
    </row>
    <row r="9" spans="2:12">
      <c r="B9" s="37" t="s">
        <v>243</v>
      </c>
      <c r="C9" s="97">
        <v>8850</v>
      </c>
      <c r="D9" s="5"/>
      <c r="E9" s="100">
        <v>1</v>
      </c>
      <c r="F9" s="36">
        <f t="shared" si="0"/>
        <v>8850</v>
      </c>
    </row>
    <row r="10" spans="2:12" ht="15" customHeight="1">
      <c r="B10" s="111" t="s">
        <v>244</v>
      </c>
      <c r="C10" s="98">
        <v>3500</v>
      </c>
      <c r="D10" s="5"/>
      <c r="E10" s="99">
        <v>1</v>
      </c>
      <c r="F10" s="36">
        <f t="shared" si="0"/>
        <v>3500</v>
      </c>
      <c r="H10" s="221" t="str">
        <f ca="1">+IF(KAIZEN!K10=0,"Está utizando ésta Hoja de Cálculo sin la autorización de su autor y por lo tanto de una forma fraudulenta. Los resultados mostrados son erroneos. Cierre la aplicación y pida autorización para poder continuar.", " ")</f>
        <v xml:space="preserve"> </v>
      </c>
      <c r="I10" s="221"/>
      <c r="J10" s="221"/>
      <c r="K10" s="221"/>
      <c r="L10" s="221"/>
    </row>
    <row r="11" spans="2:12" ht="11.25" customHeight="1">
      <c r="B11" s="137"/>
      <c r="C11" s="138"/>
      <c r="D11" s="137"/>
      <c r="E11" s="139"/>
      <c r="F11" s="139"/>
      <c r="H11" s="221"/>
      <c r="I11" s="221"/>
      <c r="J11" s="221"/>
      <c r="K11" s="221"/>
      <c r="L11" s="221"/>
    </row>
    <row r="12" spans="2:12" ht="21.75" customHeight="1">
      <c r="B12" s="204" t="s">
        <v>245</v>
      </c>
      <c r="C12" s="204"/>
      <c r="D12" s="204"/>
      <c r="E12" s="204"/>
      <c r="F12" s="204"/>
      <c r="H12" s="221"/>
      <c r="I12" s="221"/>
      <c r="J12" s="221"/>
      <c r="K12" s="221"/>
      <c r="L12" s="221"/>
    </row>
    <row r="13" spans="2:12" ht="15" customHeight="1">
      <c r="B13" s="113" t="s">
        <v>246</v>
      </c>
      <c r="C13" s="190">
        <v>20000</v>
      </c>
      <c r="D13" s="5"/>
      <c r="E13" s="227" t="str">
        <f>IF(C13&gt;0,"Sólo a nivel informativo, no afecta al Importe de los Gastos de Establecimiento. Salvo en los Gastos de Formalización."," ")</f>
        <v>Sólo a nivel informativo, no afecta al Importe de los Gastos de Establecimiento. Salvo en los Gastos de Formalización.</v>
      </c>
      <c r="F13" s="227"/>
      <c r="H13" s="221"/>
      <c r="I13" s="221"/>
      <c r="J13" s="221"/>
      <c r="K13" s="221"/>
      <c r="L13" s="221"/>
    </row>
    <row r="14" spans="2:12" ht="15" customHeight="1">
      <c r="B14" s="18" t="s">
        <v>247</v>
      </c>
      <c r="C14" s="191">
        <v>6.6000000000000003E-2</v>
      </c>
      <c r="D14" s="5"/>
      <c r="E14" s="227"/>
      <c r="F14" s="227"/>
      <c r="H14" s="221"/>
      <c r="I14" s="221"/>
      <c r="J14" s="221"/>
      <c r="K14" s="221"/>
      <c r="L14" s="221"/>
    </row>
    <row r="15" spans="2:12" ht="17.25" customHeight="1">
      <c r="B15" s="113" t="s">
        <v>248</v>
      </c>
      <c r="C15" s="142">
        <v>0</v>
      </c>
      <c r="D15" s="5"/>
      <c r="E15" s="227"/>
      <c r="F15" s="227"/>
      <c r="H15" s="221"/>
      <c r="I15" s="221"/>
      <c r="J15" s="221"/>
      <c r="K15" s="221"/>
      <c r="L15" s="221"/>
    </row>
    <row r="16" spans="2:12" ht="14.25" customHeight="1">
      <c r="B16" s="113" t="s">
        <v>249</v>
      </c>
      <c r="C16" s="143">
        <v>60</v>
      </c>
      <c r="D16" s="5"/>
      <c r="E16" s="227"/>
      <c r="F16" s="227"/>
      <c r="H16" s="221"/>
      <c r="I16" s="221"/>
      <c r="J16" s="221"/>
      <c r="K16" s="221"/>
      <c r="L16" s="221"/>
    </row>
    <row r="17" spans="2:12" ht="3" customHeight="1">
      <c r="B17" s="111"/>
      <c r="C17" s="98"/>
      <c r="D17" s="5"/>
      <c r="F17" s="141"/>
      <c r="H17" s="221"/>
      <c r="I17" s="221"/>
      <c r="J17" s="221"/>
      <c r="K17" s="221"/>
      <c r="L17" s="221"/>
    </row>
    <row r="18" spans="2:12" ht="9" customHeight="1">
      <c r="B18" s="5"/>
      <c r="C18" s="38"/>
      <c r="D18" s="5"/>
      <c r="E18" s="140"/>
      <c r="F18" s="140"/>
      <c r="H18" s="221"/>
      <c r="I18" s="221"/>
      <c r="J18" s="221"/>
      <c r="K18" s="221"/>
      <c r="L18" s="221"/>
    </row>
    <row r="19" spans="2:12" ht="15" customHeight="1">
      <c r="B19" s="204" t="str">
        <f>+B2</f>
        <v>SecondNote</v>
      </c>
      <c r="C19" s="204"/>
      <c r="D19" s="5"/>
      <c r="E19" s="224" t="s">
        <v>250</v>
      </c>
      <c r="F19" s="224"/>
      <c r="H19" s="221"/>
      <c r="I19" s="221"/>
      <c r="J19" s="221"/>
      <c r="K19" s="221"/>
      <c r="L19" s="221"/>
    </row>
    <row r="20" spans="2:12" ht="18.75" customHeight="1">
      <c r="B20" s="204"/>
      <c r="C20" s="204"/>
      <c r="D20" s="5"/>
      <c r="E20" s="225" t="s">
        <v>235</v>
      </c>
      <c r="F20" s="228" t="s">
        <v>236</v>
      </c>
      <c r="H20" s="221"/>
      <c r="I20" s="221"/>
      <c r="J20" s="221"/>
      <c r="K20" s="221"/>
      <c r="L20" s="221"/>
    </row>
    <row r="21" spans="2:12" ht="2.25" customHeight="1">
      <c r="B21" s="5"/>
      <c r="C21" s="5"/>
      <c r="D21" s="5"/>
      <c r="E21" s="226"/>
      <c r="F21" s="229"/>
      <c r="H21" s="221"/>
      <c r="I21" s="221"/>
      <c r="J21" s="221"/>
      <c r="K21" s="221"/>
      <c r="L21" s="221"/>
    </row>
    <row r="22" spans="2:12" ht="18.600000000000001">
      <c r="B22" s="34" t="s">
        <v>251</v>
      </c>
      <c r="C22" s="35">
        <f ca="1">+(C23+C32+C37)*KAIZEN!K10</f>
        <v>40468</v>
      </c>
      <c r="D22" s="5"/>
      <c r="E22" s="226"/>
      <c r="F22" s="35">
        <f ca="1">+(F23+F32+F37)*KAIZEN!K10</f>
        <v>23200.1</v>
      </c>
    </row>
    <row r="23" spans="2:12" ht="15.6">
      <c r="B23" s="40" t="s">
        <v>252</v>
      </c>
      <c r="C23" s="41">
        <f ca="1">SUM(C24:C31)*KAIZEN!$K$10</f>
        <v>33155</v>
      </c>
      <c r="D23" s="5"/>
      <c r="E23" s="226"/>
      <c r="F23" s="41">
        <f ca="1">SUM(F24:F31)*KAIZEN!$K$10</f>
        <v>16097.5</v>
      </c>
    </row>
    <row r="24" spans="2:12">
      <c r="B24" s="5" t="s">
        <v>253</v>
      </c>
      <c r="C24" s="98">
        <v>0</v>
      </c>
      <c r="D24" s="5"/>
      <c r="E24" s="99">
        <v>1</v>
      </c>
      <c r="F24" s="36">
        <f t="shared" ref="F24:F31" si="1">IFERROR(+C24/E24,0)</f>
        <v>0</v>
      </c>
    </row>
    <row r="25" spans="2:12" ht="29.1">
      <c r="B25" s="43" t="s">
        <v>254</v>
      </c>
      <c r="C25" s="97">
        <v>7190</v>
      </c>
      <c r="D25" s="5"/>
      <c r="E25" s="100">
        <v>4</v>
      </c>
      <c r="F25" s="162">
        <f t="shared" si="1"/>
        <v>1797.5</v>
      </c>
    </row>
    <row r="26" spans="2:12">
      <c r="B26" s="5" t="s">
        <v>255</v>
      </c>
      <c r="C26" s="98">
        <v>9500</v>
      </c>
      <c r="D26" s="5"/>
      <c r="E26" s="99">
        <v>1</v>
      </c>
      <c r="F26" s="36">
        <f t="shared" si="1"/>
        <v>9500</v>
      </c>
    </row>
    <row r="27" spans="2:12">
      <c r="B27" s="37" t="s">
        <v>256</v>
      </c>
      <c r="C27" s="97">
        <v>1500</v>
      </c>
      <c r="D27" s="5"/>
      <c r="E27" s="100">
        <v>3</v>
      </c>
      <c r="F27" s="36">
        <f t="shared" si="1"/>
        <v>500</v>
      </c>
    </row>
    <row r="28" spans="2:12">
      <c r="B28" s="5" t="s">
        <v>257</v>
      </c>
      <c r="C28" s="98">
        <v>3505</v>
      </c>
      <c r="D28" s="5"/>
      <c r="E28" s="99">
        <v>2</v>
      </c>
      <c r="F28" s="36">
        <f t="shared" si="1"/>
        <v>1752.5</v>
      </c>
    </row>
    <row r="29" spans="2:12">
      <c r="B29" s="37" t="s">
        <v>258</v>
      </c>
      <c r="C29" s="97">
        <v>1000</v>
      </c>
      <c r="D29" s="5"/>
      <c r="E29" s="100">
        <v>4</v>
      </c>
      <c r="F29" s="36">
        <f t="shared" si="1"/>
        <v>250</v>
      </c>
    </row>
    <row r="30" spans="2:12">
      <c r="B30" s="5" t="s">
        <v>259</v>
      </c>
      <c r="C30" s="98">
        <v>6350</v>
      </c>
      <c r="D30" s="5"/>
      <c r="E30" s="99">
        <v>5</v>
      </c>
      <c r="F30" s="36">
        <f t="shared" si="1"/>
        <v>1270</v>
      </c>
    </row>
    <row r="31" spans="2:12">
      <c r="B31" s="43" t="s">
        <v>260</v>
      </c>
      <c r="C31" s="97">
        <v>4110</v>
      </c>
      <c r="D31" s="5"/>
      <c r="E31" s="100">
        <v>4</v>
      </c>
      <c r="F31" s="36">
        <f t="shared" si="1"/>
        <v>1027.5</v>
      </c>
    </row>
    <row r="32" spans="2:12" ht="15.6">
      <c r="B32" s="44" t="s">
        <v>261</v>
      </c>
      <c r="C32" s="42">
        <f>SUM(C33:C36)</f>
        <v>7313</v>
      </c>
      <c r="D32" s="5"/>
      <c r="E32" s="102"/>
      <c r="F32" s="42">
        <f>SUM(F33:F36)</f>
        <v>7102.6</v>
      </c>
    </row>
    <row r="33" spans="2:6">
      <c r="B33" s="5" t="s">
        <v>262</v>
      </c>
      <c r="C33" s="98">
        <v>263</v>
      </c>
      <c r="D33" s="5"/>
      <c r="E33" s="99">
        <v>5</v>
      </c>
      <c r="F33" s="36">
        <f t="shared" ref="F33:F36" si="2">IFERROR(+C33/E33,0)</f>
        <v>52.6</v>
      </c>
    </row>
    <row r="34" spans="2:6">
      <c r="B34" s="43" t="s">
        <v>263</v>
      </c>
      <c r="C34" s="97">
        <v>7050</v>
      </c>
      <c r="D34" s="5"/>
      <c r="E34" s="100">
        <v>1</v>
      </c>
      <c r="F34" s="36">
        <f t="shared" si="2"/>
        <v>7050</v>
      </c>
    </row>
    <row r="35" spans="2:6" ht="15" customHeight="1">
      <c r="B35" s="5" t="s">
        <v>264</v>
      </c>
      <c r="C35" s="98">
        <v>0</v>
      </c>
      <c r="D35" s="5"/>
      <c r="E35" s="99">
        <v>1</v>
      </c>
      <c r="F35" s="36">
        <f t="shared" si="2"/>
        <v>0</v>
      </c>
    </row>
    <row r="36" spans="2:6">
      <c r="B36" s="37" t="s">
        <v>265</v>
      </c>
      <c r="C36" s="97">
        <v>0</v>
      </c>
      <c r="D36" s="5"/>
      <c r="E36" s="100">
        <v>1</v>
      </c>
      <c r="F36" s="36">
        <f t="shared" si="2"/>
        <v>0</v>
      </c>
    </row>
    <row r="37" spans="2:6" ht="15.6">
      <c r="B37" s="44" t="s">
        <v>266</v>
      </c>
      <c r="C37" s="42">
        <f ca="1">SUM(C38:C39)*KAIZEN!$K$10</f>
        <v>0</v>
      </c>
      <c r="D37" s="5"/>
      <c r="E37" s="102"/>
      <c r="F37" s="42">
        <f ca="1">SUM(F38:F39)*KAIZEN!$K$10</f>
        <v>0</v>
      </c>
    </row>
    <row r="38" spans="2:6">
      <c r="B38" s="5" t="s">
        <v>267</v>
      </c>
      <c r="C38" s="98">
        <v>0</v>
      </c>
      <c r="D38" s="5"/>
      <c r="E38" s="99">
        <v>1</v>
      </c>
      <c r="F38" s="36">
        <f t="shared" ref="F38:F39" si="3">IFERROR(+C38/E38,0)</f>
        <v>0</v>
      </c>
    </row>
    <row r="39" spans="2:6">
      <c r="B39" s="43" t="s">
        <v>268</v>
      </c>
      <c r="C39" s="97">
        <v>0</v>
      </c>
      <c r="D39" s="5"/>
      <c r="E39" s="100">
        <v>1</v>
      </c>
      <c r="F39" s="36">
        <f t="shared" si="3"/>
        <v>0</v>
      </c>
    </row>
    <row r="40" spans="2:6">
      <c r="D40" s="5"/>
    </row>
    <row r="41" spans="2:6">
      <c r="D41" s="5"/>
    </row>
    <row r="42" spans="2:6">
      <c r="D42" s="5"/>
    </row>
    <row r="43" spans="2:6">
      <c r="D43" s="5"/>
    </row>
  </sheetData>
  <sheetProtection algorithmName="SHA-512" hashValue="h7ZUV/6g7uf5GkBF+uUwLWBeBInPFeKuEXhAhhHeiLXXLVndzkTQ9xXDd3wQldrNgdLpltiPlXXrmFh53a9jRw==" saltValue="2O6ATZ2uwrc+ExuhIs5nnA==" spinCount="100000" sheet="1" objects="1" scenarios="1"/>
  <mergeCells count="9">
    <mergeCell ref="H10:L21"/>
    <mergeCell ref="B2:C2"/>
    <mergeCell ref="E2:E3"/>
    <mergeCell ref="E19:F19"/>
    <mergeCell ref="B19:C20"/>
    <mergeCell ref="E20:E23"/>
    <mergeCell ref="B12:F12"/>
    <mergeCell ref="E13:F16"/>
    <mergeCell ref="F20:F21"/>
  </mergeCells>
  <pageMargins left="0.7" right="0.7" top="0.75" bottom="0.75" header="0.3" footer="0.3"/>
  <pageSetup paperSize="9" scale="46" fitToHeight="0"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1B72C96B-E7C9-4021-83B4-0387F67A50BC}">
            <xm:f>+KAIZEN!$K$10=0</xm:f>
            <x14:dxf>
              <font>
                <b/>
                <i val="0"/>
                <color theme="0"/>
              </font>
              <fill>
                <patternFill>
                  <bgColor rgb="FFFF0000"/>
                </patternFill>
              </fill>
            </x14:dxf>
          </x14:cfRule>
          <xm:sqref>H10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F7A45-AE48-4E2B-86CA-599E987DA0F8}">
  <sheetPr>
    <tabColor theme="3" tint="0.39997558519241921"/>
    <pageSetUpPr fitToPage="1"/>
  </sheetPr>
  <dimension ref="B2:U199"/>
  <sheetViews>
    <sheetView showGridLines="0" tabSelected="1" zoomScale="96" zoomScaleNormal="96" workbookViewId="0">
      <selection activeCell="O192" sqref="O192"/>
    </sheetView>
  </sheetViews>
  <sheetFormatPr defaultColWidth="10.7109375" defaultRowHeight="14.45"/>
  <cols>
    <col min="2" max="2" width="45.140625" customWidth="1"/>
    <col min="3" max="7" width="20.7109375" customWidth="1"/>
    <col min="8" max="8" width="29.7109375" customWidth="1"/>
    <col min="9" max="9" width="28.85546875" customWidth="1"/>
    <col min="10" max="21" width="20.85546875" customWidth="1"/>
  </cols>
  <sheetData>
    <row r="2" spans="2:21" ht="21">
      <c r="B2" s="230" t="str">
        <f>+INICIO!D12</f>
        <v>SecondNote</v>
      </c>
      <c r="C2" s="230"/>
      <c r="D2" s="230"/>
      <c r="E2" s="230"/>
      <c r="F2" s="230"/>
      <c r="G2" s="230"/>
      <c r="H2" s="5"/>
      <c r="I2" s="5"/>
      <c r="J2" s="5"/>
      <c r="K2" s="5"/>
      <c r="L2" s="5"/>
      <c r="M2" s="5"/>
      <c r="N2" s="5"/>
      <c r="O2" s="5"/>
      <c r="P2" s="5"/>
      <c r="Q2" s="5"/>
      <c r="R2" s="5"/>
      <c r="S2" s="5"/>
      <c r="T2" s="5"/>
      <c r="U2" s="5"/>
    </row>
    <row r="3" spans="2:21" ht="21">
      <c r="B3" s="230" t="s">
        <v>269</v>
      </c>
      <c r="C3" s="230"/>
      <c r="D3" s="230"/>
      <c r="E3" s="230"/>
      <c r="F3" s="230"/>
      <c r="G3" s="230"/>
      <c r="H3" s="5"/>
      <c r="I3" s="5"/>
      <c r="J3" s="5"/>
      <c r="K3" s="5"/>
      <c r="L3" s="5"/>
      <c r="M3" s="5"/>
      <c r="N3" s="5"/>
      <c r="O3" s="5"/>
      <c r="P3" s="5"/>
      <c r="Q3" s="5"/>
      <c r="R3" s="5"/>
      <c r="S3" s="5"/>
      <c r="T3" s="5"/>
      <c r="U3" s="5"/>
    </row>
    <row r="4" spans="2:21" ht="18.600000000000001">
      <c r="B4" s="34" t="s">
        <v>270</v>
      </c>
      <c r="C4" s="34">
        <f ca="1">+INICIO!D14*KAIZEN!$K$10</f>
        <v>2024</v>
      </c>
      <c r="D4" s="34">
        <f ca="1">+C4+1</f>
        <v>2025</v>
      </c>
      <c r="E4" s="34">
        <f t="shared" ref="E4:G4" ca="1" si="0">+D4+1</f>
        <v>2026</v>
      </c>
      <c r="F4" s="34">
        <f ca="1">+E4+1</f>
        <v>2027</v>
      </c>
      <c r="G4" s="34">
        <f t="shared" ca="1" si="0"/>
        <v>2028</v>
      </c>
      <c r="H4" s="5"/>
      <c r="I4" s="5"/>
      <c r="J4" s="5"/>
      <c r="K4" s="5"/>
      <c r="L4" s="5"/>
      <c r="M4" s="5"/>
      <c r="N4" s="5"/>
      <c r="O4" s="5"/>
      <c r="P4" s="5"/>
      <c r="Q4" s="5"/>
      <c r="R4" s="5"/>
      <c r="S4" s="5"/>
      <c r="T4" s="5"/>
      <c r="U4" s="5"/>
    </row>
    <row r="5" spans="2:21" ht="15.6">
      <c r="B5" s="44" t="s">
        <v>271</v>
      </c>
      <c r="C5" s="42">
        <f ca="1">SUM(C6:C9)*KAIZEN!$K$10</f>
        <v>108625.5</v>
      </c>
      <c r="D5" s="42">
        <f>SUM(D6:D9)</f>
        <v>21319.5</v>
      </c>
      <c r="E5" s="42">
        <f ca="1">SUM(E6:E9)*KAIZEN!$K$10</f>
        <v>46638.5</v>
      </c>
      <c r="F5" s="42">
        <f t="shared" ref="F5:G5" si="1">SUM(F6:F9)</f>
        <v>78836</v>
      </c>
      <c r="G5" s="42">
        <f t="shared" si="1"/>
        <v>127985.5</v>
      </c>
      <c r="H5" s="5"/>
      <c r="I5" s="5"/>
      <c r="J5" s="5"/>
      <c r="K5" s="5"/>
      <c r="L5" s="5"/>
      <c r="M5" s="5"/>
      <c r="N5" s="5"/>
      <c r="O5" s="5"/>
      <c r="P5" s="5"/>
      <c r="Q5" s="5"/>
      <c r="R5" s="5"/>
      <c r="S5" s="5"/>
      <c r="T5" s="5"/>
      <c r="U5" s="5"/>
    </row>
    <row r="6" spans="2:21">
      <c r="B6" s="5" t="s">
        <v>98</v>
      </c>
      <c r="C6" s="98">
        <v>13625.5</v>
      </c>
      <c r="D6" s="98">
        <v>21319.5</v>
      </c>
      <c r="E6" s="98">
        <v>46638.5</v>
      </c>
      <c r="F6" s="98">
        <v>78836</v>
      </c>
      <c r="G6" s="98">
        <v>127985.5</v>
      </c>
      <c r="H6" s="5"/>
      <c r="I6" s="5"/>
      <c r="J6" s="5"/>
      <c r="K6" s="5"/>
      <c r="L6" s="5"/>
      <c r="M6" s="5"/>
      <c r="N6" s="5"/>
      <c r="O6" s="5"/>
      <c r="P6" s="5"/>
      <c r="Q6" s="5"/>
      <c r="R6" s="5"/>
      <c r="S6" s="5"/>
      <c r="T6" s="5"/>
      <c r="U6" s="5"/>
    </row>
    <row r="7" spans="2:21">
      <c r="B7" s="37" t="s">
        <v>272</v>
      </c>
      <c r="C7" s="97">
        <v>0</v>
      </c>
      <c r="D7" s="97">
        <v>0</v>
      </c>
      <c r="E7" s="97">
        <v>0</v>
      </c>
      <c r="F7" s="97">
        <v>0</v>
      </c>
      <c r="G7" s="97">
        <v>0</v>
      </c>
      <c r="H7" s="173">
        <f>SUM(C7:G7)</f>
        <v>0</v>
      </c>
      <c r="I7" s="5"/>
      <c r="J7" s="5"/>
      <c r="K7" s="5"/>
      <c r="L7" s="5"/>
      <c r="M7" s="5"/>
      <c r="N7" s="5"/>
      <c r="O7" s="5"/>
      <c r="P7" s="5"/>
      <c r="Q7" s="5"/>
      <c r="R7" s="5"/>
      <c r="S7" s="5"/>
      <c r="T7" s="5"/>
      <c r="U7" s="5"/>
    </row>
    <row r="8" spans="2:21">
      <c r="B8" s="5" t="s">
        <v>273</v>
      </c>
      <c r="C8" s="98">
        <v>75000</v>
      </c>
      <c r="D8" s="98">
        <v>0</v>
      </c>
      <c r="E8" s="98">
        <v>0</v>
      </c>
      <c r="F8" s="98">
        <v>0</v>
      </c>
      <c r="G8" s="98">
        <v>0</v>
      </c>
      <c r="H8" s="173">
        <f t="shared" ref="H8:H9" si="2">SUM(C8:G8)</f>
        <v>75000</v>
      </c>
      <c r="I8" s="5"/>
      <c r="J8" s="5"/>
      <c r="K8" s="5"/>
      <c r="L8" s="5"/>
      <c r="M8" s="5"/>
      <c r="N8" s="5"/>
      <c r="O8" s="5"/>
      <c r="P8" s="5"/>
      <c r="Q8" s="5"/>
      <c r="R8" s="5"/>
      <c r="S8" s="5"/>
      <c r="T8" s="5"/>
      <c r="U8" s="5"/>
    </row>
    <row r="9" spans="2:21">
      <c r="B9" s="112" t="s">
        <v>274</v>
      </c>
      <c r="C9" s="97">
        <v>20000</v>
      </c>
      <c r="D9" s="97">
        <v>0</v>
      </c>
      <c r="E9" s="97">
        <v>0</v>
      </c>
      <c r="F9" s="97">
        <v>0</v>
      </c>
      <c r="G9" s="97">
        <v>0</v>
      </c>
      <c r="H9" s="173">
        <f t="shared" si="2"/>
        <v>20000</v>
      </c>
      <c r="I9" s="5"/>
      <c r="J9" s="5"/>
      <c r="K9" s="5"/>
      <c r="L9" s="5"/>
      <c r="M9" s="5"/>
      <c r="N9" s="5"/>
      <c r="O9" s="5"/>
      <c r="P9" s="5"/>
      <c r="Q9" s="5"/>
      <c r="R9" s="5"/>
      <c r="S9" s="5"/>
      <c r="T9" s="5"/>
      <c r="U9" s="5"/>
    </row>
    <row r="10" spans="2:21" ht="5.25" customHeight="1">
      <c r="B10" s="5"/>
      <c r="C10" s="5"/>
      <c r="D10" s="5"/>
      <c r="E10" s="5"/>
      <c r="F10" s="5"/>
      <c r="G10" s="5"/>
      <c r="H10" s="5"/>
      <c r="I10" s="5"/>
      <c r="J10" s="5"/>
      <c r="K10" s="5"/>
      <c r="L10" s="5"/>
      <c r="M10" s="5"/>
      <c r="N10" s="5"/>
      <c r="O10" s="5"/>
      <c r="P10" s="5"/>
      <c r="Q10" s="5"/>
      <c r="R10" s="5"/>
      <c r="S10" s="5"/>
      <c r="T10" s="5"/>
      <c r="U10" s="5"/>
    </row>
    <row r="11" spans="2:21" ht="15.6">
      <c r="B11" s="44" t="s">
        <v>275</v>
      </c>
      <c r="C11" s="42">
        <f>+C12+C16+C27+C30+C33+C37</f>
        <v>70157.253100000002</v>
      </c>
      <c r="D11" s="42">
        <f ca="1">(+D12+D16+D27+D30+D33+D37)*KAIZEN!$K$10</f>
        <v>44422.49</v>
      </c>
      <c r="E11" s="42">
        <f t="shared" ref="E11:G11" si="3">+E12+E16+E27+E30+E33+E37</f>
        <v>45450.51</v>
      </c>
      <c r="F11" s="42">
        <f t="shared" si="3"/>
        <v>51630.69</v>
      </c>
      <c r="G11" s="42">
        <f t="shared" si="3"/>
        <v>59765.770000000004</v>
      </c>
      <c r="H11" s="5"/>
      <c r="I11" s="5"/>
      <c r="J11" s="5"/>
      <c r="K11" s="5"/>
      <c r="L11" s="5"/>
      <c r="M11" s="5"/>
      <c r="N11" s="5"/>
      <c r="O11" s="5"/>
      <c r="P11" s="5"/>
      <c r="Q11" s="5"/>
      <c r="R11" s="5"/>
      <c r="S11" s="5"/>
      <c r="T11" s="5"/>
      <c r="U11" s="5"/>
    </row>
    <row r="12" spans="2:21" ht="15.75" customHeight="1">
      <c r="B12" s="45" t="s">
        <v>276</v>
      </c>
      <c r="C12" s="46">
        <f>SUM(C13:C15)</f>
        <v>9500</v>
      </c>
      <c r="D12" s="46">
        <f t="shared" ref="D12:F12" si="4">SUM(D13:D15)</f>
        <v>9500</v>
      </c>
      <c r="E12" s="46">
        <f t="shared" si="4"/>
        <v>9200</v>
      </c>
      <c r="F12" s="46">
        <f t="shared" si="4"/>
        <v>9650</v>
      </c>
      <c r="G12" s="46">
        <f>SUM(G13:G15)</f>
        <v>9550</v>
      </c>
      <c r="H12" s="231" t="str">
        <f ca="1">+IF(KAIZEN!K10=0,"Está utizando ésta Hoja de Cálculo sin la autorización de su autor y por lo tanto de una forma fraudulenta. Los resultados mostrados son erroneos. Cierre la aplicación y pida autorización para poder continuar.", " ")</f>
        <v xml:space="preserve"> </v>
      </c>
      <c r="I12" s="231"/>
      <c r="J12" s="231"/>
      <c r="L12" s="5"/>
      <c r="M12" s="5"/>
      <c r="N12" s="5"/>
      <c r="O12" s="5"/>
      <c r="P12" s="5"/>
      <c r="Q12" s="5"/>
      <c r="R12" s="5"/>
      <c r="S12" s="5"/>
      <c r="T12" s="5"/>
      <c r="U12" s="5"/>
    </row>
    <row r="13" spans="2:21" ht="15" customHeight="1">
      <c r="B13" s="5" t="s">
        <v>277</v>
      </c>
      <c r="C13" s="98">
        <v>5500</v>
      </c>
      <c r="D13" s="98">
        <v>6500</v>
      </c>
      <c r="E13" s="98">
        <v>6500</v>
      </c>
      <c r="F13" s="98">
        <v>6500</v>
      </c>
      <c r="G13" s="98">
        <v>6500</v>
      </c>
      <c r="H13" s="231"/>
      <c r="I13" s="231"/>
      <c r="J13" s="231"/>
      <c r="L13" s="5"/>
      <c r="M13" s="5"/>
      <c r="N13" s="5"/>
      <c r="O13" s="5"/>
      <c r="P13" s="5"/>
      <c r="Q13" s="5"/>
      <c r="R13" s="5"/>
      <c r="S13" s="5"/>
      <c r="T13" s="5"/>
      <c r="U13" s="5"/>
    </row>
    <row r="14" spans="2:21" ht="15" customHeight="1">
      <c r="B14" s="37" t="s">
        <v>278</v>
      </c>
      <c r="C14" s="97">
        <v>2000</v>
      </c>
      <c r="D14" s="97">
        <v>2000</v>
      </c>
      <c r="E14" s="97">
        <v>1500</v>
      </c>
      <c r="F14" s="97">
        <v>2000</v>
      </c>
      <c r="G14" s="97">
        <v>2000</v>
      </c>
      <c r="H14" s="231"/>
      <c r="I14" s="231"/>
      <c r="J14" s="231"/>
      <c r="L14" s="5"/>
      <c r="M14" s="5"/>
      <c r="N14" s="5"/>
      <c r="O14" s="5"/>
      <c r="P14" s="5"/>
      <c r="Q14" s="5"/>
      <c r="R14" s="5"/>
      <c r="S14" s="5"/>
      <c r="T14" s="5"/>
      <c r="U14" s="5"/>
    </row>
    <row r="15" spans="2:21" ht="15" customHeight="1">
      <c r="B15" s="5" t="s">
        <v>279</v>
      </c>
      <c r="C15" s="98">
        <v>2000</v>
      </c>
      <c r="D15" s="98">
        <v>1000</v>
      </c>
      <c r="E15" s="98">
        <v>1200</v>
      </c>
      <c r="F15" s="98">
        <v>1150</v>
      </c>
      <c r="G15" s="98">
        <v>1050</v>
      </c>
      <c r="H15" s="231"/>
      <c r="I15" s="231"/>
      <c r="J15" s="231"/>
      <c r="L15" s="5"/>
      <c r="M15" s="5"/>
      <c r="N15" s="5"/>
      <c r="O15" s="5"/>
      <c r="P15" s="5"/>
      <c r="Q15" s="5"/>
      <c r="R15" s="5"/>
      <c r="S15" s="5"/>
      <c r="T15" s="5"/>
      <c r="U15" s="5"/>
    </row>
    <row r="16" spans="2:21" ht="15.75" customHeight="1">
      <c r="B16" s="45" t="s">
        <v>280</v>
      </c>
      <c r="C16" s="46">
        <f>SUM(C17:C26)</f>
        <v>14547.5</v>
      </c>
      <c r="D16" s="46">
        <f t="shared" ref="D16:G16" si="5">SUM(D17:D26)</f>
        <v>7097.5</v>
      </c>
      <c r="E16" s="46">
        <f t="shared" si="5"/>
        <v>8297.5</v>
      </c>
      <c r="F16" s="46">
        <f t="shared" si="5"/>
        <v>7872.5</v>
      </c>
      <c r="G16" s="46">
        <f t="shared" si="5"/>
        <v>9072.5</v>
      </c>
      <c r="H16" s="231"/>
      <c r="I16" s="231"/>
      <c r="J16" s="231"/>
      <c r="L16" s="5"/>
      <c r="M16" s="5"/>
      <c r="N16" s="5"/>
      <c r="O16" s="5"/>
      <c r="P16" s="5"/>
      <c r="Q16" s="5"/>
      <c r="R16" s="5"/>
      <c r="S16" s="5"/>
      <c r="T16" s="5"/>
      <c r="U16" s="5"/>
    </row>
    <row r="17" spans="2:21" ht="15" customHeight="1">
      <c r="B17" s="5" t="s">
        <v>281</v>
      </c>
      <c r="C17" s="98">
        <v>1450</v>
      </c>
      <c r="D17" s="98">
        <v>1750</v>
      </c>
      <c r="E17" s="98">
        <v>2000</v>
      </c>
      <c r="F17" s="98">
        <v>2000</v>
      </c>
      <c r="G17" s="98">
        <v>2200</v>
      </c>
      <c r="H17" s="231"/>
      <c r="I17" s="231"/>
      <c r="J17" s="231"/>
      <c r="L17" s="5"/>
      <c r="M17" s="5"/>
      <c r="N17" s="5"/>
      <c r="O17" s="5"/>
      <c r="P17" s="5"/>
      <c r="Q17" s="5"/>
      <c r="R17" s="5"/>
      <c r="S17" s="5"/>
      <c r="T17" s="5"/>
      <c r="U17" s="5"/>
    </row>
    <row r="18" spans="2:21" ht="15" customHeight="1">
      <c r="B18" s="37" t="s">
        <v>282</v>
      </c>
      <c r="C18" s="97">
        <v>0</v>
      </c>
      <c r="D18" s="97">
        <v>0</v>
      </c>
      <c r="E18" s="97">
        <v>0</v>
      </c>
      <c r="F18" s="97">
        <v>0</v>
      </c>
      <c r="G18" s="97">
        <v>0</v>
      </c>
      <c r="H18" s="231"/>
      <c r="I18" s="231"/>
      <c r="J18" s="231"/>
      <c r="L18" s="5"/>
      <c r="M18" s="5"/>
      <c r="N18" s="5"/>
      <c r="O18" s="5"/>
      <c r="P18" s="5"/>
      <c r="Q18" s="5"/>
      <c r="R18" s="5"/>
      <c r="S18" s="5"/>
      <c r="T18" s="5"/>
      <c r="U18" s="5"/>
    </row>
    <row r="19" spans="2:21" ht="15" customHeight="1">
      <c r="B19" s="5" t="s">
        <v>283</v>
      </c>
      <c r="C19" s="98">
        <v>1797.5</v>
      </c>
      <c r="D19" s="98">
        <v>1797.5</v>
      </c>
      <c r="E19" s="98">
        <v>1797.5</v>
      </c>
      <c r="F19" s="98">
        <v>1797.5</v>
      </c>
      <c r="G19" s="98">
        <v>1797.5</v>
      </c>
      <c r="H19" s="231"/>
      <c r="I19" s="231"/>
      <c r="J19" s="231"/>
      <c r="L19" s="5"/>
      <c r="M19" s="5"/>
      <c r="N19" s="5"/>
      <c r="O19" s="5"/>
      <c r="P19" s="5"/>
      <c r="Q19" s="5"/>
      <c r="R19" s="5"/>
      <c r="S19" s="5"/>
      <c r="T19" s="5"/>
      <c r="U19" s="5"/>
    </row>
    <row r="20" spans="2:21" ht="15" customHeight="1">
      <c r="B20" s="43" t="s">
        <v>284</v>
      </c>
      <c r="C20" s="97">
        <v>400</v>
      </c>
      <c r="D20" s="97">
        <v>400</v>
      </c>
      <c r="E20" s="97">
        <v>400</v>
      </c>
      <c r="F20" s="97">
        <v>400</v>
      </c>
      <c r="G20" s="97">
        <v>400</v>
      </c>
      <c r="H20" s="231"/>
      <c r="I20" s="231"/>
      <c r="J20" s="231"/>
      <c r="L20" s="5"/>
      <c r="M20" s="5"/>
      <c r="N20" s="5"/>
      <c r="O20" s="5"/>
      <c r="P20" s="5"/>
      <c r="Q20" s="5"/>
      <c r="R20" s="5"/>
      <c r="S20" s="5"/>
      <c r="T20" s="5"/>
      <c r="U20" s="5"/>
    </row>
    <row r="21" spans="2:21" ht="15" customHeight="1">
      <c r="B21" s="5" t="s">
        <v>285</v>
      </c>
      <c r="C21" s="98">
        <v>250</v>
      </c>
      <c r="D21" s="98">
        <v>250</v>
      </c>
      <c r="E21" s="98">
        <v>250</v>
      </c>
      <c r="F21" s="98">
        <v>250</v>
      </c>
      <c r="G21" s="98">
        <v>1000</v>
      </c>
      <c r="H21" s="231"/>
      <c r="I21" s="231"/>
      <c r="J21" s="231"/>
      <c r="K21" s="5"/>
      <c r="L21" s="5"/>
      <c r="M21" s="5"/>
      <c r="N21" s="5"/>
      <c r="O21" s="5"/>
      <c r="P21" s="5"/>
      <c r="Q21" s="5"/>
      <c r="R21" s="5"/>
      <c r="S21" s="5"/>
      <c r="T21" s="5"/>
      <c r="U21" s="5"/>
    </row>
    <row r="22" spans="2:21" ht="15" customHeight="1">
      <c r="B22" s="37" t="s">
        <v>286</v>
      </c>
      <c r="C22" s="97">
        <v>1250</v>
      </c>
      <c r="D22" s="97">
        <v>1250</v>
      </c>
      <c r="E22" s="97">
        <v>1250</v>
      </c>
      <c r="F22" s="97">
        <v>1275</v>
      </c>
      <c r="G22" s="97">
        <v>1275</v>
      </c>
      <c r="H22" s="231"/>
      <c r="I22" s="231"/>
      <c r="J22" s="231"/>
      <c r="K22" s="5"/>
      <c r="L22" s="5"/>
      <c r="M22" s="5"/>
      <c r="N22" s="5"/>
      <c r="O22" s="5"/>
      <c r="P22" s="5"/>
      <c r="Q22" s="5"/>
      <c r="R22" s="5"/>
      <c r="S22" s="5"/>
      <c r="T22" s="5"/>
      <c r="U22" s="5"/>
    </row>
    <row r="23" spans="2:21" ht="15" customHeight="1">
      <c r="B23" s="5" t="s">
        <v>287</v>
      </c>
      <c r="C23" s="98">
        <v>550</v>
      </c>
      <c r="D23" s="98">
        <v>150</v>
      </c>
      <c r="E23" s="98">
        <v>150</v>
      </c>
      <c r="F23" s="98">
        <v>150</v>
      </c>
      <c r="G23" s="98">
        <v>150</v>
      </c>
      <c r="H23" s="231"/>
      <c r="I23" s="231"/>
      <c r="J23" s="231"/>
      <c r="K23" s="5"/>
      <c r="L23" s="5"/>
      <c r="M23" s="5"/>
      <c r="N23" s="5"/>
      <c r="O23" s="5"/>
      <c r="P23" s="5"/>
      <c r="Q23" s="5"/>
      <c r="R23" s="5"/>
      <c r="S23" s="5"/>
      <c r="T23" s="5"/>
      <c r="U23" s="5"/>
    </row>
    <row r="24" spans="2:21" ht="15" customHeight="1">
      <c r="B24" s="37" t="s">
        <v>288</v>
      </c>
      <c r="C24" s="97">
        <v>8850</v>
      </c>
      <c r="D24" s="97">
        <v>1500</v>
      </c>
      <c r="E24" s="97">
        <v>2450</v>
      </c>
      <c r="F24" s="97">
        <v>2000</v>
      </c>
      <c r="G24" s="97">
        <v>2250</v>
      </c>
      <c r="H24" s="231"/>
      <c r="I24" s="231"/>
      <c r="J24" s="231"/>
      <c r="K24" s="5"/>
      <c r="L24" s="5"/>
      <c r="M24" s="5"/>
      <c r="N24" s="5"/>
      <c r="O24" s="5"/>
      <c r="P24" s="5"/>
      <c r="Q24" s="5"/>
      <c r="R24" s="5"/>
      <c r="S24" s="5"/>
      <c r="T24" s="5"/>
      <c r="U24" s="5"/>
    </row>
    <row r="25" spans="2:21" ht="15" customHeight="1">
      <c r="B25" s="18" t="s">
        <v>289</v>
      </c>
      <c r="C25" s="98">
        <v>0</v>
      </c>
      <c r="D25" s="98">
        <v>0</v>
      </c>
      <c r="E25" s="98">
        <v>0</v>
      </c>
      <c r="F25" s="98">
        <v>0</v>
      </c>
      <c r="G25" s="98">
        <v>0</v>
      </c>
      <c r="H25" s="120"/>
      <c r="I25" s="120"/>
      <c r="J25" s="5"/>
      <c r="K25" s="5"/>
      <c r="L25" s="5"/>
      <c r="M25" s="5"/>
      <c r="N25" s="5"/>
      <c r="O25" s="5"/>
      <c r="P25" s="5"/>
      <c r="Q25" s="5"/>
      <c r="R25" s="5"/>
      <c r="S25" s="5"/>
      <c r="T25" s="5"/>
      <c r="U25" s="5"/>
    </row>
    <row r="26" spans="2:21">
      <c r="B26" s="113" t="s">
        <v>290</v>
      </c>
      <c r="C26" s="97">
        <v>0</v>
      </c>
      <c r="D26" s="97">
        <v>0</v>
      </c>
      <c r="E26" s="97">
        <v>0</v>
      </c>
      <c r="F26" s="97">
        <v>0</v>
      </c>
      <c r="G26" s="97">
        <v>0</v>
      </c>
      <c r="H26" s="5"/>
      <c r="I26" s="5"/>
      <c r="J26" s="5"/>
      <c r="K26" s="5"/>
      <c r="L26" s="5"/>
      <c r="M26" s="5"/>
      <c r="N26" s="5"/>
      <c r="O26" s="5"/>
      <c r="P26" s="5"/>
      <c r="Q26" s="5"/>
      <c r="R26" s="5"/>
      <c r="S26" s="5"/>
      <c r="T26" s="5"/>
      <c r="U26" s="5"/>
    </row>
    <row r="27" spans="2:21" ht="15.6">
      <c r="B27" s="45" t="s">
        <v>291</v>
      </c>
      <c r="C27" s="46">
        <f>SUM(C28:C29)</f>
        <v>-10662.866900000001</v>
      </c>
      <c r="D27" s="46">
        <f t="shared" ref="D27:G27" si="6">SUM(D28:D29)</f>
        <v>-3541.73</v>
      </c>
      <c r="E27" s="46">
        <f t="shared" si="6"/>
        <v>3266.29</v>
      </c>
      <c r="F27" s="46">
        <f t="shared" si="6"/>
        <v>10421.470000000001</v>
      </c>
      <c r="G27" s="46">
        <f t="shared" si="6"/>
        <v>20281.05</v>
      </c>
      <c r="H27" s="5"/>
      <c r="I27" s="5"/>
      <c r="J27" s="5"/>
      <c r="K27" s="5"/>
      <c r="L27" s="5"/>
      <c r="M27" s="5"/>
      <c r="N27" s="5"/>
      <c r="O27" s="5"/>
      <c r="P27" s="5"/>
      <c r="Q27" s="5"/>
      <c r="R27" s="5"/>
      <c r="S27" s="5"/>
      <c r="T27" s="5"/>
      <c r="U27" s="5"/>
    </row>
    <row r="28" spans="2:21">
      <c r="B28" s="47" t="s">
        <v>292</v>
      </c>
      <c r="C28" s="98">
        <v>1618.75</v>
      </c>
      <c r="D28" s="98">
        <v>1919.19</v>
      </c>
      <c r="E28" s="98">
        <v>3304.79</v>
      </c>
      <c r="F28" s="98">
        <v>4488.72</v>
      </c>
      <c r="G28" s="98">
        <v>4732.9799999999996</v>
      </c>
      <c r="H28" s="5"/>
      <c r="I28" s="5"/>
      <c r="J28" s="5"/>
      <c r="K28" s="5"/>
      <c r="L28" s="5"/>
      <c r="M28" s="5"/>
      <c r="N28" s="5"/>
      <c r="O28" s="5"/>
      <c r="P28" s="5"/>
      <c r="Q28" s="5"/>
      <c r="R28" s="5"/>
      <c r="S28" s="5"/>
      <c r="T28" s="5"/>
      <c r="U28" s="5"/>
    </row>
    <row r="29" spans="2:21">
      <c r="B29" s="37" t="s">
        <v>293</v>
      </c>
      <c r="C29" s="97">
        <v>-12281.616900000001</v>
      </c>
      <c r="D29" s="97">
        <v>-5460.92</v>
      </c>
      <c r="E29" s="97">
        <v>-38.5</v>
      </c>
      <c r="F29" s="97">
        <v>5932.75</v>
      </c>
      <c r="G29" s="97">
        <v>15548.07</v>
      </c>
      <c r="H29" s="5"/>
      <c r="I29" s="5"/>
      <c r="J29" s="5"/>
      <c r="K29" s="5"/>
      <c r="L29" s="5"/>
      <c r="M29" s="5"/>
      <c r="N29" s="5"/>
      <c r="O29" s="5"/>
      <c r="P29" s="5"/>
      <c r="Q29" s="5"/>
      <c r="R29" s="5"/>
      <c r="S29" s="5"/>
      <c r="T29" s="5"/>
      <c r="U29" s="5"/>
    </row>
    <row r="30" spans="2:21" ht="15.6">
      <c r="B30" s="45" t="s">
        <v>294</v>
      </c>
      <c r="C30" s="46">
        <f>SUM(C31:C32)</f>
        <v>14832</v>
      </c>
      <c r="D30" s="46">
        <f t="shared" ref="D30" si="7">SUM(D31:D32)</f>
        <v>14832</v>
      </c>
      <c r="E30" s="46">
        <f t="shared" ref="E30" si="8">SUM(E31:E32)</f>
        <v>14832</v>
      </c>
      <c r="F30" s="46">
        <f t="shared" ref="F30" si="9">SUM(F31:F32)</f>
        <v>14832</v>
      </c>
      <c r="G30" s="46">
        <f t="shared" ref="G30" si="10">SUM(G31:G32)</f>
        <v>14832</v>
      </c>
      <c r="H30" s="5"/>
      <c r="I30" s="5"/>
      <c r="J30" s="5"/>
      <c r="K30" s="5"/>
      <c r="L30" s="5"/>
      <c r="M30" s="5"/>
      <c r="N30" s="5"/>
      <c r="O30" s="5"/>
      <c r="P30" s="5"/>
      <c r="Q30" s="5"/>
      <c r="R30" s="5"/>
      <c r="S30" s="5"/>
      <c r="T30" s="5"/>
      <c r="U30" s="5"/>
    </row>
    <row r="31" spans="2:21">
      <c r="B31" s="5" t="s">
        <v>295</v>
      </c>
      <c r="C31" s="98">
        <v>12000</v>
      </c>
      <c r="D31" s="98">
        <v>12000</v>
      </c>
      <c r="E31" s="98">
        <v>12000</v>
      </c>
      <c r="F31" s="98">
        <v>12000</v>
      </c>
      <c r="G31" s="98">
        <v>12000</v>
      </c>
      <c r="H31" s="5"/>
      <c r="I31" s="5"/>
      <c r="J31" s="5"/>
      <c r="K31" s="5"/>
      <c r="L31" s="5"/>
      <c r="M31" s="5"/>
      <c r="N31" s="5"/>
      <c r="O31" s="5"/>
      <c r="P31" s="5"/>
      <c r="Q31" s="5"/>
      <c r="R31" s="5"/>
      <c r="S31" s="5"/>
      <c r="T31" s="5"/>
      <c r="U31" s="5"/>
    </row>
    <row r="32" spans="2:21" ht="15" customHeight="1">
      <c r="B32" s="48" t="s">
        <v>296</v>
      </c>
      <c r="C32" s="103">
        <v>2832</v>
      </c>
      <c r="D32" s="103">
        <v>2832</v>
      </c>
      <c r="E32" s="103">
        <v>2832</v>
      </c>
      <c r="F32" s="103">
        <v>2832</v>
      </c>
      <c r="G32" s="103">
        <v>2832</v>
      </c>
      <c r="H32" s="5"/>
      <c r="I32" s="5"/>
      <c r="J32" s="5"/>
      <c r="K32" s="5"/>
      <c r="L32" s="5"/>
      <c r="M32" s="5"/>
      <c r="N32" s="5"/>
      <c r="O32" s="5"/>
      <c r="P32" s="5"/>
      <c r="Q32" s="5"/>
      <c r="R32" s="5"/>
      <c r="S32" s="5"/>
      <c r="T32" s="5"/>
      <c r="U32" s="5"/>
    </row>
    <row r="33" spans="2:21" ht="15.6">
      <c r="B33" s="45" t="s">
        <v>297</v>
      </c>
      <c r="C33" s="46">
        <f>SUM(C34:C36)</f>
        <v>4707.12</v>
      </c>
      <c r="D33" s="46">
        <f t="shared" ref="D33" si="11">SUM(D34:D36)</f>
        <v>4707.12</v>
      </c>
      <c r="E33" s="46">
        <f t="shared" ref="E33" si="12">SUM(E34:E36)</f>
        <v>4707.12</v>
      </c>
      <c r="F33" s="46">
        <f>SUM(F34:F36)</f>
        <v>4707.12</v>
      </c>
      <c r="G33" s="46">
        <f>SUM(G34:G36)</f>
        <v>4707.12</v>
      </c>
      <c r="H33" s="5"/>
      <c r="I33" s="5"/>
      <c r="J33" s="5"/>
      <c r="K33" s="5"/>
      <c r="L33" s="5"/>
      <c r="M33" s="5"/>
      <c r="N33" s="5"/>
      <c r="O33" s="5"/>
      <c r="P33" s="5"/>
      <c r="Q33" s="5"/>
      <c r="R33" s="5"/>
      <c r="S33" s="5"/>
      <c r="T33" s="5"/>
      <c r="U33" s="5"/>
    </row>
    <row r="34" spans="2:21">
      <c r="B34" s="5" t="s">
        <v>298</v>
      </c>
      <c r="C34" s="98">
        <v>4707.12</v>
      </c>
      <c r="D34" s="98">
        <v>4707.12</v>
      </c>
      <c r="E34" s="98">
        <v>4707.12</v>
      </c>
      <c r="F34" s="98">
        <v>4707.12</v>
      </c>
      <c r="G34" s="98">
        <v>4707.12</v>
      </c>
      <c r="H34" s="5"/>
      <c r="I34" s="5"/>
      <c r="J34" s="5"/>
      <c r="K34" s="5"/>
      <c r="L34" s="5"/>
      <c r="M34" s="5"/>
      <c r="N34" s="5"/>
      <c r="O34" s="5"/>
      <c r="P34" s="5"/>
      <c r="Q34" s="5"/>
      <c r="R34" s="5"/>
      <c r="S34" s="5"/>
      <c r="T34" s="5"/>
      <c r="U34" s="5"/>
    </row>
    <row r="35" spans="2:21">
      <c r="B35" s="37" t="s">
        <v>299</v>
      </c>
      <c r="C35" s="97">
        <v>0</v>
      </c>
      <c r="D35" s="97">
        <v>0</v>
      </c>
      <c r="E35" s="97">
        <v>0</v>
      </c>
      <c r="F35" s="97">
        <v>0</v>
      </c>
      <c r="G35" s="97">
        <v>0</v>
      </c>
      <c r="H35" s="5"/>
      <c r="I35" s="5"/>
      <c r="J35" s="5"/>
      <c r="K35" s="5"/>
      <c r="L35" s="5"/>
      <c r="M35" s="5"/>
      <c r="N35" s="5"/>
      <c r="O35" s="5"/>
      <c r="P35" s="5"/>
      <c r="Q35" s="5"/>
      <c r="R35" s="5"/>
      <c r="S35" s="5"/>
      <c r="T35" s="5"/>
      <c r="U35" s="5"/>
    </row>
    <row r="36" spans="2:21">
      <c r="B36" s="5" t="s">
        <v>300</v>
      </c>
      <c r="C36" s="98">
        <v>0</v>
      </c>
      <c r="D36" s="98">
        <v>0</v>
      </c>
      <c r="E36" s="98">
        <v>0</v>
      </c>
      <c r="F36" s="98">
        <v>0</v>
      </c>
      <c r="G36" s="98">
        <v>0</v>
      </c>
      <c r="H36" s="5"/>
      <c r="I36" s="5"/>
      <c r="J36" s="5"/>
      <c r="K36" s="5"/>
      <c r="L36" s="5"/>
      <c r="M36" s="5"/>
      <c r="N36" s="5"/>
      <c r="O36" s="5"/>
      <c r="P36" s="5"/>
      <c r="Q36" s="5"/>
      <c r="R36" s="5"/>
      <c r="S36" s="5"/>
      <c r="T36" s="5"/>
      <c r="U36" s="5"/>
    </row>
    <row r="37" spans="2:21" ht="15.6">
      <c r="B37" s="45" t="s">
        <v>301</v>
      </c>
      <c r="C37" s="46">
        <f>SUM(C38:C39)</f>
        <v>37233.5</v>
      </c>
      <c r="D37" s="46">
        <f>SUM(D38:D39)</f>
        <v>11827.6</v>
      </c>
      <c r="E37" s="46">
        <f t="shared" ref="E37:F37" si="13">SUM(E38:E39)</f>
        <v>5147.6000000000004</v>
      </c>
      <c r="F37" s="46">
        <f t="shared" si="13"/>
        <v>4147.6000000000004</v>
      </c>
      <c r="G37" s="46">
        <f>SUM(G38:G39)</f>
        <v>1323.1</v>
      </c>
      <c r="H37" s="5"/>
      <c r="I37" s="5"/>
      <c r="J37" s="5"/>
      <c r="K37" s="5"/>
      <c r="L37" s="5"/>
      <c r="M37" s="5"/>
      <c r="N37" s="5"/>
      <c r="O37" s="5"/>
      <c r="P37" s="5"/>
      <c r="Q37" s="5"/>
      <c r="R37" s="5"/>
      <c r="S37" s="5"/>
      <c r="T37" s="5"/>
      <c r="U37" s="5"/>
    </row>
    <row r="38" spans="2:21">
      <c r="B38" s="5" t="s">
        <v>302</v>
      </c>
      <c r="C38" s="98">
        <v>21386</v>
      </c>
      <c r="D38" s="98">
        <v>5427.5</v>
      </c>
      <c r="E38" s="98">
        <v>500</v>
      </c>
      <c r="F38" s="98">
        <v>0</v>
      </c>
      <c r="G38" s="98">
        <v>0</v>
      </c>
      <c r="H38" s="5"/>
      <c r="I38" s="5"/>
      <c r="J38" s="5"/>
      <c r="K38" s="5"/>
      <c r="L38" s="5"/>
      <c r="M38" s="5"/>
      <c r="N38" s="5"/>
      <c r="O38" s="5"/>
      <c r="P38" s="5"/>
      <c r="Q38" s="5"/>
      <c r="R38" s="5"/>
      <c r="S38" s="5"/>
      <c r="T38" s="5"/>
      <c r="U38" s="5"/>
    </row>
    <row r="39" spans="2:21">
      <c r="B39" s="37" t="s">
        <v>303</v>
      </c>
      <c r="C39" s="97">
        <v>15847.5</v>
      </c>
      <c r="D39" s="97">
        <v>6400.1</v>
      </c>
      <c r="E39" s="97">
        <v>4647.6000000000004</v>
      </c>
      <c r="F39" s="97">
        <v>4147.6000000000004</v>
      </c>
      <c r="G39" s="97">
        <v>1323.1</v>
      </c>
      <c r="H39" s="5"/>
      <c r="I39" s="5"/>
      <c r="J39" s="5"/>
      <c r="K39" s="5"/>
      <c r="L39" s="5"/>
      <c r="M39" s="5"/>
      <c r="N39" s="5"/>
      <c r="O39" s="5"/>
      <c r="P39" s="5"/>
      <c r="Q39" s="5"/>
      <c r="R39" s="5"/>
      <c r="S39" s="5"/>
      <c r="T39" s="5"/>
      <c r="U39" s="5"/>
    </row>
    <row r="40" spans="2:21" ht="18.600000000000001">
      <c r="B40" s="34" t="s">
        <v>270</v>
      </c>
      <c r="C40" s="34">
        <f ca="1">+C4</f>
        <v>2024</v>
      </c>
      <c r="D40" s="34">
        <f t="shared" ref="D40:G40" ca="1" si="14">+D4</f>
        <v>2025</v>
      </c>
      <c r="E40" s="34">
        <f t="shared" ca="1" si="14"/>
        <v>2026</v>
      </c>
      <c r="F40" s="34">
        <f t="shared" ca="1" si="14"/>
        <v>2027</v>
      </c>
      <c r="G40" s="34">
        <f t="shared" ca="1" si="14"/>
        <v>2028</v>
      </c>
      <c r="H40" s="5"/>
      <c r="I40" s="5"/>
      <c r="J40" s="5"/>
      <c r="K40" s="5"/>
      <c r="L40" s="5"/>
      <c r="M40" s="5"/>
      <c r="N40" s="5"/>
      <c r="O40" s="5"/>
      <c r="P40" s="5"/>
      <c r="Q40" s="5"/>
      <c r="R40" s="5"/>
      <c r="S40" s="5"/>
      <c r="T40" s="5"/>
      <c r="U40" s="5"/>
    </row>
    <row r="41" spans="2:21" ht="15.6">
      <c r="B41" s="44" t="s">
        <v>304</v>
      </c>
      <c r="C41" s="42">
        <f>+C6-C12</f>
        <v>4125.5</v>
      </c>
      <c r="D41" s="42">
        <f t="shared" ref="D41:G41" si="15">+D6-D12</f>
        <v>11819.5</v>
      </c>
      <c r="E41" s="42">
        <f t="shared" si="15"/>
        <v>37438.5</v>
      </c>
      <c r="F41" s="42">
        <f t="shared" si="15"/>
        <v>69186</v>
      </c>
      <c r="G41" s="42">
        <f t="shared" si="15"/>
        <v>118435.5</v>
      </c>
      <c r="H41" s="5"/>
      <c r="I41" s="5"/>
      <c r="J41" s="5"/>
      <c r="K41" s="5"/>
      <c r="L41" s="5"/>
      <c r="M41" s="5"/>
      <c r="N41" s="5"/>
      <c r="O41" s="5"/>
      <c r="P41" s="5"/>
      <c r="Q41" s="5"/>
      <c r="R41" s="5"/>
      <c r="S41" s="5"/>
      <c r="T41" s="5"/>
      <c r="U41" s="5"/>
    </row>
    <row r="42" spans="2:21" ht="17.45">
      <c r="B42" s="44" t="s">
        <v>305</v>
      </c>
      <c r="C42" s="42">
        <f ca="1">+C5-C11</f>
        <v>38468.246899999998</v>
      </c>
      <c r="D42" s="42">
        <f ca="1">+D5-D11+C44</f>
        <v>9595.019865000002</v>
      </c>
      <c r="E42" s="42">
        <f t="shared" ref="E42:G42" ca="1" si="16">+E5-E11+D44</f>
        <v>8384.2548987499995</v>
      </c>
      <c r="F42" s="42">
        <f t="shared" ca="1" si="16"/>
        <v>33493.501174062498</v>
      </c>
      <c r="G42" s="42">
        <f t="shared" ca="1" si="16"/>
        <v>93339.855880546878</v>
      </c>
      <c r="H42" s="5"/>
      <c r="I42" s="5"/>
      <c r="J42" s="5"/>
      <c r="K42" s="5"/>
      <c r="L42" s="5"/>
      <c r="M42" s="5"/>
      <c r="N42" s="5"/>
      <c r="O42" s="5"/>
      <c r="P42" s="5"/>
      <c r="Q42" s="5"/>
      <c r="R42" s="5"/>
      <c r="S42" s="5"/>
      <c r="T42" s="5"/>
      <c r="U42" s="5"/>
    </row>
    <row r="43" spans="2:21" ht="15.6">
      <c r="B43" s="44" t="s">
        <v>306</v>
      </c>
      <c r="C43" s="42">
        <f ca="1">IF(C42&lt;=0,0,C42*0.15)</f>
        <v>5770.2370349999992</v>
      </c>
      <c r="D43" s="42">
        <f ca="1">IF(D42&lt;=0,0,D42*0.25)</f>
        <v>2398.7549662500005</v>
      </c>
      <c r="E43" s="42">
        <f t="shared" ref="E43:G43" ca="1" si="17">IF(E42&lt;=0,0,E42*0.25)</f>
        <v>2096.0637246874999</v>
      </c>
      <c r="F43" s="42">
        <f t="shared" ca="1" si="17"/>
        <v>8373.3752935156244</v>
      </c>
      <c r="G43" s="42">
        <f t="shared" ca="1" si="17"/>
        <v>23334.96397013672</v>
      </c>
      <c r="H43" s="5"/>
      <c r="I43" s="5"/>
      <c r="J43" s="5"/>
      <c r="K43" s="5"/>
      <c r="L43" s="5"/>
      <c r="M43" s="5"/>
      <c r="N43" s="5"/>
      <c r="O43" s="5"/>
      <c r="P43" s="5"/>
      <c r="Q43" s="5"/>
      <c r="R43" s="5"/>
      <c r="S43" s="5"/>
      <c r="T43" s="5"/>
      <c r="U43" s="5"/>
    </row>
    <row r="44" spans="2:21" ht="18.600000000000001">
      <c r="B44" s="34" t="s">
        <v>307</v>
      </c>
      <c r="C44" s="35">
        <f ca="1">+(C42-C43)*KAIZEN!$K$10</f>
        <v>32698.009865</v>
      </c>
      <c r="D44" s="35">
        <f ca="1">+(D42-D43)*KAIZEN!$K$10</f>
        <v>7196.2648987500015</v>
      </c>
      <c r="E44" s="35">
        <f ca="1">+(E42-E43)*KAIZEN!$K$10</f>
        <v>6288.1911740625001</v>
      </c>
      <c r="F44" s="35">
        <f ca="1">+(F42-F43)*KAIZEN!$K$10</f>
        <v>25120.125880546875</v>
      </c>
      <c r="G44" s="35">
        <f ca="1">+(G42-G43)*KAIZEN!$K$10</f>
        <v>70004.891910410166</v>
      </c>
      <c r="H44" s="5"/>
      <c r="I44" s="5"/>
      <c r="J44" s="5"/>
      <c r="K44" s="5"/>
      <c r="L44" s="5"/>
      <c r="M44" s="5"/>
      <c r="N44" s="5"/>
      <c r="O44" s="5"/>
      <c r="P44" s="5"/>
      <c r="Q44" s="5"/>
      <c r="R44" s="5"/>
      <c r="S44" s="5"/>
      <c r="T44" s="5"/>
      <c r="U44" s="5"/>
    </row>
    <row r="45" spans="2:21">
      <c r="B45" s="5"/>
      <c r="C45" s="5"/>
      <c r="D45" s="5"/>
      <c r="E45" s="5"/>
      <c r="F45" s="5"/>
      <c r="G45" s="5"/>
      <c r="H45" s="5"/>
      <c r="I45" s="5"/>
      <c r="J45" s="5"/>
      <c r="K45" s="5"/>
      <c r="L45" s="5"/>
      <c r="M45" s="5"/>
      <c r="N45" s="5"/>
      <c r="O45" s="5"/>
      <c r="P45" s="5"/>
      <c r="Q45" s="5"/>
      <c r="R45" s="5"/>
      <c r="S45" s="5"/>
      <c r="T45" s="5"/>
      <c r="U45" s="5"/>
    </row>
    <row r="46" spans="2:21" ht="21">
      <c r="B46" s="5"/>
      <c r="C46" s="5"/>
      <c r="D46" s="5"/>
      <c r="E46" s="5"/>
      <c r="F46" s="5"/>
      <c r="G46" s="5"/>
      <c r="H46" s="230" t="str">
        <f>+$B$2</f>
        <v>SecondNote</v>
      </c>
      <c r="I46" s="230"/>
      <c r="J46" s="230"/>
      <c r="K46" s="230"/>
      <c r="L46" s="230"/>
      <c r="M46" s="230"/>
      <c r="N46" s="230"/>
      <c r="O46" s="230"/>
      <c r="P46" s="230"/>
      <c r="Q46" s="230"/>
      <c r="R46" s="230"/>
      <c r="S46" s="230"/>
      <c r="T46" s="230"/>
      <c r="U46" s="230"/>
    </row>
    <row r="47" spans="2:21" ht="21">
      <c r="B47" s="5"/>
      <c r="C47" s="5"/>
      <c r="D47" s="5"/>
      <c r="E47" s="5"/>
      <c r="F47" s="5"/>
      <c r="G47" s="5"/>
      <c r="H47" s="34"/>
      <c r="I47" s="27"/>
      <c r="J47" s="27"/>
      <c r="K47" s="27"/>
      <c r="L47" s="28"/>
      <c r="M47" s="27"/>
      <c r="N47" s="27"/>
      <c r="O47" s="28" t="s">
        <v>308</v>
      </c>
      <c r="P47" s="49">
        <f ca="1">+C4</f>
        <v>2024</v>
      </c>
      <c r="Q47" s="27"/>
      <c r="R47" s="27"/>
      <c r="S47" s="27"/>
      <c r="T47" s="27"/>
      <c r="U47" s="27"/>
    </row>
    <row r="48" spans="2:21" ht="18.75" customHeight="1">
      <c r="B48" s="5"/>
      <c r="C48" s="120"/>
      <c r="D48" s="5"/>
      <c r="E48" s="5"/>
      <c r="F48" s="5"/>
      <c r="G48" s="5"/>
      <c r="H48" s="34" t="s">
        <v>270</v>
      </c>
      <c r="I48" s="34" t="s">
        <v>309</v>
      </c>
      <c r="J48" s="34" t="s">
        <v>310</v>
      </c>
      <c r="K48" s="34" t="s">
        <v>311</v>
      </c>
      <c r="L48" s="34" t="s">
        <v>312</v>
      </c>
      <c r="M48" s="34" t="s">
        <v>313</v>
      </c>
      <c r="N48" s="34" t="s">
        <v>314</v>
      </c>
      <c r="O48" s="34" t="s">
        <v>315</v>
      </c>
      <c r="P48" s="34" t="s">
        <v>316</v>
      </c>
      <c r="Q48" s="34" t="s">
        <v>317</v>
      </c>
      <c r="R48" s="34" t="s">
        <v>318</v>
      </c>
      <c r="S48" s="34" t="s">
        <v>319</v>
      </c>
      <c r="T48" s="34" t="s">
        <v>320</v>
      </c>
      <c r="U48" s="34" t="s">
        <v>321</v>
      </c>
    </row>
    <row r="49" spans="2:21" ht="18.75" customHeight="1">
      <c r="B49" s="120"/>
      <c r="C49" s="120"/>
      <c r="D49" s="5"/>
      <c r="E49" s="5"/>
      <c r="F49" s="5"/>
      <c r="G49" s="5"/>
      <c r="H49" s="34" t="s">
        <v>322</v>
      </c>
      <c r="I49" s="50">
        <f>+J49</f>
        <v>0</v>
      </c>
      <c r="J49" s="104">
        <v>0</v>
      </c>
      <c r="K49" s="51">
        <f>+J75</f>
        <v>16141.494999999999</v>
      </c>
      <c r="L49" s="51">
        <f t="shared" ref="L49:U49" si="18">+K75</f>
        <v>13939.494999999999</v>
      </c>
      <c r="M49" s="51">
        <f t="shared" si="18"/>
        <v>13955.494999999999</v>
      </c>
      <c r="N49" s="51">
        <f t="shared" si="18"/>
        <v>14601.484999999999</v>
      </c>
      <c r="O49" s="51">
        <f t="shared" si="18"/>
        <v>15642.484999999999</v>
      </c>
      <c r="P49" s="51">
        <f t="shared" si="18"/>
        <v>29080.105000000003</v>
      </c>
      <c r="Q49" s="51">
        <f t="shared" si="18"/>
        <v>30937.095000000001</v>
      </c>
      <c r="R49" s="51">
        <f t="shared" si="18"/>
        <v>32723.084999999999</v>
      </c>
      <c r="S49" s="51">
        <f t="shared" si="18"/>
        <v>32979.074999999997</v>
      </c>
      <c r="T49" s="51">
        <f t="shared" si="18"/>
        <v>32977.574999999997</v>
      </c>
      <c r="U49" s="51">
        <f t="shared" si="18"/>
        <v>32888.564999999995</v>
      </c>
    </row>
    <row r="50" spans="2:21" ht="15" customHeight="1">
      <c r="B50" s="120"/>
      <c r="C50" s="120"/>
      <c r="D50" s="231" t="str">
        <f>+IF(KAIZEN!F44=0,"Está utizando ésta Hoja de Cálculo sin la autorización de su autor y por lo tanto de una forma fraudulenta. Los resultados mostrados son erroneos. Cierre la aplicación y pida autorización para poder continuar.", " ")</f>
        <v>Está utizando ésta Hoja de Cálculo sin la autorización de su autor y por lo tanto de una forma fraudulenta. Los resultados mostrados son erroneos. Cierre la aplicación y pida autorización para poder continuar.</v>
      </c>
      <c r="E50" s="231"/>
      <c r="F50" s="231"/>
      <c r="G50" s="5"/>
      <c r="H50" s="37" t="s">
        <v>323</v>
      </c>
      <c r="I50" s="52">
        <f ca="1">+SUM(J50:U50)*KAIZEN!$K$10</f>
        <v>21135.5</v>
      </c>
      <c r="J50" s="106">
        <v>1310</v>
      </c>
      <c r="K50" s="106">
        <v>1052</v>
      </c>
      <c r="L50" s="106">
        <v>1270</v>
      </c>
      <c r="M50" s="106">
        <v>1900</v>
      </c>
      <c r="N50" s="106">
        <v>2295</v>
      </c>
      <c r="O50" s="106">
        <v>2210</v>
      </c>
      <c r="P50" s="106">
        <v>2911</v>
      </c>
      <c r="Q50" s="106">
        <v>2840</v>
      </c>
      <c r="R50" s="106">
        <v>1310</v>
      </c>
      <c r="S50" s="106">
        <v>1202.5</v>
      </c>
      <c r="T50" s="106">
        <v>1165</v>
      </c>
      <c r="U50" s="106">
        <v>1670</v>
      </c>
    </row>
    <row r="51" spans="2:21" ht="15" customHeight="1">
      <c r="B51" s="120"/>
      <c r="C51" s="120"/>
      <c r="D51" s="231"/>
      <c r="E51" s="231"/>
      <c r="F51" s="231"/>
      <c r="G51" s="5"/>
      <c r="H51" s="5" t="s">
        <v>324</v>
      </c>
      <c r="I51" s="52">
        <f t="shared" ref="I51:I72" si="19">+SUM(J51:U51)</f>
        <v>0</v>
      </c>
      <c r="J51" s="105">
        <v>0</v>
      </c>
      <c r="K51" s="105">
        <v>0</v>
      </c>
      <c r="L51" s="105">
        <v>0</v>
      </c>
      <c r="M51" s="105">
        <v>0</v>
      </c>
      <c r="N51" s="105">
        <v>0</v>
      </c>
      <c r="O51" s="105">
        <v>0</v>
      </c>
      <c r="P51" s="105">
        <v>0</v>
      </c>
      <c r="Q51" s="105">
        <v>0</v>
      </c>
      <c r="R51" s="105">
        <v>0</v>
      </c>
      <c r="S51" s="105">
        <v>0</v>
      </c>
      <c r="T51" s="105">
        <v>0</v>
      </c>
      <c r="U51" s="105">
        <v>0</v>
      </c>
    </row>
    <row r="52" spans="2:21" ht="15" customHeight="1">
      <c r="B52" s="120"/>
      <c r="C52" s="120"/>
      <c r="D52" s="231"/>
      <c r="E52" s="231"/>
      <c r="F52" s="231"/>
      <c r="G52" s="5"/>
      <c r="H52" s="37" t="s">
        <v>325</v>
      </c>
      <c r="I52" s="52">
        <f t="shared" si="19"/>
        <v>40000</v>
      </c>
      <c r="J52" s="106">
        <v>3500</v>
      </c>
      <c r="K52" s="106">
        <v>3500</v>
      </c>
      <c r="L52" s="106">
        <v>3500</v>
      </c>
      <c r="M52" s="106">
        <v>3500</v>
      </c>
      <c r="N52" s="106">
        <v>3500</v>
      </c>
      <c r="O52" s="106">
        <v>3500</v>
      </c>
      <c r="P52" s="106">
        <v>3500</v>
      </c>
      <c r="Q52" s="106">
        <v>3500</v>
      </c>
      <c r="R52" s="106">
        <v>3500</v>
      </c>
      <c r="S52" s="106">
        <v>3500</v>
      </c>
      <c r="T52" s="106">
        <v>3500</v>
      </c>
      <c r="U52" s="106">
        <v>1500</v>
      </c>
    </row>
    <row r="53" spans="2:21" ht="15" customHeight="1">
      <c r="B53" s="120"/>
      <c r="C53" s="120"/>
      <c r="D53" s="231"/>
      <c r="E53" s="231"/>
      <c r="F53" s="231"/>
      <c r="G53" s="5"/>
      <c r="H53" s="5" t="s">
        <v>326</v>
      </c>
      <c r="I53" s="52">
        <f t="shared" si="19"/>
        <v>40000</v>
      </c>
      <c r="J53" s="105">
        <v>20000</v>
      </c>
      <c r="K53" s="105">
        <v>0</v>
      </c>
      <c r="L53" s="105">
        <v>2000</v>
      </c>
      <c r="M53" s="105">
        <v>2000</v>
      </c>
      <c r="N53" s="105">
        <v>2000</v>
      </c>
      <c r="O53" s="105">
        <v>2000</v>
      </c>
      <c r="P53" s="105">
        <v>2000</v>
      </c>
      <c r="Q53" s="105">
        <v>2000</v>
      </c>
      <c r="R53" s="105">
        <v>2000</v>
      </c>
      <c r="S53" s="105">
        <v>2000</v>
      </c>
      <c r="T53" s="105">
        <v>2000</v>
      </c>
      <c r="U53" s="105">
        <v>2000</v>
      </c>
    </row>
    <row r="54" spans="2:21" ht="15" customHeight="1">
      <c r="B54" s="120"/>
      <c r="C54" s="120"/>
      <c r="D54" s="231"/>
      <c r="E54" s="231"/>
      <c r="F54" s="231"/>
      <c r="G54" s="5"/>
      <c r="H54" s="37" t="s">
        <v>327</v>
      </c>
      <c r="I54" s="52">
        <f t="shared" si="19"/>
        <v>0</v>
      </c>
      <c r="J54" s="106">
        <v>0</v>
      </c>
      <c r="K54" s="106">
        <v>0</v>
      </c>
      <c r="L54" s="106">
        <v>0</v>
      </c>
      <c r="M54" s="106">
        <v>0</v>
      </c>
      <c r="N54" s="106">
        <v>0</v>
      </c>
      <c r="O54" s="106">
        <v>0</v>
      </c>
      <c r="P54" s="106">
        <v>0</v>
      </c>
      <c r="Q54" s="106">
        <v>0</v>
      </c>
      <c r="R54" s="106">
        <v>0</v>
      </c>
      <c r="S54" s="106">
        <v>0</v>
      </c>
      <c r="T54" s="106">
        <v>0</v>
      </c>
      <c r="U54" s="106">
        <v>0</v>
      </c>
    </row>
    <row r="55" spans="2:21" ht="15" customHeight="1">
      <c r="B55" s="120"/>
      <c r="C55" s="120"/>
      <c r="D55" s="231"/>
      <c r="E55" s="231"/>
      <c r="F55" s="231"/>
      <c r="G55" s="5"/>
      <c r="H55" s="18" t="s">
        <v>328</v>
      </c>
      <c r="I55" s="52">
        <f t="shared" si="19"/>
        <v>12281.62</v>
      </c>
      <c r="J55" s="105">
        <v>0</v>
      </c>
      <c r="K55" s="105">
        <v>0</v>
      </c>
      <c r="L55" s="105">
        <v>0</v>
      </c>
      <c r="M55" s="105">
        <v>0</v>
      </c>
      <c r="N55" s="105">
        <v>0</v>
      </c>
      <c r="O55" s="105">
        <v>12281.62</v>
      </c>
      <c r="P55" s="105">
        <v>0</v>
      </c>
      <c r="Q55" s="105">
        <v>0</v>
      </c>
      <c r="R55" s="105">
        <v>0</v>
      </c>
      <c r="S55" s="105">
        <v>0</v>
      </c>
      <c r="T55" s="105">
        <v>0</v>
      </c>
      <c r="U55" s="105">
        <v>0</v>
      </c>
    </row>
    <row r="56" spans="2:21" ht="18.75" customHeight="1">
      <c r="B56" s="120"/>
      <c r="C56" s="120"/>
      <c r="D56" s="231"/>
      <c r="E56" s="231"/>
      <c r="F56" s="231"/>
      <c r="G56" s="5"/>
      <c r="H56" s="34" t="s">
        <v>329</v>
      </c>
      <c r="I56" s="35">
        <f t="shared" ref="I56:U56" ca="1" si="20">+SUM(I50:I55)</f>
        <v>113417.12</v>
      </c>
      <c r="J56" s="51">
        <f t="shared" si="20"/>
        <v>24810</v>
      </c>
      <c r="K56" s="51">
        <f t="shared" si="20"/>
        <v>4552</v>
      </c>
      <c r="L56" s="51">
        <f t="shared" si="20"/>
        <v>6770</v>
      </c>
      <c r="M56" s="51">
        <f t="shared" si="20"/>
        <v>7400</v>
      </c>
      <c r="N56" s="51">
        <f t="shared" si="20"/>
        <v>7795</v>
      </c>
      <c r="O56" s="51">
        <f>+SUM(O50:O55)</f>
        <v>19991.620000000003</v>
      </c>
      <c r="P56" s="51">
        <f t="shared" si="20"/>
        <v>8411</v>
      </c>
      <c r="Q56" s="51">
        <f t="shared" si="20"/>
        <v>8340</v>
      </c>
      <c r="R56" s="51">
        <f t="shared" si="20"/>
        <v>6810</v>
      </c>
      <c r="S56" s="51">
        <f t="shared" si="20"/>
        <v>6702.5</v>
      </c>
      <c r="T56" s="51">
        <f t="shared" si="20"/>
        <v>6665</v>
      </c>
      <c r="U56" s="51">
        <f t="shared" si="20"/>
        <v>5170</v>
      </c>
    </row>
    <row r="57" spans="2:21" ht="15" customHeight="1">
      <c r="B57" s="120"/>
      <c r="C57" s="120"/>
      <c r="D57" s="231"/>
      <c r="E57" s="231"/>
      <c r="F57" s="231"/>
      <c r="G57" s="5"/>
      <c r="H57" s="5" t="s">
        <v>330</v>
      </c>
      <c r="I57" s="52">
        <f t="shared" si="19"/>
        <v>9500</v>
      </c>
      <c r="J57" s="105">
        <v>800</v>
      </c>
      <c r="K57" s="105">
        <v>800</v>
      </c>
      <c r="L57" s="105">
        <v>800</v>
      </c>
      <c r="M57" s="105">
        <v>800</v>
      </c>
      <c r="N57" s="105">
        <v>800</v>
      </c>
      <c r="O57" s="105">
        <v>800</v>
      </c>
      <c r="P57" s="105">
        <v>800</v>
      </c>
      <c r="Q57" s="105">
        <v>700</v>
      </c>
      <c r="R57" s="105">
        <v>800</v>
      </c>
      <c r="S57" s="105">
        <v>800</v>
      </c>
      <c r="T57" s="105">
        <v>800</v>
      </c>
      <c r="U57" s="105">
        <v>800</v>
      </c>
    </row>
    <row r="58" spans="2:21" ht="15" customHeight="1">
      <c r="B58" s="120"/>
      <c r="C58" s="120"/>
      <c r="D58" s="231"/>
      <c r="E58" s="231"/>
      <c r="F58" s="231"/>
      <c r="G58" s="5"/>
      <c r="H58" s="37" t="s">
        <v>331</v>
      </c>
      <c r="I58" s="52">
        <f t="shared" si="19"/>
        <v>1450</v>
      </c>
      <c r="J58" s="106">
        <v>200</v>
      </c>
      <c r="K58" s="106">
        <v>200</v>
      </c>
      <c r="L58" s="106">
        <v>200</v>
      </c>
      <c r="M58" s="106">
        <v>200</v>
      </c>
      <c r="N58" s="106">
        <v>200</v>
      </c>
      <c r="O58" s="106">
        <v>0</v>
      </c>
      <c r="P58" s="106">
        <v>0</v>
      </c>
      <c r="Q58" s="106">
        <v>100</v>
      </c>
      <c r="R58" s="106">
        <v>0</v>
      </c>
      <c r="S58" s="106">
        <v>150</v>
      </c>
      <c r="T58" s="106">
        <v>200</v>
      </c>
      <c r="U58" s="106">
        <v>0</v>
      </c>
    </row>
    <row r="59" spans="2:21" ht="15" customHeight="1">
      <c r="B59" s="120"/>
      <c r="C59" s="120"/>
      <c r="D59" s="231"/>
      <c r="E59" s="231"/>
      <c r="F59" s="231"/>
      <c r="G59" s="5"/>
      <c r="H59" s="5" t="s">
        <v>332</v>
      </c>
      <c r="I59" s="52">
        <f t="shared" si="19"/>
        <v>0</v>
      </c>
      <c r="J59" s="105">
        <v>0</v>
      </c>
      <c r="K59" s="105">
        <v>0</v>
      </c>
      <c r="L59" s="105">
        <v>0</v>
      </c>
      <c r="M59" s="105">
        <v>0</v>
      </c>
      <c r="N59" s="105">
        <v>0</v>
      </c>
      <c r="O59" s="105">
        <v>0</v>
      </c>
      <c r="P59" s="105">
        <v>0</v>
      </c>
      <c r="Q59" s="105">
        <v>0</v>
      </c>
      <c r="R59" s="105">
        <v>0</v>
      </c>
      <c r="S59" s="105">
        <v>0</v>
      </c>
      <c r="T59" s="105">
        <v>0</v>
      </c>
      <c r="U59" s="105">
        <v>0</v>
      </c>
    </row>
    <row r="60" spans="2:21" ht="15" customHeight="1">
      <c r="B60" s="120"/>
      <c r="C60" s="120"/>
      <c r="D60" s="231"/>
      <c r="E60" s="231"/>
      <c r="F60" s="231"/>
      <c r="G60" s="5"/>
      <c r="H60" s="37" t="s">
        <v>333</v>
      </c>
      <c r="I60" s="52">
        <f t="shared" si="19"/>
        <v>1797.4999999999998</v>
      </c>
      <c r="J60" s="106">
        <v>149.79</v>
      </c>
      <c r="K60" s="106">
        <v>149.79</v>
      </c>
      <c r="L60" s="106">
        <v>149.79</v>
      </c>
      <c r="M60" s="106">
        <v>149.79</v>
      </c>
      <c r="N60" s="106">
        <v>149.79</v>
      </c>
      <c r="O60" s="106">
        <v>149.79</v>
      </c>
      <c r="P60" s="106">
        <v>149.79</v>
      </c>
      <c r="Q60" s="106">
        <v>149.79</v>
      </c>
      <c r="R60" s="106">
        <v>149.79</v>
      </c>
      <c r="S60" s="106">
        <v>149.79</v>
      </c>
      <c r="T60" s="106">
        <v>149.79</v>
      </c>
      <c r="U60" s="106">
        <v>149.81</v>
      </c>
    </row>
    <row r="61" spans="2:21" ht="15" customHeight="1">
      <c r="B61" s="120"/>
      <c r="C61" s="120"/>
      <c r="D61" s="231"/>
      <c r="E61" s="231"/>
      <c r="F61" s="231"/>
      <c r="G61" s="5"/>
      <c r="H61" s="5" t="s">
        <v>334</v>
      </c>
      <c r="I61" s="52">
        <f t="shared" si="19"/>
        <v>400</v>
      </c>
      <c r="J61" s="105">
        <v>125</v>
      </c>
      <c r="K61" s="105">
        <v>25</v>
      </c>
      <c r="L61" s="105">
        <v>25</v>
      </c>
      <c r="M61" s="105">
        <v>25</v>
      </c>
      <c r="N61" s="105">
        <v>25</v>
      </c>
      <c r="O61" s="105">
        <v>25</v>
      </c>
      <c r="P61" s="105">
        <v>25</v>
      </c>
      <c r="Q61" s="105">
        <v>25</v>
      </c>
      <c r="R61" s="105">
        <v>25</v>
      </c>
      <c r="S61" s="105">
        <v>25</v>
      </c>
      <c r="T61" s="105">
        <v>25</v>
      </c>
      <c r="U61" s="105">
        <v>25</v>
      </c>
    </row>
    <row r="62" spans="2:21" ht="15" customHeight="1">
      <c r="B62" s="5"/>
      <c r="C62" s="5"/>
      <c r="D62" s="231"/>
      <c r="E62" s="231"/>
      <c r="F62" s="231"/>
      <c r="G62" s="5"/>
      <c r="H62" s="37" t="s">
        <v>335</v>
      </c>
      <c r="I62" s="52">
        <f t="shared" si="19"/>
        <v>249.99999999999994</v>
      </c>
      <c r="J62" s="106">
        <v>20.83</v>
      </c>
      <c r="K62" s="106">
        <v>20.83</v>
      </c>
      <c r="L62" s="106">
        <v>20.83</v>
      </c>
      <c r="M62" s="106">
        <v>20.83</v>
      </c>
      <c r="N62" s="106">
        <v>20.83</v>
      </c>
      <c r="O62" s="106">
        <v>20.83</v>
      </c>
      <c r="P62" s="106">
        <v>20.83</v>
      </c>
      <c r="Q62" s="106">
        <v>20.83</v>
      </c>
      <c r="R62" s="106">
        <v>20.83</v>
      </c>
      <c r="S62" s="106">
        <v>20.83</v>
      </c>
      <c r="T62" s="106">
        <v>20.83</v>
      </c>
      <c r="U62" s="106">
        <v>20.87</v>
      </c>
    </row>
    <row r="63" spans="2:21" ht="15" customHeight="1">
      <c r="B63" s="5"/>
      <c r="C63" s="5"/>
      <c r="D63" s="231"/>
      <c r="E63" s="231"/>
      <c r="F63" s="231"/>
      <c r="G63" s="5"/>
      <c r="H63" s="5" t="s">
        <v>336</v>
      </c>
      <c r="I63" s="52">
        <f t="shared" si="19"/>
        <v>1250</v>
      </c>
      <c r="J63" s="105">
        <v>106</v>
      </c>
      <c r="K63" s="105">
        <v>104</v>
      </c>
      <c r="L63" s="105">
        <v>104</v>
      </c>
      <c r="M63" s="105">
        <v>104</v>
      </c>
      <c r="N63" s="105">
        <v>104</v>
      </c>
      <c r="O63" s="105">
        <v>104</v>
      </c>
      <c r="P63" s="105">
        <v>104</v>
      </c>
      <c r="Q63" s="105">
        <v>104</v>
      </c>
      <c r="R63" s="105">
        <v>104</v>
      </c>
      <c r="S63" s="105">
        <v>104</v>
      </c>
      <c r="T63" s="105">
        <v>104</v>
      </c>
      <c r="U63" s="105">
        <v>104</v>
      </c>
    </row>
    <row r="64" spans="2:21">
      <c r="B64" s="5"/>
      <c r="C64" s="5"/>
      <c r="D64" s="231"/>
      <c r="E64" s="231"/>
      <c r="F64" s="231"/>
      <c r="G64" s="5"/>
      <c r="H64" s="37" t="s">
        <v>337</v>
      </c>
      <c r="I64" s="52">
        <f t="shared" si="19"/>
        <v>550</v>
      </c>
      <c r="J64" s="106">
        <v>275</v>
      </c>
      <c r="K64" s="106">
        <v>25</v>
      </c>
      <c r="L64" s="106">
        <v>25</v>
      </c>
      <c r="M64" s="106">
        <v>25</v>
      </c>
      <c r="N64" s="106">
        <v>25</v>
      </c>
      <c r="O64" s="106">
        <v>25</v>
      </c>
      <c r="P64" s="106">
        <v>25</v>
      </c>
      <c r="Q64" s="106">
        <v>25</v>
      </c>
      <c r="R64" s="106">
        <v>25</v>
      </c>
      <c r="S64" s="106">
        <v>25</v>
      </c>
      <c r="T64" s="106">
        <v>25</v>
      </c>
      <c r="U64" s="106">
        <v>25</v>
      </c>
    </row>
    <row r="65" spans="2:21">
      <c r="B65" s="5"/>
      <c r="C65" s="5"/>
      <c r="D65" s="231"/>
      <c r="E65" s="231"/>
      <c r="F65" s="231"/>
      <c r="G65" s="5"/>
      <c r="H65" s="5" t="s">
        <v>338</v>
      </c>
      <c r="I65" s="52">
        <f t="shared" si="19"/>
        <v>8212.5</v>
      </c>
      <c r="J65" s="105">
        <v>1200</v>
      </c>
      <c r="K65" s="105">
        <v>637.5</v>
      </c>
      <c r="L65" s="105">
        <v>637.5</v>
      </c>
      <c r="M65" s="105">
        <v>637.5</v>
      </c>
      <c r="N65" s="105">
        <v>637.5</v>
      </c>
      <c r="O65" s="105">
        <v>637.5</v>
      </c>
      <c r="P65" s="105">
        <v>637.5</v>
      </c>
      <c r="Q65" s="105">
        <v>637.5</v>
      </c>
      <c r="R65" s="105">
        <v>637.5</v>
      </c>
      <c r="S65" s="105">
        <v>637.5</v>
      </c>
      <c r="T65" s="105">
        <v>637.5</v>
      </c>
      <c r="U65" s="105">
        <v>637.5</v>
      </c>
    </row>
    <row r="66" spans="2:21">
      <c r="B66" s="5"/>
      <c r="C66" s="5"/>
      <c r="D66" s="231"/>
      <c r="E66" s="231"/>
      <c r="F66" s="231"/>
      <c r="G66" s="5"/>
      <c r="H66" s="37" t="s">
        <v>339</v>
      </c>
      <c r="I66" s="52">
        <f t="shared" si="19"/>
        <v>0</v>
      </c>
      <c r="J66" s="106">
        <v>0</v>
      </c>
      <c r="K66" s="106">
        <v>0</v>
      </c>
      <c r="L66" s="106">
        <v>0</v>
      </c>
      <c r="M66" s="106">
        <v>0</v>
      </c>
      <c r="N66" s="106">
        <v>0</v>
      </c>
      <c r="O66" s="106">
        <v>0</v>
      </c>
      <c r="P66" s="106">
        <v>0</v>
      </c>
      <c r="Q66" s="106">
        <v>0</v>
      </c>
      <c r="R66" s="106">
        <v>0</v>
      </c>
      <c r="S66" s="106">
        <v>0</v>
      </c>
      <c r="T66" s="106">
        <v>0</v>
      </c>
      <c r="U66" s="106">
        <v>0</v>
      </c>
    </row>
    <row r="67" spans="2:21">
      <c r="B67" s="5"/>
      <c r="C67" s="5"/>
      <c r="D67" s="231"/>
      <c r="E67" s="231"/>
      <c r="F67" s="231"/>
      <c r="G67" s="5"/>
      <c r="H67" s="5" t="s">
        <v>291</v>
      </c>
      <c r="I67" s="52">
        <f t="shared" si="19"/>
        <v>1618.75</v>
      </c>
      <c r="J67" s="105">
        <v>1000</v>
      </c>
      <c r="K67" s="105">
        <v>0</v>
      </c>
      <c r="L67" s="105">
        <v>0</v>
      </c>
      <c r="M67" s="105">
        <v>0</v>
      </c>
      <c r="N67" s="105">
        <v>0</v>
      </c>
      <c r="O67" s="143">
        <v>0</v>
      </c>
      <c r="P67" s="105">
        <v>0</v>
      </c>
      <c r="Q67" s="105">
        <v>0</v>
      </c>
      <c r="R67" s="105">
        <v>0</v>
      </c>
      <c r="S67" s="105">
        <v>0</v>
      </c>
      <c r="T67" s="105">
        <v>0</v>
      </c>
      <c r="U67" s="105">
        <v>618.75</v>
      </c>
    </row>
    <row r="68" spans="2:21">
      <c r="B68" s="5"/>
      <c r="C68" s="5"/>
      <c r="D68" s="5"/>
      <c r="E68" s="5"/>
      <c r="F68" s="5"/>
      <c r="G68" s="5"/>
      <c r="H68" s="37" t="s">
        <v>340</v>
      </c>
      <c r="I68" s="52">
        <f t="shared" si="19"/>
        <v>12000</v>
      </c>
      <c r="J68" s="106">
        <v>1000</v>
      </c>
      <c r="K68" s="106">
        <v>1000</v>
      </c>
      <c r="L68" s="106">
        <v>1000</v>
      </c>
      <c r="M68" s="106">
        <v>1000</v>
      </c>
      <c r="N68" s="106">
        <v>1000</v>
      </c>
      <c r="O68" s="106">
        <v>1000</v>
      </c>
      <c r="P68" s="106">
        <v>1000</v>
      </c>
      <c r="Q68" s="106">
        <v>1000</v>
      </c>
      <c r="R68" s="106">
        <v>1000</v>
      </c>
      <c r="S68" s="106">
        <v>1000</v>
      </c>
      <c r="T68" s="106">
        <v>1000</v>
      </c>
      <c r="U68" s="106">
        <v>1000</v>
      </c>
    </row>
    <row r="69" spans="2:21">
      <c r="B69" s="5"/>
      <c r="C69" s="5"/>
      <c r="D69" s="5"/>
      <c r="E69" s="5"/>
      <c r="F69" s="5"/>
      <c r="G69" s="5"/>
      <c r="H69" s="5" t="s">
        <v>341</v>
      </c>
      <c r="I69" s="52">
        <f t="shared" si="19"/>
        <v>2832</v>
      </c>
      <c r="J69" s="105">
        <v>236</v>
      </c>
      <c r="K69" s="105">
        <v>236</v>
      </c>
      <c r="L69" s="105">
        <v>236</v>
      </c>
      <c r="M69" s="105">
        <v>236</v>
      </c>
      <c r="N69" s="105">
        <v>236</v>
      </c>
      <c r="O69" s="105">
        <v>236</v>
      </c>
      <c r="P69" s="105">
        <v>236</v>
      </c>
      <c r="Q69" s="105">
        <v>236</v>
      </c>
      <c r="R69" s="105">
        <v>236</v>
      </c>
      <c r="S69" s="105">
        <v>236</v>
      </c>
      <c r="T69" s="105">
        <v>236</v>
      </c>
      <c r="U69" s="105">
        <v>236</v>
      </c>
    </row>
    <row r="70" spans="2:21">
      <c r="B70" s="5"/>
      <c r="C70" s="5"/>
      <c r="D70" s="5"/>
      <c r="E70" s="5"/>
      <c r="F70" s="5"/>
      <c r="G70" s="5"/>
      <c r="H70" s="37" t="s">
        <v>342</v>
      </c>
      <c r="I70" s="52">
        <f t="shared" si="19"/>
        <v>4707.1200000000008</v>
      </c>
      <c r="J70" s="106">
        <v>392.26</v>
      </c>
      <c r="K70" s="106">
        <v>392.26</v>
      </c>
      <c r="L70" s="106">
        <v>392.26</v>
      </c>
      <c r="M70" s="106">
        <v>392.26</v>
      </c>
      <c r="N70" s="106">
        <v>392.26</v>
      </c>
      <c r="O70" s="106">
        <v>392.26</v>
      </c>
      <c r="P70" s="106">
        <v>392.26</v>
      </c>
      <c r="Q70" s="106">
        <v>392.26</v>
      </c>
      <c r="R70" s="106">
        <v>392.26</v>
      </c>
      <c r="S70" s="106">
        <v>392.26</v>
      </c>
      <c r="T70" s="106">
        <v>392.26</v>
      </c>
      <c r="U70" s="106">
        <v>392.26</v>
      </c>
    </row>
    <row r="71" spans="2:21">
      <c r="B71" s="5"/>
      <c r="C71" s="5"/>
      <c r="D71" s="5"/>
      <c r="E71" s="5"/>
      <c r="F71" s="5"/>
      <c r="G71" s="5"/>
      <c r="H71" s="5" t="s">
        <v>343</v>
      </c>
      <c r="I71" s="52">
        <f t="shared" si="19"/>
        <v>0</v>
      </c>
      <c r="J71" s="105">
        <v>0</v>
      </c>
      <c r="K71" s="105">
        <v>0</v>
      </c>
      <c r="L71" s="105">
        <v>0</v>
      </c>
      <c r="M71" s="105">
        <v>0</v>
      </c>
      <c r="N71" s="105">
        <v>0</v>
      </c>
      <c r="O71" s="105">
        <v>0</v>
      </c>
      <c r="P71" s="105">
        <v>0</v>
      </c>
      <c r="Q71" s="105">
        <v>0</v>
      </c>
      <c r="R71" s="105">
        <v>0</v>
      </c>
      <c r="S71" s="105">
        <v>0</v>
      </c>
      <c r="T71" s="105">
        <v>0</v>
      </c>
      <c r="U71" s="105">
        <v>0</v>
      </c>
    </row>
    <row r="72" spans="2:21">
      <c r="B72" s="5"/>
      <c r="C72" s="5"/>
      <c r="D72" s="5"/>
      <c r="E72" s="5"/>
      <c r="F72" s="5"/>
      <c r="G72" s="5"/>
      <c r="H72" s="113" t="s">
        <v>344</v>
      </c>
      <c r="I72" s="52">
        <f t="shared" si="19"/>
        <v>37963.495000000003</v>
      </c>
      <c r="J72" s="105">
        <v>3163.625</v>
      </c>
      <c r="K72" s="105">
        <v>3163.62</v>
      </c>
      <c r="L72" s="105">
        <v>3163.62</v>
      </c>
      <c r="M72" s="105">
        <v>3163.63</v>
      </c>
      <c r="N72" s="105">
        <v>3163.62</v>
      </c>
      <c r="O72" s="105">
        <v>3163.62</v>
      </c>
      <c r="P72" s="105">
        <v>3163.63</v>
      </c>
      <c r="Q72" s="105">
        <v>3163.63</v>
      </c>
      <c r="R72" s="105">
        <v>3163.63</v>
      </c>
      <c r="S72" s="105">
        <v>3163.62</v>
      </c>
      <c r="T72" s="105">
        <v>3163.63</v>
      </c>
      <c r="U72" s="105">
        <v>3163.62</v>
      </c>
    </row>
    <row r="73" spans="2:21" ht="18.600000000000001">
      <c r="B73" s="5"/>
      <c r="C73" s="5"/>
      <c r="D73" s="5"/>
      <c r="E73" s="5"/>
      <c r="F73" s="5"/>
      <c r="G73" s="5"/>
      <c r="H73" s="34" t="s">
        <v>345</v>
      </c>
      <c r="I73" s="35">
        <f t="shared" ref="I73:U73" si="21">+SUM(I57:I72)</f>
        <v>82531.365000000005</v>
      </c>
      <c r="J73" s="51">
        <f t="shared" si="21"/>
        <v>8668.505000000001</v>
      </c>
      <c r="K73" s="51">
        <f t="shared" si="21"/>
        <v>6754</v>
      </c>
      <c r="L73" s="51">
        <f t="shared" si="21"/>
        <v>6754</v>
      </c>
      <c r="M73" s="51">
        <f t="shared" si="21"/>
        <v>6754.01</v>
      </c>
      <c r="N73" s="51">
        <f t="shared" si="21"/>
        <v>6754</v>
      </c>
      <c r="O73" s="51">
        <f t="shared" si="21"/>
        <v>6554</v>
      </c>
      <c r="P73" s="51">
        <f t="shared" si="21"/>
        <v>6554.01</v>
      </c>
      <c r="Q73" s="51">
        <f t="shared" si="21"/>
        <v>6554.01</v>
      </c>
      <c r="R73" s="51">
        <f t="shared" si="21"/>
        <v>6554.01</v>
      </c>
      <c r="S73" s="51">
        <f t="shared" si="21"/>
        <v>6704</v>
      </c>
      <c r="T73" s="51">
        <f t="shared" si="21"/>
        <v>6754.01</v>
      </c>
      <c r="U73" s="51">
        <f t="shared" si="21"/>
        <v>7172.8099999999995</v>
      </c>
    </row>
    <row r="74" spans="2:21" ht="18.600000000000001">
      <c r="B74" s="5"/>
      <c r="C74" s="5"/>
      <c r="D74" s="5"/>
      <c r="E74" s="5"/>
      <c r="F74" s="5"/>
      <c r="G74" s="5"/>
      <c r="H74" s="34" t="s">
        <v>346</v>
      </c>
      <c r="I74" s="35">
        <f t="shared" ref="I74:U74" ca="1" si="22">+I56-I73</f>
        <v>30885.75499999999</v>
      </c>
      <c r="J74" s="51">
        <f t="shared" si="22"/>
        <v>16141.494999999999</v>
      </c>
      <c r="K74" s="51">
        <f t="shared" si="22"/>
        <v>-2202</v>
      </c>
      <c r="L74" s="51">
        <f t="shared" si="22"/>
        <v>16</v>
      </c>
      <c r="M74" s="51">
        <f t="shared" si="22"/>
        <v>645.98999999999978</v>
      </c>
      <c r="N74" s="51">
        <f t="shared" si="22"/>
        <v>1041</v>
      </c>
      <c r="O74" s="51">
        <f t="shared" si="22"/>
        <v>13437.620000000003</v>
      </c>
      <c r="P74" s="51">
        <f t="shared" si="22"/>
        <v>1856.9899999999998</v>
      </c>
      <c r="Q74" s="51">
        <f t="shared" si="22"/>
        <v>1785.9899999999998</v>
      </c>
      <c r="R74" s="51">
        <f t="shared" si="22"/>
        <v>255.98999999999978</v>
      </c>
      <c r="S74" s="51">
        <f t="shared" si="22"/>
        <v>-1.5</v>
      </c>
      <c r="T74" s="51">
        <f t="shared" si="22"/>
        <v>-89.010000000000218</v>
      </c>
      <c r="U74" s="51">
        <f t="shared" si="22"/>
        <v>-2002.8099999999995</v>
      </c>
    </row>
    <row r="75" spans="2:21" ht="18.600000000000001">
      <c r="B75" s="5"/>
      <c r="C75" s="5"/>
      <c r="D75" s="5"/>
      <c r="E75" s="5"/>
      <c r="F75" s="5"/>
      <c r="G75" s="5"/>
      <c r="H75" s="34" t="s">
        <v>347</v>
      </c>
      <c r="I75" s="35">
        <f ca="1">+(I49+I74)*KAIZEN!$K$10</f>
        <v>30885.75499999999</v>
      </c>
      <c r="J75" s="51">
        <f t="shared" ref="J75:U75" si="23">+J49+J74</f>
        <v>16141.494999999999</v>
      </c>
      <c r="K75" s="51">
        <f t="shared" si="23"/>
        <v>13939.494999999999</v>
      </c>
      <c r="L75" s="51">
        <f t="shared" si="23"/>
        <v>13955.494999999999</v>
      </c>
      <c r="M75" s="51">
        <f t="shared" si="23"/>
        <v>14601.484999999999</v>
      </c>
      <c r="N75" s="51">
        <f t="shared" si="23"/>
        <v>15642.484999999999</v>
      </c>
      <c r="O75" s="51">
        <f t="shared" si="23"/>
        <v>29080.105000000003</v>
      </c>
      <c r="P75" s="51">
        <f t="shared" si="23"/>
        <v>30937.095000000001</v>
      </c>
      <c r="Q75" s="51">
        <f t="shared" si="23"/>
        <v>32723.084999999999</v>
      </c>
      <c r="R75" s="51">
        <f t="shared" si="23"/>
        <v>32979.074999999997</v>
      </c>
      <c r="S75" s="51">
        <f t="shared" si="23"/>
        <v>32977.574999999997</v>
      </c>
      <c r="T75" s="51">
        <f t="shared" si="23"/>
        <v>32888.564999999995</v>
      </c>
      <c r="U75" s="51">
        <f t="shared" si="23"/>
        <v>30885.754999999997</v>
      </c>
    </row>
    <row r="76" spans="2:21">
      <c r="B76" s="5"/>
      <c r="C76" s="5"/>
      <c r="D76" s="5"/>
      <c r="E76" s="5"/>
      <c r="F76" s="5"/>
      <c r="G76" s="5"/>
      <c r="H76" s="5"/>
      <c r="I76" s="5"/>
      <c r="J76" s="5"/>
      <c r="K76" s="5"/>
      <c r="L76" s="5"/>
      <c r="M76" s="5"/>
      <c r="N76" s="5"/>
      <c r="O76" s="5"/>
      <c r="P76" s="5"/>
      <c r="Q76" s="5"/>
      <c r="R76" s="5"/>
      <c r="S76" s="5"/>
      <c r="T76" s="5"/>
      <c r="U76" s="5"/>
    </row>
    <row r="77" spans="2:21" ht="21">
      <c r="B77" s="5"/>
      <c r="C77" s="5"/>
      <c r="D77" s="5"/>
      <c r="E77" s="5"/>
      <c r="F77" s="5"/>
      <c r="G77" s="5"/>
      <c r="H77" s="230" t="str">
        <f>+$B$2</f>
        <v>SecondNote</v>
      </c>
      <c r="I77" s="230"/>
      <c r="J77" s="230"/>
      <c r="K77" s="230"/>
      <c r="L77" s="230"/>
      <c r="M77" s="230"/>
      <c r="N77" s="230"/>
      <c r="O77" s="230"/>
      <c r="P77" s="230"/>
      <c r="Q77" s="230"/>
      <c r="R77" s="230"/>
      <c r="S77" s="230"/>
      <c r="T77" s="230"/>
      <c r="U77" s="230"/>
    </row>
    <row r="78" spans="2:21" ht="21">
      <c r="B78" s="5"/>
      <c r="C78" s="5"/>
      <c r="D78" s="5"/>
      <c r="E78" s="5"/>
      <c r="F78" s="5"/>
      <c r="G78" s="5"/>
      <c r="H78" s="34"/>
      <c r="I78" s="27"/>
      <c r="J78" s="27"/>
      <c r="K78" s="27"/>
      <c r="L78" s="28"/>
      <c r="M78" s="27"/>
      <c r="N78" s="27"/>
      <c r="O78" s="28" t="s">
        <v>308</v>
      </c>
      <c r="P78" s="49">
        <f ca="1">+P47+1</f>
        <v>2025</v>
      </c>
      <c r="Q78" s="27"/>
      <c r="R78" s="27"/>
      <c r="S78" s="27"/>
      <c r="T78" s="27"/>
      <c r="U78" s="27"/>
    </row>
    <row r="79" spans="2:21" ht="18.600000000000001">
      <c r="B79" s="5"/>
      <c r="C79" s="5"/>
      <c r="D79" s="5"/>
      <c r="E79" s="5"/>
      <c r="F79" s="5"/>
      <c r="G79" s="5"/>
      <c r="H79" s="34" t="s">
        <v>270</v>
      </c>
      <c r="I79" s="34" t="s">
        <v>309</v>
      </c>
      <c r="J79" s="34" t="s">
        <v>310</v>
      </c>
      <c r="K79" s="34" t="s">
        <v>311</v>
      </c>
      <c r="L79" s="34" t="s">
        <v>312</v>
      </c>
      <c r="M79" s="34" t="s">
        <v>313</v>
      </c>
      <c r="N79" s="34" t="s">
        <v>314</v>
      </c>
      <c r="O79" s="34" t="s">
        <v>315</v>
      </c>
      <c r="P79" s="34" t="s">
        <v>316</v>
      </c>
      <c r="Q79" s="34" t="s">
        <v>317</v>
      </c>
      <c r="R79" s="34" t="s">
        <v>318</v>
      </c>
      <c r="S79" s="34" t="s">
        <v>319</v>
      </c>
      <c r="T79" s="34" t="s">
        <v>320</v>
      </c>
      <c r="U79" s="34" t="s">
        <v>321</v>
      </c>
    </row>
    <row r="80" spans="2:21" ht="18.600000000000001">
      <c r="H80" s="34" t="s">
        <v>322</v>
      </c>
      <c r="I80" s="50">
        <f ca="1">+I75</f>
        <v>30885.75499999999</v>
      </c>
      <c r="J80" s="51">
        <f ca="1">+I75</f>
        <v>30885.75499999999</v>
      </c>
      <c r="K80" s="51">
        <f ca="1">+J106</f>
        <v>30778.624999999989</v>
      </c>
      <c r="L80" s="51">
        <f t="shared" ref="L80" ca="1" si="24">+K106</f>
        <v>31362.494999999988</v>
      </c>
      <c r="M80" s="51">
        <f t="shared" ref="M80" ca="1" si="25">+L106</f>
        <v>30961.864999999987</v>
      </c>
      <c r="N80" s="51">
        <f t="shared" ref="N80" ca="1" si="26">+M106</f>
        <v>31797.734999999986</v>
      </c>
      <c r="O80" s="51">
        <f t="shared" ref="O80" ca="1" si="27">+N106</f>
        <v>33011.604999999989</v>
      </c>
      <c r="P80" s="51">
        <f t="shared" ref="P80" ca="1" si="28">+O106</f>
        <v>40383.39499999999</v>
      </c>
      <c r="Q80" s="51">
        <f t="shared" ref="Q80" ca="1" si="29">+P106</f>
        <v>43168.264999999992</v>
      </c>
      <c r="R80" s="51">
        <f t="shared" ref="R80" ca="1" si="30">+Q106</f>
        <v>46606.134999999995</v>
      </c>
      <c r="S80" s="51">
        <f t="shared" ref="S80" ca="1" si="31">+R106</f>
        <v>47900.004999999997</v>
      </c>
      <c r="T80" s="51">
        <f t="shared" ref="T80" ca="1" si="32">+S106</f>
        <v>50006.875</v>
      </c>
      <c r="U80" s="51">
        <f t="shared" ref="U80" ca="1" si="33">+T106</f>
        <v>50747.745000000003</v>
      </c>
    </row>
    <row r="81" spans="8:21">
      <c r="H81" s="37" t="s">
        <v>323</v>
      </c>
      <c r="I81" s="52">
        <f t="shared" ref="I81:I86" si="34">+SUM(J81:U81)</f>
        <v>29911.5</v>
      </c>
      <c r="J81" s="106">
        <v>1892</v>
      </c>
      <c r="K81" s="106">
        <v>1533</v>
      </c>
      <c r="L81" s="106">
        <v>1598.5</v>
      </c>
      <c r="M81" s="106">
        <v>1835</v>
      </c>
      <c r="N81" s="106">
        <v>2113</v>
      </c>
      <c r="O81" s="106">
        <v>3010</v>
      </c>
      <c r="P81" s="106">
        <v>3984</v>
      </c>
      <c r="Q81" s="106">
        <v>4537</v>
      </c>
      <c r="R81" s="106">
        <v>2343</v>
      </c>
      <c r="S81" s="106">
        <v>2156</v>
      </c>
      <c r="T81" s="106">
        <v>1990</v>
      </c>
      <c r="U81" s="106">
        <v>2920</v>
      </c>
    </row>
    <row r="82" spans="8:21">
      <c r="H82" s="5" t="s">
        <v>324</v>
      </c>
      <c r="I82" s="52">
        <f t="shared" si="34"/>
        <v>0</v>
      </c>
      <c r="J82" s="105">
        <v>0</v>
      </c>
      <c r="K82" s="105">
        <v>0</v>
      </c>
      <c r="L82" s="105">
        <v>0</v>
      </c>
      <c r="M82" s="105">
        <v>0</v>
      </c>
      <c r="N82" s="105">
        <v>0</v>
      </c>
      <c r="O82" s="105">
        <v>0</v>
      </c>
      <c r="P82" s="105">
        <v>0</v>
      </c>
      <c r="Q82" s="105">
        <v>0</v>
      </c>
      <c r="R82" s="105">
        <v>0</v>
      </c>
      <c r="S82" s="105">
        <v>0</v>
      </c>
      <c r="T82" s="105">
        <v>0</v>
      </c>
      <c r="U82" s="105">
        <v>0</v>
      </c>
    </row>
    <row r="83" spans="8:21">
      <c r="H83" s="37" t="s">
        <v>326</v>
      </c>
      <c r="I83" s="52">
        <f t="shared" si="34"/>
        <v>15000</v>
      </c>
      <c r="J83" s="106">
        <v>1000</v>
      </c>
      <c r="K83" s="106">
        <v>1000</v>
      </c>
      <c r="L83" s="106">
        <v>2000</v>
      </c>
      <c r="M83" s="106">
        <v>1000</v>
      </c>
      <c r="N83" s="106">
        <v>1000</v>
      </c>
      <c r="O83" s="106">
        <v>1000</v>
      </c>
      <c r="P83" s="106">
        <v>1000</v>
      </c>
      <c r="Q83" s="106">
        <v>1000</v>
      </c>
      <c r="R83" s="106">
        <v>1000</v>
      </c>
      <c r="S83" s="106">
        <v>2000</v>
      </c>
      <c r="T83" s="106">
        <v>1000</v>
      </c>
      <c r="U83" s="106">
        <v>2000</v>
      </c>
    </row>
    <row r="84" spans="8:21">
      <c r="H84" s="5" t="s">
        <v>325</v>
      </c>
      <c r="I84" s="52">
        <f t="shared" si="34"/>
        <v>20000</v>
      </c>
      <c r="J84" s="105">
        <v>2000</v>
      </c>
      <c r="K84" s="105">
        <v>2000</v>
      </c>
      <c r="L84" s="105">
        <v>0</v>
      </c>
      <c r="M84" s="105">
        <v>2000</v>
      </c>
      <c r="N84" s="105">
        <v>2000</v>
      </c>
      <c r="O84" s="105">
        <v>2000</v>
      </c>
      <c r="P84" s="105">
        <v>2000</v>
      </c>
      <c r="Q84" s="105">
        <v>2000</v>
      </c>
      <c r="R84" s="105">
        <v>2000</v>
      </c>
      <c r="S84" s="105">
        <v>2000</v>
      </c>
      <c r="T84" s="105">
        <v>2000</v>
      </c>
      <c r="U84" s="105">
        <v>0</v>
      </c>
    </row>
    <row r="85" spans="8:21">
      <c r="H85" s="37" t="s">
        <v>327</v>
      </c>
      <c r="I85" s="52">
        <f t="shared" si="34"/>
        <v>0</v>
      </c>
      <c r="J85" s="106">
        <v>0</v>
      </c>
      <c r="K85" s="106">
        <v>0</v>
      </c>
      <c r="L85" s="106">
        <v>0</v>
      </c>
      <c r="M85" s="106">
        <v>0</v>
      </c>
      <c r="N85" s="106">
        <v>0</v>
      </c>
      <c r="O85" s="106">
        <v>0</v>
      </c>
      <c r="P85" s="106">
        <v>0</v>
      </c>
      <c r="Q85" s="106">
        <v>0</v>
      </c>
      <c r="R85" s="106">
        <v>0</v>
      </c>
      <c r="S85" s="106">
        <v>0</v>
      </c>
      <c r="T85" s="106">
        <v>0</v>
      </c>
      <c r="U85" s="106">
        <v>0</v>
      </c>
    </row>
    <row r="86" spans="8:21">
      <c r="H86" s="18" t="s">
        <v>328</v>
      </c>
      <c r="I86" s="52">
        <f t="shared" si="34"/>
        <v>5460.92</v>
      </c>
      <c r="J86" s="105">
        <v>0</v>
      </c>
      <c r="K86" s="105">
        <v>0</v>
      </c>
      <c r="L86" s="105">
        <v>0</v>
      </c>
      <c r="M86" s="105">
        <v>0</v>
      </c>
      <c r="N86" s="105">
        <v>0</v>
      </c>
      <c r="O86" s="105">
        <v>5460.92</v>
      </c>
      <c r="P86" s="105">
        <v>0</v>
      </c>
      <c r="Q86" s="105">
        <v>0</v>
      </c>
      <c r="R86" s="105">
        <v>0</v>
      </c>
      <c r="S86" s="105">
        <v>0</v>
      </c>
      <c r="T86" s="105">
        <v>0</v>
      </c>
      <c r="U86" s="105">
        <v>0</v>
      </c>
    </row>
    <row r="87" spans="8:21" ht="18.600000000000001">
      <c r="H87" s="34" t="s">
        <v>329</v>
      </c>
      <c r="I87" s="35">
        <f t="shared" ref="I87:U87" si="35">+SUM(I81:I86)</f>
        <v>70372.42</v>
      </c>
      <c r="J87" s="51">
        <f t="shared" si="35"/>
        <v>4892</v>
      </c>
      <c r="K87" s="51">
        <f t="shared" si="35"/>
        <v>4533</v>
      </c>
      <c r="L87" s="51">
        <f t="shared" si="35"/>
        <v>3598.5</v>
      </c>
      <c r="M87" s="51">
        <f t="shared" si="35"/>
        <v>4835</v>
      </c>
      <c r="N87" s="51">
        <f t="shared" si="35"/>
        <v>5113</v>
      </c>
      <c r="O87" s="51">
        <f t="shared" si="35"/>
        <v>11470.92</v>
      </c>
      <c r="P87" s="51">
        <f t="shared" si="35"/>
        <v>6984</v>
      </c>
      <c r="Q87" s="51">
        <f t="shared" si="35"/>
        <v>7537</v>
      </c>
      <c r="R87" s="51">
        <f t="shared" si="35"/>
        <v>5343</v>
      </c>
      <c r="S87" s="51">
        <f t="shared" si="35"/>
        <v>6156</v>
      </c>
      <c r="T87" s="51">
        <f t="shared" si="35"/>
        <v>4990</v>
      </c>
      <c r="U87" s="51">
        <f t="shared" si="35"/>
        <v>4920</v>
      </c>
    </row>
    <row r="88" spans="8:21">
      <c r="H88" s="5" t="s">
        <v>330</v>
      </c>
      <c r="I88" s="52">
        <f t="shared" ref="I88:I103" si="36">+SUM(J88:U88)</f>
        <v>9500</v>
      </c>
      <c r="J88" s="105">
        <v>700</v>
      </c>
      <c r="K88" s="105">
        <v>700</v>
      </c>
      <c r="L88" s="105">
        <v>800</v>
      </c>
      <c r="M88" s="105">
        <v>700</v>
      </c>
      <c r="N88" s="105">
        <v>700</v>
      </c>
      <c r="O88" s="105">
        <v>900</v>
      </c>
      <c r="P88" s="105">
        <v>900</v>
      </c>
      <c r="Q88" s="105">
        <v>900</v>
      </c>
      <c r="R88" s="105">
        <v>700</v>
      </c>
      <c r="S88" s="105">
        <v>700</v>
      </c>
      <c r="T88" s="105">
        <v>900</v>
      </c>
      <c r="U88" s="105">
        <v>900</v>
      </c>
    </row>
    <row r="89" spans="8:21">
      <c r="H89" s="37" t="s">
        <v>331</v>
      </c>
      <c r="I89" s="52">
        <f t="shared" si="36"/>
        <v>1750</v>
      </c>
      <c r="J89" s="106">
        <v>100</v>
      </c>
      <c r="K89" s="106">
        <v>150</v>
      </c>
      <c r="L89" s="106">
        <v>100</v>
      </c>
      <c r="M89" s="106">
        <v>200</v>
      </c>
      <c r="N89" s="106">
        <v>100</v>
      </c>
      <c r="O89" s="106">
        <v>100</v>
      </c>
      <c r="P89" s="106">
        <v>200</v>
      </c>
      <c r="Q89" s="106">
        <v>100</v>
      </c>
      <c r="R89" s="106">
        <v>250</v>
      </c>
      <c r="S89" s="106">
        <v>250</v>
      </c>
      <c r="T89" s="106">
        <v>100</v>
      </c>
      <c r="U89" s="106">
        <v>100</v>
      </c>
    </row>
    <row r="90" spans="8:21">
      <c r="H90" s="5" t="s">
        <v>332</v>
      </c>
      <c r="I90" s="52">
        <f t="shared" si="36"/>
        <v>0</v>
      </c>
      <c r="J90" s="105">
        <v>0</v>
      </c>
      <c r="K90" s="105">
        <v>0</v>
      </c>
      <c r="L90" s="105">
        <v>0</v>
      </c>
      <c r="M90" s="105">
        <v>0</v>
      </c>
      <c r="N90" s="105">
        <v>0</v>
      </c>
      <c r="O90" s="105">
        <v>0</v>
      </c>
      <c r="P90" s="105">
        <v>0</v>
      </c>
      <c r="Q90" s="105">
        <v>0</v>
      </c>
      <c r="R90" s="105">
        <v>0</v>
      </c>
      <c r="S90" s="105">
        <v>0</v>
      </c>
      <c r="T90" s="105">
        <v>0</v>
      </c>
      <c r="U90" s="105">
        <v>0</v>
      </c>
    </row>
    <row r="91" spans="8:21">
      <c r="H91" s="37" t="s">
        <v>333</v>
      </c>
      <c r="I91" s="52">
        <f t="shared" si="36"/>
        <v>1797.4999999999998</v>
      </c>
      <c r="J91" s="106">
        <v>149.79</v>
      </c>
      <c r="K91" s="106">
        <v>149.79</v>
      </c>
      <c r="L91" s="106">
        <v>149.79</v>
      </c>
      <c r="M91" s="106">
        <v>149.79</v>
      </c>
      <c r="N91" s="106">
        <v>149.79</v>
      </c>
      <c r="O91" s="106">
        <v>149.79</v>
      </c>
      <c r="P91" s="106">
        <v>149.79</v>
      </c>
      <c r="Q91" s="106">
        <v>149.79</v>
      </c>
      <c r="R91" s="106">
        <v>149.79</v>
      </c>
      <c r="S91" s="106">
        <v>149.79</v>
      </c>
      <c r="T91" s="106">
        <v>149.79</v>
      </c>
      <c r="U91" s="106">
        <v>149.81</v>
      </c>
    </row>
    <row r="92" spans="8:21">
      <c r="H92" s="5" t="s">
        <v>334</v>
      </c>
      <c r="I92" s="52">
        <f t="shared" si="36"/>
        <v>400</v>
      </c>
      <c r="J92" s="105">
        <v>125</v>
      </c>
      <c r="K92" s="105">
        <v>25</v>
      </c>
      <c r="L92" s="105">
        <v>25</v>
      </c>
      <c r="M92" s="105">
        <v>25</v>
      </c>
      <c r="N92" s="105">
        <v>25</v>
      </c>
      <c r="O92" s="105">
        <v>25</v>
      </c>
      <c r="P92" s="105">
        <v>25</v>
      </c>
      <c r="Q92" s="105">
        <v>25</v>
      </c>
      <c r="R92" s="105">
        <v>25</v>
      </c>
      <c r="S92" s="105">
        <v>25</v>
      </c>
      <c r="T92" s="105">
        <v>25</v>
      </c>
      <c r="U92" s="105">
        <v>25</v>
      </c>
    </row>
    <row r="93" spans="8:21">
      <c r="H93" s="37" t="s">
        <v>335</v>
      </c>
      <c r="I93" s="52">
        <f t="shared" si="36"/>
        <v>249.99999999999994</v>
      </c>
      <c r="J93" s="106">
        <v>20.83</v>
      </c>
      <c r="K93" s="106">
        <v>20.83</v>
      </c>
      <c r="L93" s="106">
        <v>20.83</v>
      </c>
      <c r="M93" s="106">
        <v>20.83</v>
      </c>
      <c r="N93" s="106">
        <v>20.83</v>
      </c>
      <c r="O93" s="106">
        <v>20.83</v>
      </c>
      <c r="P93" s="106">
        <v>20.83</v>
      </c>
      <c r="Q93" s="106">
        <v>20.83</v>
      </c>
      <c r="R93" s="106">
        <v>20.83</v>
      </c>
      <c r="S93" s="106">
        <v>20.83</v>
      </c>
      <c r="T93" s="106">
        <v>20.83</v>
      </c>
      <c r="U93" s="106">
        <v>20.87</v>
      </c>
    </row>
    <row r="94" spans="8:21">
      <c r="H94" s="5" t="s">
        <v>336</v>
      </c>
      <c r="I94" s="52">
        <f t="shared" si="36"/>
        <v>1250</v>
      </c>
      <c r="J94" s="105">
        <v>104</v>
      </c>
      <c r="K94" s="105">
        <v>104</v>
      </c>
      <c r="L94" s="105">
        <v>104</v>
      </c>
      <c r="M94" s="105">
        <v>104</v>
      </c>
      <c r="N94" s="105">
        <v>104</v>
      </c>
      <c r="O94" s="105">
        <v>104</v>
      </c>
      <c r="P94" s="105">
        <v>104</v>
      </c>
      <c r="Q94" s="105">
        <v>104</v>
      </c>
      <c r="R94" s="105">
        <v>104</v>
      </c>
      <c r="S94" s="105">
        <v>104</v>
      </c>
      <c r="T94" s="105">
        <v>104</v>
      </c>
      <c r="U94" s="105">
        <v>106</v>
      </c>
    </row>
    <row r="95" spans="8:21">
      <c r="H95" s="37" t="s">
        <v>337</v>
      </c>
      <c r="I95" s="52">
        <f t="shared" si="36"/>
        <v>150</v>
      </c>
      <c r="J95" s="106">
        <v>12.5</v>
      </c>
      <c r="K95" s="106">
        <v>12.5</v>
      </c>
      <c r="L95" s="106">
        <v>12.5</v>
      </c>
      <c r="M95" s="106">
        <v>12.5</v>
      </c>
      <c r="N95" s="106">
        <v>12.5</v>
      </c>
      <c r="O95" s="106">
        <v>12.5</v>
      </c>
      <c r="P95" s="106">
        <v>12.5</v>
      </c>
      <c r="Q95" s="106">
        <v>12.5</v>
      </c>
      <c r="R95" s="106">
        <v>12.5</v>
      </c>
      <c r="S95" s="106">
        <v>12.5</v>
      </c>
      <c r="T95" s="106">
        <v>12.5</v>
      </c>
      <c r="U95" s="106">
        <v>12.5</v>
      </c>
    </row>
    <row r="96" spans="8:21">
      <c r="H96" s="5" t="s">
        <v>338</v>
      </c>
      <c r="I96" s="52">
        <f t="shared" si="36"/>
        <v>1500</v>
      </c>
      <c r="J96" s="105">
        <v>100</v>
      </c>
      <c r="K96" s="105">
        <v>100</v>
      </c>
      <c r="L96" s="105">
        <v>100</v>
      </c>
      <c r="M96" s="105">
        <v>100</v>
      </c>
      <c r="N96" s="105">
        <v>100</v>
      </c>
      <c r="O96" s="105">
        <v>100</v>
      </c>
      <c r="P96" s="105">
        <v>100</v>
      </c>
      <c r="Q96" s="105">
        <v>100</v>
      </c>
      <c r="R96" s="105">
        <v>100</v>
      </c>
      <c r="S96" s="105">
        <v>100</v>
      </c>
      <c r="T96" s="105">
        <v>250</v>
      </c>
      <c r="U96" s="105">
        <v>250</v>
      </c>
    </row>
    <row r="97" spans="8:21">
      <c r="H97" s="37" t="s">
        <v>339</v>
      </c>
      <c r="I97" s="52">
        <f t="shared" si="36"/>
        <v>0</v>
      </c>
      <c r="J97" s="106">
        <v>0</v>
      </c>
      <c r="K97" s="106">
        <v>0</v>
      </c>
      <c r="L97" s="106">
        <v>0</v>
      </c>
      <c r="M97" s="106">
        <v>0</v>
      </c>
      <c r="N97" s="106">
        <v>0</v>
      </c>
      <c r="O97" s="106">
        <v>0</v>
      </c>
      <c r="P97" s="106">
        <v>0</v>
      </c>
      <c r="Q97" s="106">
        <v>0</v>
      </c>
      <c r="R97" s="106">
        <v>0</v>
      </c>
      <c r="S97" s="106">
        <v>0</v>
      </c>
      <c r="T97" s="106">
        <v>0</v>
      </c>
      <c r="U97" s="106">
        <v>0</v>
      </c>
    </row>
    <row r="98" spans="8:21">
      <c r="H98" s="5" t="s">
        <v>291</v>
      </c>
      <c r="I98" s="52">
        <f t="shared" si="36"/>
        <v>1919.19</v>
      </c>
      <c r="J98" s="105">
        <v>1000</v>
      </c>
      <c r="K98" s="105">
        <v>0</v>
      </c>
      <c r="L98" s="105">
        <v>0</v>
      </c>
      <c r="M98" s="105">
        <v>0</v>
      </c>
      <c r="N98" s="105">
        <v>0</v>
      </c>
      <c r="O98" s="105">
        <v>0</v>
      </c>
      <c r="P98" s="105">
        <v>0</v>
      </c>
      <c r="Q98" s="105">
        <v>0</v>
      </c>
      <c r="R98" s="105">
        <v>0</v>
      </c>
      <c r="S98" s="105">
        <v>0</v>
      </c>
      <c r="T98" s="105">
        <v>0</v>
      </c>
      <c r="U98" s="105">
        <v>919.19</v>
      </c>
    </row>
    <row r="99" spans="8:21">
      <c r="H99" s="37" t="s">
        <v>340</v>
      </c>
      <c r="I99" s="52">
        <f t="shared" si="36"/>
        <v>12000</v>
      </c>
      <c r="J99" s="106">
        <v>1000</v>
      </c>
      <c r="K99" s="106">
        <v>1000</v>
      </c>
      <c r="L99" s="106">
        <v>1000</v>
      </c>
      <c r="M99" s="106">
        <v>1000</v>
      </c>
      <c r="N99" s="106">
        <v>1000</v>
      </c>
      <c r="O99" s="106">
        <v>1000</v>
      </c>
      <c r="P99" s="106">
        <v>1000</v>
      </c>
      <c r="Q99" s="106">
        <v>1000</v>
      </c>
      <c r="R99" s="106">
        <v>1000</v>
      </c>
      <c r="S99" s="106">
        <v>1000</v>
      </c>
      <c r="T99" s="106">
        <v>1000</v>
      </c>
      <c r="U99" s="106">
        <v>1000</v>
      </c>
    </row>
    <row r="100" spans="8:21">
      <c r="H100" s="5" t="s">
        <v>341</v>
      </c>
      <c r="I100" s="52">
        <f t="shared" si="36"/>
        <v>2832</v>
      </c>
      <c r="J100" s="105">
        <v>236</v>
      </c>
      <c r="K100" s="105">
        <v>236</v>
      </c>
      <c r="L100" s="105">
        <v>236</v>
      </c>
      <c r="M100" s="105">
        <v>236</v>
      </c>
      <c r="N100" s="105">
        <v>236</v>
      </c>
      <c r="O100" s="105">
        <v>236</v>
      </c>
      <c r="P100" s="105">
        <v>236</v>
      </c>
      <c r="Q100" s="105">
        <v>236</v>
      </c>
      <c r="R100" s="105">
        <v>236</v>
      </c>
      <c r="S100" s="105">
        <v>236</v>
      </c>
      <c r="T100" s="105">
        <v>236</v>
      </c>
      <c r="U100" s="105">
        <v>236</v>
      </c>
    </row>
    <row r="101" spans="8:21">
      <c r="H101" s="37" t="s">
        <v>342</v>
      </c>
      <c r="I101" s="52">
        <f t="shared" si="36"/>
        <v>4707.1200000000008</v>
      </c>
      <c r="J101" s="106">
        <v>392.26</v>
      </c>
      <c r="K101" s="106">
        <v>392.26</v>
      </c>
      <c r="L101" s="106">
        <v>392.26</v>
      </c>
      <c r="M101" s="106">
        <v>392.26</v>
      </c>
      <c r="N101" s="106">
        <v>392.26</v>
      </c>
      <c r="O101" s="106">
        <v>392.26</v>
      </c>
      <c r="P101" s="106">
        <v>392.26</v>
      </c>
      <c r="Q101" s="106">
        <v>392.26</v>
      </c>
      <c r="R101" s="106">
        <v>392.26</v>
      </c>
      <c r="S101" s="106">
        <v>392.26</v>
      </c>
      <c r="T101" s="106">
        <v>392.26</v>
      </c>
      <c r="U101" s="106">
        <v>392.26</v>
      </c>
    </row>
    <row r="102" spans="8:21">
      <c r="H102" s="5" t="s">
        <v>343</v>
      </c>
      <c r="I102" s="52">
        <f t="shared" si="36"/>
        <v>0</v>
      </c>
      <c r="J102" s="105">
        <v>0</v>
      </c>
      <c r="K102" s="105">
        <v>0</v>
      </c>
      <c r="L102" s="105">
        <v>0</v>
      </c>
      <c r="M102" s="105">
        <v>0</v>
      </c>
      <c r="N102" s="105">
        <v>0</v>
      </c>
      <c r="O102" s="105">
        <v>0</v>
      </c>
      <c r="P102" s="105">
        <v>0</v>
      </c>
      <c r="Q102" s="105">
        <v>0</v>
      </c>
      <c r="R102" s="105">
        <v>0</v>
      </c>
      <c r="S102" s="105">
        <v>0</v>
      </c>
      <c r="T102" s="105">
        <v>0</v>
      </c>
      <c r="U102" s="105">
        <v>0</v>
      </c>
    </row>
    <row r="103" spans="8:21">
      <c r="H103" s="113" t="s">
        <v>344</v>
      </c>
      <c r="I103" s="52">
        <f t="shared" si="36"/>
        <v>12705</v>
      </c>
      <c r="J103" s="106">
        <v>1058.75</v>
      </c>
      <c r="K103" s="106">
        <v>1058.75</v>
      </c>
      <c r="L103" s="106">
        <v>1058.75</v>
      </c>
      <c r="M103" s="106">
        <v>1058.75</v>
      </c>
      <c r="N103" s="106">
        <v>1058.75</v>
      </c>
      <c r="O103" s="106">
        <v>1058.75</v>
      </c>
      <c r="P103" s="106">
        <v>1058.75</v>
      </c>
      <c r="Q103" s="106">
        <v>1058.75</v>
      </c>
      <c r="R103" s="106">
        <v>1058.75</v>
      </c>
      <c r="S103" s="106">
        <v>1058.75</v>
      </c>
      <c r="T103" s="106">
        <v>1058.75</v>
      </c>
      <c r="U103" s="106">
        <v>1058.75</v>
      </c>
    </row>
    <row r="104" spans="8:21" ht="18.600000000000001">
      <c r="H104" s="34" t="s">
        <v>345</v>
      </c>
      <c r="I104" s="35">
        <f t="shared" ref="I104:U104" si="37">+SUM(I88:I103)</f>
        <v>50760.810000000005</v>
      </c>
      <c r="J104" s="51">
        <f t="shared" si="37"/>
        <v>4999.13</v>
      </c>
      <c r="K104" s="51">
        <f t="shared" si="37"/>
        <v>3949.13</v>
      </c>
      <c r="L104" s="51">
        <f t="shared" si="37"/>
        <v>3999.13</v>
      </c>
      <c r="M104" s="51">
        <f t="shared" si="37"/>
        <v>3999.13</v>
      </c>
      <c r="N104" s="51">
        <f t="shared" si="37"/>
        <v>3899.13</v>
      </c>
      <c r="O104" s="51">
        <f t="shared" si="37"/>
        <v>4099.13</v>
      </c>
      <c r="P104" s="51">
        <f t="shared" si="37"/>
        <v>4199.13</v>
      </c>
      <c r="Q104" s="51">
        <f t="shared" si="37"/>
        <v>4099.13</v>
      </c>
      <c r="R104" s="51">
        <f t="shared" si="37"/>
        <v>4049.13</v>
      </c>
      <c r="S104" s="51">
        <f t="shared" si="37"/>
        <v>4049.13</v>
      </c>
      <c r="T104" s="51">
        <f t="shared" si="37"/>
        <v>4249.13</v>
      </c>
      <c r="U104" s="51">
        <f t="shared" si="37"/>
        <v>5170.38</v>
      </c>
    </row>
    <row r="105" spans="8:21" ht="18.600000000000001">
      <c r="H105" s="34" t="s">
        <v>346</v>
      </c>
      <c r="I105" s="35">
        <f t="shared" ref="I105:U105" si="38">+I87-I104</f>
        <v>19611.609999999993</v>
      </c>
      <c r="J105" s="51">
        <f t="shared" si="38"/>
        <v>-107.13000000000011</v>
      </c>
      <c r="K105" s="51">
        <f t="shared" si="38"/>
        <v>583.86999999999989</v>
      </c>
      <c r="L105" s="51">
        <f t="shared" si="38"/>
        <v>-400.63000000000011</v>
      </c>
      <c r="M105" s="51">
        <f t="shared" si="38"/>
        <v>835.86999999999989</v>
      </c>
      <c r="N105" s="51">
        <f t="shared" si="38"/>
        <v>1213.8699999999999</v>
      </c>
      <c r="O105" s="51">
        <f t="shared" si="38"/>
        <v>7371.79</v>
      </c>
      <c r="P105" s="51">
        <f t="shared" si="38"/>
        <v>2784.87</v>
      </c>
      <c r="Q105" s="51">
        <f t="shared" si="38"/>
        <v>3437.87</v>
      </c>
      <c r="R105" s="51">
        <f t="shared" si="38"/>
        <v>1293.8699999999999</v>
      </c>
      <c r="S105" s="51">
        <f t="shared" si="38"/>
        <v>2106.87</v>
      </c>
      <c r="T105" s="51">
        <f t="shared" si="38"/>
        <v>740.86999999999989</v>
      </c>
      <c r="U105" s="51">
        <f t="shared" si="38"/>
        <v>-250.38000000000011</v>
      </c>
    </row>
    <row r="106" spans="8:21" ht="18.600000000000001">
      <c r="H106" s="34" t="s">
        <v>347</v>
      </c>
      <c r="I106" s="35">
        <f t="shared" ref="I106:U106" ca="1" si="39">+I80+I105</f>
        <v>50497.364999999983</v>
      </c>
      <c r="J106" s="51">
        <f t="shared" ca="1" si="39"/>
        <v>30778.624999999989</v>
      </c>
      <c r="K106" s="51">
        <f t="shared" ca="1" si="39"/>
        <v>31362.494999999988</v>
      </c>
      <c r="L106" s="51">
        <f t="shared" ca="1" si="39"/>
        <v>30961.864999999987</v>
      </c>
      <c r="M106" s="51">
        <f t="shared" ca="1" si="39"/>
        <v>31797.734999999986</v>
      </c>
      <c r="N106" s="51">
        <f t="shared" ca="1" si="39"/>
        <v>33011.604999999989</v>
      </c>
      <c r="O106" s="51">
        <f t="shared" ca="1" si="39"/>
        <v>40383.39499999999</v>
      </c>
      <c r="P106" s="51">
        <f t="shared" ca="1" si="39"/>
        <v>43168.264999999992</v>
      </c>
      <c r="Q106" s="51">
        <f t="shared" ca="1" si="39"/>
        <v>46606.134999999995</v>
      </c>
      <c r="R106" s="51">
        <f t="shared" ca="1" si="39"/>
        <v>47900.004999999997</v>
      </c>
      <c r="S106" s="51">
        <f t="shared" ca="1" si="39"/>
        <v>50006.875</v>
      </c>
      <c r="T106" s="51">
        <f t="shared" ca="1" si="39"/>
        <v>50747.745000000003</v>
      </c>
      <c r="U106" s="51">
        <f t="shared" ca="1" si="39"/>
        <v>50497.365000000005</v>
      </c>
    </row>
    <row r="108" spans="8:21" ht="21">
      <c r="H108" s="230" t="str">
        <f>+$B$2</f>
        <v>SecondNote</v>
      </c>
      <c r="I108" s="230"/>
      <c r="J108" s="230"/>
      <c r="K108" s="230"/>
      <c r="L108" s="230"/>
      <c r="M108" s="230"/>
      <c r="N108" s="230"/>
      <c r="O108" s="230"/>
      <c r="P108" s="230"/>
      <c r="Q108" s="230"/>
      <c r="R108" s="230"/>
      <c r="S108" s="230"/>
      <c r="T108" s="230"/>
      <c r="U108" s="230"/>
    </row>
    <row r="109" spans="8:21" ht="21">
      <c r="H109" s="34"/>
      <c r="I109" s="27"/>
      <c r="J109" s="27"/>
      <c r="K109" s="27"/>
      <c r="L109" s="28"/>
      <c r="M109" s="27"/>
      <c r="N109" s="27"/>
      <c r="O109" s="28" t="s">
        <v>308</v>
      </c>
      <c r="P109" s="49">
        <f ca="1">+P78+1</f>
        <v>2026</v>
      </c>
      <c r="Q109" s="27"/>
      <c r="R109" s="27"/>
      <c r="S109" s="27"/>
      <c r="T109" s="27"/>
      <c r="U109" s="27"/>
    </row>
    <row r="110" spans="8:21" ht="18.600000000000001">
      <c r="H110" s="34" t="s">
        <v>270</v>
      </c>
      <c r="I110" s="34" t="s">
        <v>309</v>
      </c>
      <c r="J110" s="34" t="s">
        <v>310</v>
      </c>
      <c r="K110" s="34" t="s">
        <v>311</v>
      </c>
      <c r="L110" s="34" t="s">
        <v>312</v>
      </c>
      <c r="M110" s="34" t="s">
        <v>313</v>
      </c>
      <c r="N110" s="34" t="s">
        <v>314</v>
      </c>
      <c r="O110" s="34" t="s">
        <v>315</v>
      </c>
      <c r="P110" s="34" t="s">
        <v>316</v>
      </c>
      <c r="Q110" s="34" t="s">
        <v>317</v>
      </c>
      <c r="R110" s="34" t="s">
        <v>318</v>
      </c>
      <c r="S110" s="34" t="s">
        <v>319</v>
      </c>
      <c r="T110" s="34" t="s">
        <v>320</v>
      </c>
      <c r="U110" s="34" t="s">
        <v>321</v>
      </c>
    </row>
    <row r="111" spans="8:21" ht="18.600000000000001">
      <c r="H111" s="34" t="s">
        <v>322</v>
      </c>
      <c r="I111" s="50">
        <f ca="1">+I106</f>
        <v>50497.364999999983</v>
      </c>
      <c r="J111" s="51">
        <f ca="1">+I106</f>
        <v>50497.364999999983</v>
      </c>
      <c r="K111" s="51">
        <f ca="1">+J137</f>
        <v>50721.484999999986</v>
      </c>
      <c r="L111" s="51">
        <f t="shared" ref="L111" ca="1" si="40">+K137</f>
        <v>51186.604999999989</v>
      </c>
      <c r="M111" s="51">
        <f t="shared" ref="M111" ca="1" si="41">+L137</f>
        <v>52763.724999999991</v>
      </c>
      <c r="N111" s="51">
        <f t="shared" ref="N111" ca="1" si="42">+M137</f>
        <v>54011.844999999994</v>
      </c>
      <c r="O111" s="51">
        <f t="shared" ref="O111" ca="1" si="43">+N137</f>
        <v>54962.964999999997</v>
      </c>
      <c r="P111" s="51">
        <f t="shared" ref="P111" ca="1" si="44">+O137</f>
        <v>56453.584999999999</v>
      </c>
      <c r="Q111" s="51">
        <f t="shared" ref="Q111" ca="1" si="45">+P137</f>
        <v>58355.705000000002</v>
      </c>
      <c r="R111" s="51">
        <f t="shared" ref="R111" ca="1" si="46">+Q137</f>
        <v>61097.724999999999</v>
      </c>
      <c r="S111" s="51">
        <f t="shared" ref="S111" ca="1" si="47">+R137</f>
        <v>62119.845000000001</v>
      </c>
      <c r="T111" s="51">
        <f t="shared" ref="T111" ca="1" si="48">+S137</f>
        <v>62851.965000000004</v>
      </c>
      <c r="U111" s="51">
        <f t="shared" ref="U111" ca="1" si="49">+T137</f>
        <v>63644.085000000006</v>
      </c>
    </row>
    <row r="112" spans="8:21">
      <c r="H112" s="37" t="s">
        <v>323</v>
      </c>
      <c r="I112" s="52">
        <f t="shared" ref="I112:I117" si="50">+SUM(J112:U112)</f>
        <v>41957</v>
      </c>
      <c r="J112" s="106">
        <v>2502</v>
      </c>
      <c r="K112" s="106">
        <v>2693</v>
      </c>
      <c r="L112" s="106">
        <v>3655</v>
      </c>
      <c r="M112" s="106">
        <v>3576</v>
      </c>
      <c r="N112" s="106">
        <v>3179</v>
      </c>
      <c r="O112" s="106">
        <v>3830</v>
      </c>
      <c r="P112" s="106">
        <v>4280</v>
      </c>
      <c r="Q112" s="106">
        <v>5270</v>
      </c>
      <c r="R112" s="106">
        <v>3350</v>
      </c>
      <c r="S112" s="106">
        <v>3060</v>
      </c>
      <c r="T112" s="106">
        <v>3020</v>
      </c>
      <c r="U112" s="106">
        <v>3542</v>
      </c>
    </row>
    <row r="113" spans="8:21">
      <c r="H113" s="5" t="s">
        <v>324</v>
      </c>
      <c r="I113" s="52">
        <f t="shared" si="50"/>
        <v>0</v>
      </c>
      <c r="J113" s="105">
        <v>0</v>
      </c>
      <c r="K113" s="105">
        <v>0</v>
      </c>
      <c r="L113" s="105">
        <v>0</v>
      </c>
      <c r="M113" s="105">
        <v>0</v>
      </c>
      <c r="N113" s="105">
        <v>0</v>
      </c>
      <c r="O113" s="105">
        <v>0</v>
      </c>
      <c r="P113" s="105">
        <v>0</v>
      </c>
      <c r="Q113" s="105">
        <v>0</v>
      </c>
      <c r="R113" s="105">
        <v>0</v>
      </c>
      <c r="S113" s="105">
        <v>0</v>
      </c>
      <c r="T113" s="105">
        <v>0</v>
      </c>
      <c r="U113" s="105">
        <v>0</v>
      </c>
    </row>
    <row r="114" spans="8:21">
      <c r="H114" s="37" t="s">
        <v>326</v>
      </c>
      <c r="I114" s="52">
        <f t="shared" si="50"/>
        <v>7500</v>
      </c>
      <c r="J114" s="106">
        <v>500</v>
      </c>
      <c r="K114" s="106">
        <v>750</v>
      </c>
      <c r="L114" s="106">
        <v>750</v>
      </c>
      <c r="M114" s="106">
        <v>500</v>
      </c>
      <c r="N114" s="106">
        <v>750</v>
      </c>
      <c r="O114" s="106">
        <v>750</v>
      </c>
      <c r="P114" s="106">
        <v>750</v>
      </c>
      <c r="Q114" s="106">
        <v>750</v>
      </c>
      <c r="R114" s="106">
        <v>500</v>
      </c>
      <c r="S114" s="106">
        <v>500</v>
      </c>
      <c r="T114" s="106">
        <v>500</v>
      </c>
      <c r="U114" s="106">
        <v>500</v>
      </c>
    </row>
    <row r="115" spans="8:21">
      <c r="H115" s="5" t="s">
        <v>325</v>
      </c>
      <c r="I115" s="52">
        <f t="shared" si="50"/>
        <v>5000</v>
      </c>
      <c r="J115" s="105">
        <v>500</v>
      </c>
      <c r="K115" s="105">
        <v>300</v>
      </c>
      <c r="L115" s="105">
        <v>500</v>
      </c>
      <c r="M115" s="105">
        <v>500</v>
      </c>
      <c r="N115" s="105">
        <v>400</v>
      </c>
      <c r="O115" s="105">
        <v>200</v>
      </c>
      <c r="P115" s="105">
        <v>300</v>
      </c>
      <c r="Q115" s="105">
        <v>200</v>
      </c>
      <c r="R115" s="105">
        <v>500</v>
      </c>
      <c r="S115" s="105">
        <v>500</v>
      </c>
      <c r="T115" s="105">
        <v>500</v>
      </c>
      <c r="U115" s="105">
        <v>600</v>
      </c>
    </row>
    <row r="116" spans="8:21">
      <c r="H116" s="37" t="s">
        <v>327</v>
      </c>
      <c r="I116" s="52">
        <f t="shared" si="50"/>
        <v>0</v>
      </c>
      <c r="J116" s="106">
        <v>0</v>
      </c>
      <c r="K116" s="106">
        <v>0</v>
      </c>
      <c r="L116" s="106">
        <v>0</v>
      </c>
      <c r="M116" s="106">
        <v>0</v>
      </c>
      <c r="N116" s="106">
        <v>0</v>
      </c>
      <c r="O116" s="106">
        <v>0</v>
      </c>
      <c r="P116" s="106">
        <v>0</v>
      </c>
      <c r="Q116" s="106">
        <v>0</v>
      </c>
      <c r="R116" s="106">
        <v>0</v>
      </c>
      <c r="S116" s="106">
        <v>0</v>
      </c>
      <c r="T116" s="106">
        <v>0</v>
      </c>
      <c r="U116" s="106">
        <v>0</v>
      </c>
    </row>
    <row r="117" spans="8:21">
      <c r="H117" s="18" t="s">
        <v>328</v>
      </c>
      <c r="I117" s="52">
        <f t="shared" si="50"/>
        <v>38.5</v>
      </c>
      <c r="J117" s="105">
        <v>0</v>
      </c>
      <c r="K117" s="105">
        <v>0</v>
      </c>
      <c r="L117" s="105">
        <v>0</v>
      </c>
      <c r="M117" s="105">
        <v>0</v>
      </c>
      <c r="N117" s="105">
        <v>0</v>
      </c>
      <c r="O117" s="105">
        <v>38.5</v>
      </c>
      <c r="P117" s="105">
        <v>0</v>
      </c>
      <c r="Q117" s="105">
        <v>0</v>
      </c>
      <c r="R117" s="105">
        <v>0</v>
      </c>
      <c r="S117" s="105">
        <v>0</v>
      </c>
      <c r="T117" s="105">
        <v>0</v>
      </c>
      <c r="U117" s="105">
        <v>0</v>
      </c>
    </row>
    <row r="118" spans="8:21" ht="18.600000000000001">
      <c r="H118" s="34" t="s">
        <v>329</v>
      </c>
      <c r="I118" s="35">
        <f t="shared" ref="I118:U118" si="51">+SUM(I112:I117)</f>
        <v>54495.5</v>
      </c>
      <c r="J118" s="51">
        <f t="shared" si="51"/>
        <v>3502</v>
      </c>
      <c r="K118" s="51">
        <f t="shared" si="51"/>
        <v>3743</v>
      </c>
      <c r="L118" s="51">
        <f t="shared" si="51"/>
        <v>4905</v>
      </c>
      <c r="M118" s="51">
        <f t="shared" si="51"/>
        <v>4576</v>
      </c>
      <c r="N118" s="51">
        <f t="shared" si="51"/>
        <v>4329</v>
      </c>
      <c r="O118" s="51">
        <f t="shared" si="51"/>
        <v>4818.5</v>
      </c>
      <c r="P118" s="51">
        <f t="shared" si="51"/>
        <v>5330</v>
      </c>
      <c r="Q118" s="51">
        <f t="shared" si="51"/>
        <v>6220</v>
      </c>
      <c r="R118" s="51">
        <f t="shared" si="51"/>
        <v>4350</v>
      </c>
      <c r="S118" s="51">
        <f t="shared" si="51"/>
        <v>4060</v>
      </c>
      <c r="T118" s="51">
        <f t="shared" si="51"/>
        <v>4020</v>
      </c>
      <c r="U118" s="51">
        <f t="shared" si="51"/>
        <v>4642</v>
      </c>
    </row>
    <row r="119" spans="8:21">
      <c r="H119" s="5" t="s">
        <v>330</v>
      </c>
      <c r="I119" s="52">
        <f t="shared" ref="I119:I134" si="52">+SUM(J119:U119)</f>
        <v>9200</v>
      </c>
      <c r="J119" s="105">
        <v>750</v>
      </c>
      <c r="K119" s="105">
        <v>750</v>
      </c>
      <c r="L119" s="105">
        <v>750</v>
      </c>
      <c r="M119" s="105">
        <v>750</v>
      </c>
      <c r="N119" s="105">
        <v>750</v>
      </c>
      <c r="O119" s="105">
        <v>750</v>
      </c>
      <c r="P119" s="105">
        <v>850</v>
      </c>
      <c r="Q119" s="105">
        <v>850</v>
      </c>
      <c r="R119" s="105">
        <v>750</v>
      </c>
      <c r="S119" s="105">
        <v>750</v>
      </c>
      <c r="T119" s="105">
        <v>750</v>
      </c>
      <c r="U119" s="105">
        <v>750</v>
      </c>
    </row>
    <row r="120" spans="8:21">
      <c r="H120" s="37" t="s">
        <v>331</v>
      </c>
      <c r="I120" s="52">
        <f t="shared" si="52"/>
        <v>2000</v>
      </c>
      <c r="J120" s="106">
        <v>150</v>
      </c>
      <c r="K120" s="106">
        <v>200</v>
      </c>
      <c r="L120" s="106">
        <v>150</v>
      </c>
      <c r="M120" s="106">
        <v>150</v>
      </c>
      <c r="N120" s="106">
        <v>200</v>
      </c>
      <c r="O120" s="106">
        <v>150</v>
      </c>
      <c r="P120" s="106">
        <v>150</v>
      </c>
      <c r="Q120" s="106">
        <v>200</v>
      </c>
      <c r="R120" s="106">
        <v>150</v>
      </c>
      <c r="S120" s="106">
        <v>150</v>
      </c>
      <c r="T120" s="106">
        <v>200</v>
      </c>
      <c r="U120" s="106">
        <v>150</v>
      </c>
    </row>
    <row r="121" spans="8:21">
      <c r="H121" s="5" t="s">
        <v>332</v>
      </c>
      <c r="I121" s="52">
        <f t="shared" si="52"/>
        <v>0</v>
      </c>
      <c r="J121" s="105">
        <v>0</v>
      </c>
      <c r="K121" s="105">
        <v>0</v>
      </c>
      <c r="L121" s="105">
        <v>0</v>
      </c>
      <c r="M121" s="105">
        <v>0</v>
      </c>
      <c r="N121" s="105">
        <v>0</v>
      </c>
      <c r="O121" s="105">
        <v>0</v>
      </c>
      <c r="P121" s="105">
        <v>0</v>
      </c>
      <c r="Q121" s="105">
        <v>0</v>
      </c>
      <c r="R121" s="105">
        <v>0</v>
      </c>
      <c r="S121" s="105">
        <v>0</v>
      </c>
      <c r="T121" s="105">
        <v>0</v>
      </c>
      <c r="U121" s="105">
        <v>0</v>
      </c>
    </row>
    <row r="122" spans="8:21">
      <c r="H122" s="37" t="s">
        <v>333</v>
      </c>
      <c r="I122" s="52">
        <f t="shared" si="52"/>
        <v>1797.4999999999998</v>
      </c>
      <c r="J122" s="106">
        <v>149.79</v>
      </c>
      <c r="K122" s="106">
        <v>149.79</v>
      </c>
      <c r="L122" s="106">
        <v>149.79</v>
      </c>
      <c r="M122" s="106">
        <v>149.79</v>
      </c>
      <c r="N122" s="106">
        <v>149.79</v>
      </c>
      <c r="O122" s="106">
        <v>149.79</v>
      </c>
      <c r="P122" s="106">
        <v>149.79</v>
      </c>
      <c r="Q122" s="106">
        <v>149.79</v>
      </c>
      <c r="R122" s="106">
        <v>149.79</v>
      </c>
      <c r="S122" s="106">
        <v>149.79</v>
      </c>
      <c r="T122" s="106">
        <v>149.79</v>
      </c>
      <c r="U122" s="106">
        <v>149.81</v>
      </c>
    </row>
    <row r="123" spans="8:21">
      <c r="H123" s="5" t="s">
        <v>334</v>
      </c>
      <c r="I123" s="52">
        <f t="shared" si="52"/>
        <v>400</v>
      </c>
      <c r="J123" s="105">
        <v>125</v>
      </c>
      <c r="K123" s="105">
        <v>25</v>
      </c>
      <c r="L123" s="105">
        <v>25</v>
      </c>
      <c r="M123" s="105">
        <v>25</v>
      </c>
      <c r="N123" s="105">
        <v>25</v>
      </c>
      <c r="O123" s="105">
        <v>25</v>
      </c>
      <c r="P123" s="105">
        <v>25</v>
      </c>
      <c r="Q123" s="105">
        <v>25</v>
      </c>
      <c r="R123" s="105">
        <v>25</v>
      </c>
      <c r="S123" s="105">
        <v>25</v>
      </c>
      <c r="T123" s="105">
        <v>25</v>
      </c>
      <c r="U123" s="105">
        <v>25</v>
      </c>
    </row>
    <row r="124" spans="8:21">
      <c r="H124" s="37" t="s">
        <v>335</v>
      </c>
      <c r="I124" s="52">
        <f t="shared" si="52"/>
        <v>249.99999999999994</v>
      </c>
      <c r="J124" s="106">
        <v>20.83</v>
      </c>
      <c r="K124" s="106">
        <v>20.83</v>
      </c>
      <c r="L124" s="106">
        <v>20.83</v>
      </c>
      <c r="M124" s="106">
        <v>20.83</v>
      </c>
      <c r="N124" s="106">
        <v>20.83</v>
      </c>
      <c r="O124" s="106">
        <v>20.83</v>
      </c>
      <c r="P124" s="106">
        <v>20.83</v>
      </c>
      <c r="Q124" s="106">
        <v>20.83</v>
      </c>
      <c r="R124" s="106">
        <v>20.83</v>
      </c>
      <c r="S124" s="106">
        <v>20.83</v>
      </c>
      <c r="T124" s="106">
        <v>20.83</v>
      </c>
      <c r="U124" s="106">
        <v>20.87</v>
      </c>
    </row>
    <row r="125" spans="8:21">
      <c r="H125" s="5" t="s">
        <v>336</v>
      </c>
      <c r="I125" s="52">
        <f t="shared" si="52"/>
        <v>1250</v>
      </c>
      <c r="J125" s="105">
        <v>104</v>
      </c>
      <c r="K125" s="105">
        <v>104</v>
      </c>
      <c r="L125" s="105">
        <v>104</v>
      </c>
      <c r="M125" s="105">
        <v>104</v>
      </c>
      <c r="N125" s="105">
        <v>104</v>
      </c>
      <c r="O125" s="105">
        <v>104</v>
      </c>
      <c r="P125" s="105">
        <v>104</v>
      </c>
      <c r="Q125" s="105">
        <v>104</v>
      </c>
      <c r="R125" s="105">
        <v>104</v>
      </c>
      <c r="S125" s="105">
        <v>104</v>
      </c>
      <c r="T125" s="105">
        <v>104</v>
      </c>
      <c r="U125" s="105">
        <v>106</v>
      </c>
    </row>
    <row r="126" spans="8:21">
      <c r="H126" s="37" t="s">
        <v>337</v>
      </c>
      <c r="I126" s="52">
        <f t="shared" si="52"/>
        <v>150</v>
      </c>
      <c r="J126" s="106">
        <v>12.5</v>
      </c>
      <c r="K126" s="106">
        <v>12.5</v>
      </c>
      <c r="L126" s="106">
        <v>12.5</v>
      </c>
      <c r="M126" s="106">
        <v>12.5</v>
      </c>
      <c r="N126" s="106">
        <v>12.5</v>
      </c>
      <c r="O126" s="106">
        <v>12.5</v>
      </c>
      <c r="P126" s="106">
        <v>12.5</v>
      </c>
      <c r="Q126" s="106">
        <v>12.5</v>
      </c>
      <c r="R126" s="106">
        <v>12.5</v>
      </c>
      <c r="S126" s="106">
        <v>12.5</v>
      </c>
      <c r="T126" s="106">
        <v>12.5</v>
      </c>
      <c r="U126" s="106">
        <v>12.5</v>
      </c>
    </row>
    <row r="127" spans="8:21">
      <c r="H127" s="5" t="s">
        <v>338</v>
      </c>
      <c r="I127" s="52">
        <f t="shared" si="52"/>
        <v>2450</v>
      </c>
      <c r="J127" s="105">
        <v>100</v>
      </c>
      <c r="K127" s="105">
        <v>150</v>
      </c>
      <c r="L127" s="105">
        <v>250</v>
      </c>
      <c r="M127" s="105">
        <v>250</v>
      </c>
      <c r="N127" s="105">
        <v>250</v>
      </c>
      <c r="O127" s="105">
        <v>250</v>
      </c>
      <c r="P127" s="105">
        <v>250</v>
      </c>
      <c r="Q127" s="105">
        <v>250</v>
      </c>
      <c r="R127" s="105">
        <v>250</v>
      </c>
      <c r="S127" s="105">
        <v>250</v>
      </c>
      <c r="T127" s="105">
        <v>100</v>
      </c>
      <c r="U127" s="105">
        <v>100</v>
      </c>
    </row>
    <row r="128" spans="8:21">
      <c r="H128" s="37" t="s">
        <v>339</v>
      </c>
      <c r="I128" s="52">
        <f t="shared" si="52"/>
        <v>0</v>
      </c>
      <c r="J128" s="106">
        <v>0</v>
      </c>
      <c r="K128" s="106">
        <v>0</v>
      </c>
      <c r="L128" s="106">
        <v>0</v>
      </c>
      <c r="M128" s="106">
        <v>0</v>
      </c>
      <c r="N128" s="106">
        <v>0</v>
      </c>
      <c r="O128" s="106">
        <v>0</v>
      </c>
      <c r="P128" s="106">
        <v>0</v>
      </c>
      <c r="Q128" s="106">
        <v>0</v>
      </c>
      <c r="R128" s="106">
        <v>0</v>
      </c>
      <c r="S128" s="106">
        <v>0</v>
      </c>
      <c r="T128" s="106">
        <v>0</v>
      </c>
      <c r="U128" s="106">
        <v>0</v>
      </c>
    </row>
    <row r="129" spans="8:21">
      <c r="H129" s="5" t="s">
        <v>291</v>
      </c>
      <c r="I129" s="52">
        <f t="shared" si="52"/>
        <v>0</v>
      </c>
      <c r="J129" s="105">
        <v>0</v>
      </c>
      <c r="K129" s="105">
        <v>0</v>
      </c>
      <c r="L129" s="105">
        <v>0</v>
      </c>
      <c r="M129" s="105">
        <v>0</v>
      </c>
      <c r="N129" s="105">
        <v>0</v>
      </c>
      <c r="O129" s="105">
        <v>0</v>
      </c>
      <c r="P129" s="105">
        <v>0</v>
      </c>
      <c r="Q129" s="105">
        <v>0</v>
      </c>
      <c r="R129" s="105">
        <v>0</v>
      </c>
      <c r="S129" s="105">
        <v>0</v>
      </c>
      <c r="T129" s="105">
        <v>0</v>
      </c>
      <c r="U129" s="105">
        <v>0</v>
      </c>
    </row>
    <row r="130" spans="8:21">
      <c r="H130" s="37" t="s">
        <v>340</v>
      </c>
      <c r="I130" s="52">
        <f t="shared" si="52"/>
        <v>12000</v>
      </c>
      <c r="J130" s="106">
        <v>1000</v>
      </c>
      <c r="K130" s="106">
        <v>1000</v>
      </c>
      <c r="L130" s="106">
        <v>1000</v>
      </c>
      <c r="M130" s="106">
        <v>1000</v>
      </c>
      <c r="N130" s="106">
        <v>1000</v>
      </c>
      <c r="O130" s="106">
        <v>1000</v>
      </c>
      <c r="P130" s="106">
        <v>1000</v>
      </c>
      <c r="Q130" s="106">
        <v>1000</v>
      </c>
      <c r="R130" s="106">
        <v>1000</v>
      </c>
      <c r="S130" s="106">
        <v>1000</v>
      </c>
      <c r="T130" s="106">
        <v>1000</v>
      </c>
      <c r="U130" s="106">
        <v>1000</v>
      </c>
    </row>
    <row r="131" spans="8:21">
      <c r="H131" s="5" t="s">
        <v>341</v>
      </c>
      <c r="I131" s="52">
        <f t="shared" si="52"/>
        <v>2832</v>
      </c>
      <c r="J131" s="105">
        <v>236</v>
      </c>
      <c r="K131" s="105">
        <v>236</v>
      </c>
      <c r="L131" s="105">
        <v>236</v>
      </c>
      <c r="M131" s="105">
        <v>236</v>
      </c>
      <c r="N131" s="105">
        <v>236</v>
      </c>
      <c r="O131" s="105">
        <v>236</v>
      </c>
      <c r="P131" s="105">
        <v>236</v>
      </c>
      <c r="Q131" s="105">
        <v>236</v>
      </c>
      <c r="R131" s="105">
        <v>236</v>
      </c>
      <c r="S131" s="105">
        <v>236</v>
      </c>
      <c r="T131" s="105">
        <v>236</v>
      </c>
      <c r="U131" s="105">
        <v>236</v>
      </c>
    </row>
    <row r="132" spans="8:21">
      <c r="H132" s="37" t="s">
        <v>342</v>
      </c>
      <c r="I132" s="52">
        <f t="shared" si="52"/>
        <v>4707.1200000000008</v>
      </c>
      <c r="J132" s="106">
        <v>392.26</v>
      </c>
      <c r="K132" s="106">
        <v>392.26</v>
      </c>
      <c r="L132" s="106">
        <v>392.26</v>
      </c>
      <c r="M132" s="106">
        <v>392.26</v>
      </c>
      <c r="N132" s="106">
        <v>392.26</v>
      </c>
      <c r="O132" s="106">
        <v>392.26</v>
      </c>
      <c r="P132" s="106">
        <v>392.26</v>
      </c>
      <c r="Q132" s="106">
        <v>392.26</v>
      </c>
      <c r="R132" s="106">
        <v>392.26</v>
      </c>
      <c r="S132" s="106">
        <v>392.26</v>
      </c>
      <c r="T132" s="106">
        <v>392.26</v>
      </c>
      <c r="U132" s="106">
        <v>392.26</v>
      </c>
    </row>
    <row r="133" spans="8:21">
      <c r="H133" s="5" t="s">
        <v>343</v>
      </c>
      <c r="I133" s="52">
        <f t="shared" si="52"/>
        <v>0</v>
      </c>
      <c r="J133" s="105">
        <v>0</v>
      </c>
      <c r="K133" s="105">
        <v>0</v>
      </c>
      <c r="L133" s="105">
        <v>0</v>
      </c>
      <c r="M133" s="105">
        <v>0</v>
      </c>
      <c r="N133" s="105">
        <v>0</v>
      </c>
      <c r="O133" s="105">
        <v>0</v>
      </c>
      <c r="P133" s="105">
        <v>0</v>
      </c>
      <c r="Q133" s="105">
        <v>0</v>
      </c>
      <c r="R133" s="105">
        <v>0</v>
      </c>
      <c r="S133" s="105">
        <v>0</v>
      </c>
      <c r="T133" s="105">
        <v>0</v>
      </c>
      <c r="U133" s="105">
        <v>0</v>
      </c>
    </row>
    <row r="134" spans="8:21">
      <c r="H134" s="113" t="s">
        <v>344</v>
      </c>
      <c r="I134" s="52">
        <f t="shared" si="52"/>
        <v>2850.1</v>
      </c>
      <c r="J134" s="106">
        <v>237.5</v>
      </c>
      <c r="K134" s="106">
        <v>237.5</v>
      </c>
      <c r="L134" s="106">
        <v>237.5</v>
      </c>
      <c r="M134" s="106">
        <v>237.5</v>
      </c>
      <c r="N134" s="106">
        <v>237.5</v>
      </c>
      <c r="O134" s="106">
        <v>237.5</v>
      </c>
      <c r="P134" s="106">
        <v>237.5</v>
      </c>
      <c r="Q134" s="106">
        <v>237.6</v>
      </c>
      <c r="R134" s="106">
        <v>237.5</v>
      </c>
      <c r="S134" s="106">
        <v>237.5</v>
      </c>
      <c r="T134" s="106">
        <v>237.5</v>
      </c>
      <c r="U134" s="106">
        <v>237.5</v>
      </c>
    </row>
    <row r="135" spans="8:21" ht="18.600000000000001">
      <c r="H135" s="34" t="s">
        <v>345</v>
      </c>
      <c r="I135" s="35">
        <f t="shared" ref="I135:U135" si="53">+SUM(I119:I134)</f>
        <v>39886.720000000001</v>
      </c>
      <c r="J135" s="51">
        <f t="shared" si="53"/>
        <v>3277.88</v>
      </c>
      <c r="K135" s="51">
        <f t="shared" si="53"/>
        <v>3277.88</v>
      </c>
      <c r="L135" s="51">
        <f t="shared" si="53"/>
        <v>3327.88</v>
      </c>
      <c r="M135" s="51">
        <f t="shared" si="53"/>
        <v>3327.88</v>
      </c>
      <c r="N135" s="51">
        <f t="shared" si="53"/>
        <v>3377.88</v>
      </c>
      <c r="O135" s="51">
        <f t="shared" si="53"/>
        <v>3327.88</v>
      </c>
      <c r="P135" s="51">
        <f t="shared" si="53"/>
        <v>3427.88</v>
      </c>
      <c r="Q135" s="51">
        <f t="shared" si="53"/>
        <v>3477.98</v>
      </c>
      <c r="R135" s="51">
        <f t="shared" si="53"/>
        <v>3327.88</v>
      </c>
      <c r="S135" s="51">
        <f t="shared" si="53"/>
        <v>3327.88</v>
      </c>
      <c r="T135" s="51">
        <f t="shared" si="53"/>
        <v>3227.88</v>
      </c>
      <c r="U135" s="51">
        <f t="shared" si="53"/>
        <v>3179.9399999999996</v>
      </c>
    </row>
    <row r="136" spans="8:21" ht="18.600000000000001">
      <c r="H136" s="34" t="s">
        <v>346</v>
      </c>
      <c r="I136" s="35">
        <f t="shared" ref="I136:U136" si="54">+I118-I135</f>
        <v>14608.779999999999</v>
      </c>
      <c r="J136" s="51">
        <f t="shared" si="54"/>
        <v>224.11999999999989</v>
      </c>
      <c r="K136" s="51">
        <f t="shared" si="54"/>
        <v>465.11999999999989</v>
      </c>
      <c r="L136" s="51">
        <f t="shared" si="54"/>
        <v>1577.12</v>
      </c>
      <c r="M136" s="51">
        <f t="shared" si="54"/>
        <v>1248.1199999999999</v>
      </c>
      <c r="N136" s="51">
        <f t="shared" si="54"/>
        <v>951.11999999999989</v>
      </c>
      <c r="O136" s="51">
        <f t="shared" si="54"/>
        <v>1490.62</v>
      </c>
      <c r="P136" s="51">
        <f t="shared" si="54"/>
        <v>1902.12</v>
      </c>
      <c r="Q136" s="51">
        <f t="shared" si="54"/>
        <v>2742.02</v>
      </c>
      <c r="R136" s="51">
        <f t="shared" si="54"/>
        <v>1022.1199999999999</v>
      </c>
      <c r="S136" s="51">
        <f t="shared" si="54"/>
        <v>732.11999999999989</v>
      </c>
      <c r="T136" s="51">
        <f t="shared" si="54"/>
        <v>792.11999999999989</v>
      </c>
      <c r="U136" s="51">
        <f t="shared" si="54"/>
        <v>1462.0600000000004</v>
      </c>
    </row>
    <row r="137" spans="8:21" ht="18.600000000000001">
      <c r="H137" s="34" t="s">
        <v>347</v>
      </c>
      <c r="I137" s="35">
        <f t="shared" ref="I137:U137" ca="1" si="55">+I111+I136</f>
        <v>65106.144999999982</v>
      </c>
      <c r="J137" s="51">
        <f t="shared" ca="1" si="55"/>
        <v>50721.484999999986</v>
      </c>
      <c r="K137" s="51">
        <f t="shared" ca="1" si="55"/>
        <v>51186.604999999989</v>
      </c>
      <c r="L137" s="51">
        <f t="shared" ca="1" si="55"/>
        <v>52763.724999999991</v>
      </c>
      <c r="M137" s="51">
        <f t="shared" ca="1" si="55"/>
        <v>54011.844999999994</v>
      </c>
      <c r="N137" s="51">
        <f t="shared" ca="1" si="55"/>
        <v>54962.964999999997</v>
      </c>
      <c r="O137" s="51">
        <f t="shared" ca="1" si="55"/>
        <v>56453.584999999999</v>
      </c>
      <c r="P137" s="51">
        <f t="shared" ca="1" si="55"/>
        <v>58355.705000000002</v>
      </c>
      <c r="Q137" s="51">
        <f t="shared" ca="1" si="55"/>
        <v>61097.724999999999</v>
      </c>
      <c r="R137" s="51">
        <f t="shared" ca="1" si="55"/>
        <v>62119.845000000001</v>
      </c>
      <c r="S137" s="51">
        <f t="shared" ca="1" si="55"/>
        <v>62851.965000000004</v>
      </c>
      <c r="T137" s="51">
        <f t="shared" ca="1" si="55"/>
        <v>63644.085000000006</v>
      </c>
      <c r="U137" s="51">
        <f t="shared" ca="1" si="55"/>
        <v>65106.145000000004</v>
      </c>
    </row>
    <row r="139" spans="8:21" ht="21">
      <c r="H139" s="230" t="str">
        <f>+$B$2</f>
        <v>SecondNote</v>
      </c>
      <c r="I139" s="230"/>
      <c r="J139" s="230"/>
      <c r="K139" s="230"/>
      <c r="L139" s="230"/>
      <c r="M139" s="230"/>
      <c r="N139" s="230"/>
      <c r="O139" s="230"/>
      <c r="P139" s="230"/>
      <c r="Q139" s="230"/>
      <c r="R139" s="230"/>
      <c r="S139" s="230"/>
      <c r="T139" s="230"/>
      <c r="U139" s="230"/>
    </row>
    <row r="140" spans="8:21" ht="21">
      <c r="H140" s="34"/>
      <c r="I140" s="27"/>
      <c r="J140" s="27"/>
      <c r="K140" s="27"/>
      <c r="L140" s="28"/>
      <c r="M140" s="27"/>
      <c r="N140" s="27"/>
      <c r="O140" s="28" t="s">
        <v>308</v>
      </c>
      <c r="P140" s="49">
        <f ca="1">+P109+1</f>
        <v>2027</v>
      </c>
      <c r="Q140" s="27"/>
      <c r="R140" s="27"/>
      <c r="S140" s="27"/>
      <c r="T140" s="27"/>
      <c r="U140" s="27"/>
    </row>
    <row r="141" spans="8:21" ht="18.600000000000001">
      <c r="H141" s="34" t="s">
        <v>270</v>
      </c>
      <c r="I141" s="34" t="s">
        <v>309</v>
      </c>
      <c r="J141" s="34" t="s">
        <v>310</v>
      </c>
      <c r="K141" s="34" t="s">
        <v>311</v>
      </c>
      <c r="L141" s="34" t="s">
        <v>312</v>
      </c>
      <c r="M141" s="34" t="s">
        <v>313</v>
      </c>
      <c r="N141" s="34" t="s">
        <v>314</v>
      </c>
      <c r="O141" s="34" t="s">
        <v>315</v>
      </c>
      <c r="P141" s="34" t="s">
        <v>316</v>
      </c>
      <c r="Q141" s="34" t="s">
        <v>317</v>
      </c>
      <c r="R141" s="34" t="s">
        <v>318</v>
      </c>
      <c r="S141" s="34" t="s">
        <v>319</v>
      </c>
      <c r="T141" s="34" t="s">
        <v>320</v>
      </c>
      <c r="U141" s="34" t="s">
        <v>321</v>
      </c>
    </row>
    <row r="142" spans="8:21" ht="18.600000000000001">
      <c r="H142" s="34" t="s">
        <v>322</v>
      </c>
      <c r="I142" s="50">
        <f ca="1">+I137</f>
        <v>65106.144999999982</v>
      </c>
      <c r="J142" s="51">
        <f ca="1">+I137</f>
        <v>65106.144999999982</v>
      </c>
      <c r="K142" s="51">
        <f ca="1">+J168</f>
        <v>65719.344999999987</v>
      </c>
      <c r="L142" s="51">
        <f t="shared" ref="L142" ca="1" si="56">+K168</f>
        <v>67840.534999999989</v>
      </c>
      <c r="M142" s="51">
        <f t="shared" ref="M142" ca="1" si="57">+L168</f>
        <v>70091.734999999986</v>
      </c>
      <c r="N142" s="51">
        <f t="shared" ref="N142" ca="1" si="58">+M168</f>
        <v>72717.924999999988</v>
      </c>
      <c r="O142" s="51">
        <f t="shared" ref="O142" ca="1" si="59">+N168</f>
        <v>76586.124999999985</v>
      </c>
      <c r="P142" s="51">
        <f t="shared" ref="P142" ca="1" si="60">+O168</f>
        <v>77170.564999999988</v>
      </c>
      <c r="Q142" s="51">
        <f t="shared" ref="Q142" ca="1" si="61">+P168</f>
        <v>80838.764999999985</v>
      </c>
      <c r="R142" s="51">
        <f t="shared" ref="R142" ca="1" si="62">+Q168</f>
        <v>84450.954999999987</v>
      </c>
      <c r="S142" s="51">
        <f t="shared" ref="S142" ca="1" si="63">+R168</f>
        <v>86499.154999999984</v>
      </c>
      <c r="T142" s="51">
        <f t="shared" ref="T142" ca="1" si="64">+S168</f>
        <v>88298.344999999987</v>
      </c>
      <c r="U142" s="51">
        <f t="shared" ref="U142" ca="1" si="65">+T168</f>
        <v>89877.544999999984</v>
      </c>
    </row>
    <row r="143" spans="8:21">
      <c r="H143" s="37" t="s">
        <v>323</v>
      </c>
      <c r="I143" s="52">
        <f t="shared" ref="I143:I148" si="66">+SUM(J143:U143)</f>
        <v>64271</v>
      </c>
      <c r="J143" s="106">
        <v>5260</v>
      </c>
      <c r="K143" s="106">
        <v>4568</v>
      </c>
      <c r="L143" s="106">
        <v>4598</v>
      </c>
      <c r="M143" s="106">
        <v>5348</v>
      </c>
      <c r="N143" s="106">
        <v>6390</v>
      </c>
      <c r="O143" s="106">
        <v>5114</v>
      </c>
      <c r="P143" s="106">
        <v>6165</v>
      </c>
      <c r="Q143" s="106">
        <v>6309</v>
      </c>
      <c r="R143" s="106">
        <v>4895</v>
      </c>
      <c r="S143" s="106">
        <v>4396</v>
      </c>
      <c r="T143" s="106">
        <v>4276</v>
      </c>
      <c r="U143" s="106">
        <v>6952</v>
      </c>
    </row>
    <row r="144" spans="8:21">
      <c r="H144" s="5" t="s">
        <v>324</v>
      </c>
      <c r="I144" s="52">
        <f t="shared" si="66"/>
        <v>0</v>
      </c>
      <c r="J144" s="105">
        <v>0</v>
      </c>
      <c r="K144" s="105">
        <v>0</v>
      </c>
      <c r="L144" s="105">
        <v>0</v>
      </c>
      <c r="M144" s="105">
        <v>0</v>
      </c>
      <c r="N144" s="105">
        <v>0</v>
      </c>
      <c r="O144" s="105">
        <v>0</v>
      </c>
      <c r="P144" s="105">
        <v>0</v>
      </c>
      <c r="Q144" s="105">
        <v>0</v>
      </c>
      <c r="R144" s="105">
        <v>0</v>
      </c>
      <c r="S144" s="105">
        <v>0</v>
      </c>
      <c r="T144" s="105">
        <v>0</v>
      </c>
      <c r="U144" s="105">
        <v>0</v>
      </c>
    </row>
    <row r="145" spans="8:21">
      <c r="H145" s="37" t="s">
        <v>326</v>
      </c>
      <c r="I145" s="52">
        <f t="shared" si="66"/>
        <v>2500</v>
      </c>
      <c r="J145" s="106">
        <v>200</v>
      </c>
      <c r="K145" s="106">
        <v>200</v>
      </c>
      <c r="L145" s="106">
        <v>200</v>
      </c>
      <c r="M145" s="106">
        <v>200</v>
      </c>
      <c r="N145" s="106">
        <v>300</v>
      </c>
      <c r="O145" s="106">
        <v>200</v>
      </c>
      <c r="P145" s="106">
        <v>200</v>
      </c>
      <c r="Q145" s="106">
        <v>200</v>
      </c>
      <c r="R145" s="106">
        <v>200</v>
      </c>
      <c r="S145" s="106">
        <v>200</v>
      </c>
      <c r="T145" s="106">
        <v>200</v>
      </c>
      <c r="U145" s="106">
        <v>200</v>
      </c>
    </row>
    <row r="146" spans="8:21">
      <c r="H146" s="5" t="s">
        <v>325</v>
      </c>
      <c r="I146" s="52">
        <f t="shared" si="66"/>
        <v>5000</v>
      </c>
      <c r="J146" s="105">
        <v>400</v>
      </c>
      <c r="K146" s="105">
        <v>400</v>
      </c>
      <c r="L146" s="105">
        <v>500</v>
      </c>
      <c r="M146" s="105">
        <v>400</v>
      </c>
      <c r="N146" s="105">
        <v>400</v>
      </c>
      <c r="O146" s="105">
        <v>400</v>
      </c>
      <c r="P146" s="105">
        <v>400</v>
      </c>
      <c r="Q146" s="105">
        <v>400</v>
      </c>
      <c r="R146" s="105">
        <v>400</v>
      </c>
      <c r="S146" s="105">
        <v>400</v>
      </c>
      <c r="T146" s="105">
        <v>500</v>
      </c>
      <c r="U146" s="105">
        <v>400</v>
      </c>
    </row>
    <row r="147" spans="8:21">
      <c r="H147" s="37" t="s">
        <v>327</v>
      </c>
      <c r="I147" s="52">
        <f t="shared" si="66"/>
        <v>0</v>
      </c>
      <c r="J147" s="106">
        <v>0</v>
      </c>
      <c r="K147" s="106">
        <v>0</v>
      </c>
      <c r="L147" s="106">
        <v>0</v>
      </c>
      <c r="M147" s="106">
        <v>0</v>
      </c>
      <c r="N147" s="106">
        <v>0</v>
      </c>
      <c r="O147" s="106">
        <v>0</v>
      </c>
      <c r="P147" s="106">
        <v>0</v>
      </c>
      <c r="Q147" s="106">
        <v>0</v>
      </c>
      <c r="R147" s="106">
        <v>0</v>
      </c>
      <c r="S147" s="106">
        <v>0</v>
      </c>
      <c r="T147" s="106">
        <v>0</v>
      </c>
      <c r="U147" s="106">
        <v>0</v>
      </c>
    </row>
    <row r="148" spans="8:21">
      <c r="H148" s="18" t="s">
        <v>328</v>
      </c>
      <c r="I148" s="52">
        <f t="shared" si="66"/>
        <v>0</v>
      </c>
      <c r="J148" s="105">
        <v>0</v>
      </c>
      <c r="K148" s="105">
        <v>0</v>
      </c>
      <c r="L148" s="105">
        <v>0</v>
      </c>
      <c r="M148" s="105">
        <v>0</v>
      </c>
      <c r="N148" s="105">
        <v>0</v>
      </c>
      <c r="O148" s="105">
        <v>0</v>
      </c>
      <c r="P148" s="105">
        <v>0</v>
      </c>
      <c r="Q148" s="105">
        <v>0</v>
      </c>
      <c r="R148" s="105">
        <v>0</v>
      </c>
      <c r="S148" s="105">
        <v>0</v>
      </c>
      <c r="T148" s="105">
        <v>0</v>
      </c>
      <c r="U148" s="105">
        <v>0</v>
      </c>
    </row>
    <row r="149" spans="8:21" ht="18.600000000000001">
      <c r="H149" s="34" t="s">
        <v>329</v>
      </c>
      <c r="I149" s="35">
        <f t="shared" ref="I149:U149" si="67">+SUM(I143:I148)</f>
        <v>71771</v>
      </c>
      <c r="J149" s="51">
        <f t="shared" si="67"/>
        <v>5860</v>
      </c>
      <c r="K149" s="51">
        <f t="shared" si="67"/>
        <v>5168</v>
      </c>
      <c r="L149" s="51">
        <f t="shared" si="67"/>
        <v>5298</v>
      </c>
      <c r="M149" s="51">
        <f t="shared" si="67"/>
        <v>5948</v>
      </c>
      <c r="N149" s="51">
        <f t="shared" si="67"/>
        <v>7090</v>
      </c>
      <c r="O149" s="51">
        <f t="shared" si="67"/>
        <v>5714</v>
      </c>
      <c r="P149" s="51">
        <f t="shared" si="67"/>
        <v>6765</v>
      </c>
      <c r="Q149" s="51">
        <f t="shared" si="67"/>
        <v>6909</v>
      </c>
      <c r="R149" s="51">
        <f t="shared" si="67"/>
        <v>5495</v>
      </c>
      <c r="S149" s="51">
        <f t="shared" si="67"/>
        <v>4996</v>
      </c>
      <c r="T149" s="51">
        <f t="shared" si="67"/>
        <v>4976</v>
      </c>
      <c r="U149" s="51">
        <f t="shared" si="67"/>
        <v>7552</v>
      </c>
    </row>
    <row r="150" spans="8:21">
      <c r="H150" s="5" t="s">
        <v>330</v>
      </c>
      <c r="I150" s="52">
        <f t="shared" ref="I150:I165" si="68">+SUM(J150:U150)</f>
        <v>9650</v>
      </c>
      <c r="J150" s="105">
        <v>750</v>
      </c>
      <c r="K150" s="105">
        <v>650</v>
      </c>
      <c r="L150" s="105">
        <v>700</v>
      </c>
      <c r="M150" s="105">
        <v>1000</v>
      </c>
      <c r="N150" s="105">
        <v>700</v>
      </c>
      <c r="O150" s="105">
        <v>850</v>
      </c>
      <c r="P150" s="105">
        <v>800</v>
      </c>
      <c r="Q150" s="105">
        <v>800</v>
      </c>
      <c r="R150" s="105">
        <v>900</v>
      </c>
      <c r="S150" s="105">
        <v>900</v>
      </c>
      <c r="T150" s="105">
        <v>800</v>
      </c>
      <c r="U150" s="105">
        <v>800</v>
      </c>
    </row>
    <row r="151" spans="8:21">
      <c r="H151" s="37" t="s">
        <v>331</v>
      </c>
      <c r="I151" s="52">
        <f t="shared" si="68"/>
        <v>2000</v>
      </c>
      <c r="J151" s="106">
        <v>200</v>
      </c>
      <c r="K151" s="106">
        <v>100</v>
      </c>
      <c r="L151" s="106">
        <v>150</v>
      </c>
      <c r="M151" s="106">
        <v>125</v>
      </c>
      <c r="N151" s="106">
        <v>225</v>
      </c>
      <c r="O151" s="106">
        <v>150</v>
      </c>
      <c r="P151" s="106">
        <v>100</v>
      </c>
      <c r="Q151" s="106">
        <v>200</v>
      </c>
      <c r="R151" s="106">
        <v>250</v>
      </c>
      <c r="S151" s="106">
        <v>100</v>
      </c>
      <c r="T151" s="106">
        <v>200</v>
      </c>
      <c r="U151" s="106">
        <v>200</v>
      </c>
    </row>
    <row r="152" spans="8:21">
      <c r="H152" s="5" t="s">
        <v>332</v>
      </c>
      <c r="I152" s="52">
        <f t="shared" si="68"/>
        <v>0</v>
      </c>
      <c r="J152" s="105">
        <v>0</v>
      </c>
      <c r="K152" s="105">
        <v>0</v>
      </c>
      <c r="L152" s="105">
        <v>0</v>
      </c>
      <c r="M152" s="105">
        <v>0</v>
      </c>
      <c r="N152" s="105">
        <v>0</v>
      </c>
      <c r="O152" s="105">
        <v>0</v>
      </c>
      <c r="P152" s="105">
        <v>0</v>
      </c>
      <c r="Q152" s="105">
        <v>0</v>
      </c>
      <c r="R152" s="105">
        <v>0</v>
      </c>
      <c r="S152" s="105">
        <v>0</v>
      </c>
      <c r="T152" s="105">
        <v>0</v>
      </c>
      <c r="U152" s="105">
        <v>0</v>
      </c>
    </row>
    <row r="153" spans="8:21">
      <c r="H153" s="37" t="s">
        <v>333</v>
      </c>
      <c r="I153" s="52">
        <f t="shared" si="68"/>
        <v>1797.4999999999998</v>
      </c>
      <c r="J153" s="106">
        <v>149.79</v>
      </c>
      <c r="K153" s="106">
        <v>149.79</v>
      </c>
      <c r="L153" s="106">
        <v>149.79</v>
      </c>
      <c r="M153" s="106">
        <v>149.79</v>
      </c>
      <c r="N153" s="106">
        <v>149.79</v>
      </c>
      <c r="O153" s="106">
        <v>149.79</v>
      </c>
      <c r="P153" s="106">
        <v>149.79</v>
      </c>
      <c r="Q153" s="106">
        <v>149.79</v>
      </c>
      <c r="R153" s="106">
        <v>149.79</v>
      </c>
      <c r="S153" s="106">
        <v>149.79</v>
      </c>
      <c r="T153" s="106">
        <v>149.79</v>
      </c>
      <c r="U153" s="106">
        <v>149.81</v>
      </c>
    </row>
    <row r="154" spans="8:21">
      <c r="H154" s="5" t="s">
        <v>334</v>
      </c>
      <c r="I154" s="52">
        <f t="shared" si="68"/>
        <v>400</v>
      </c>
      <c r="J154" s="105">
        <v>125</v>
      </c>
      <c r="K154" s="105">
        <v>25</v>
      </c>
      <c r="L154" s="105">
        <v>25</v>
      </c>
      <c r="M154" s="105">
        <v>25</v>
      </c>
      <c r="N154" s="105">
        <v>25</v>
      </c>
      <c r="O154" s="105">
        <v>25</v>
      </c>
      <c r="P154" s="105">
        <v>25</v>
      </c>
      <c r="Q154" s="105">
        <v>25</v>
      </c>
      <c r="R154" s="105">
        <v>25</v>
      </c>
      <c r="S154" s="105">
        <v>25</v>
      </c>
      <c r="T154" s="105">
        <v>25</v>
      </c>
      <c r="U154" s="105">
        <v>25</v>
      </c>
    </row>
    <row r="155" spans="8:21">
      <c r="H155" s="37" t="s">
        <v>335</v>
      </c>
      <c r="I155" s="52">
        <f t="shared" si="68"/>
        <v>249.99999999999994</v>
      </c>
      <c r="J155" s="106">
        <v>20.83</v>
      </c>
      <c r="K155" s="106">
        <v>20.83</v>
      </c>
      <c r="L155" s="106">
        <v>20.83</v>
      </c>
      <c r="M155" s="106">
        <v>20.83</v>
      </c>
      <c r="N155" s="106">
        <v>20.83</v>
      </c>
      <c r="O155" s="106">
        <v>20.83</v>
      </c>
      <c r="P155" s="106">
        <v>20.83</v>
      </c>
      <c r="Q155" s="106">
        <v>20.83</v>
      </c>
      <c r="R155" s="106">
        <v>20.83</v>
      </c>
      <c r="S155" s="106">
        <v>20.83</v>
      </c>
      <c r="T155" s="106">
        <v>20.83</v>
      </c>
      <c r="U155" s="106">
        <v>20.87</v>
      </c>
    </row>
    <row r="156" spans="8:21">
      <c r="H156" s="5" t="s">
        <v>336</v>
      </c>
      <c r="I156" s="52">
        <f t="shared" si="68"/>
        <v>1275</v>
      </c>
      <c r="J156" s="105">
        <v>106.25</v>
      </c>
      <c r="K156" s="105">
        <v>106.25</v>
      </c>
      <c r="L156" s="105">
        <v>106.25</v>
      </c>
      <c r="M156" s="105">
        <v>106.25</v>
      </c>
      <c r="N156" s="105">
        <v>106.25</v>
      </c>
      <c r="O156" s="105">
        <v>106.25</v>
      </c>
      <c r="P156" s="105">
        <v>106.25</v>
      </c>
      <c r="Q156" s="105">
        <v>106.25</v>
      </c>
      <c r="R156" s="105">
        <v>106.25</v>
      </c>
      <c r="S156" s="105">
        <v>106.25</v>
      </c>
      <c r="T156" s="105">
        <v>106.25</v>
      </c>
      <c r="U156" s="105">
        <v>106.25</v>
      </c>
    </row>
    <row r="157" spans="8:21">
      <c r="H157" s="37" t="s">
        <v>337</v>
      </c>
      <c r="I157" s="52">
        <f t="shared" si="68"/>
        <v>150</v>
      </c>
      <c r="J157" s="106">
        <v>12.5</v>
      </c>
      <c r="K157" s="106">
        <v>12.5</v>
      </c>
      <c r="L157" s="106">
        <v>12.5</v>
      </c>
      <c r="M157" s="106">
        <v>12.5</v>
      </c>
      <c r="N157" s="106">
        <v>12.5</v>
      </c>
      <c r="O157" s="106">
        <v>12.5</v>
      </c>
      <c r="P157" s="106">
        <v>12.5</v>
      </c>
      <c r="Q157" s="106">
        <v>12.5</v>
      </c>
      <c r="R157" s="106">
        <v>12.5</v>
      </c>
      <c r="S157" s="106">
        <v>12.5</v>
      </c>
      <c r="T157" s="106">
        <v>12.5</v>
      </c>
      <c r="U157" s="106">
        <v>12.5</v>
      </c>
    </row>
    <row r="158" spans="8:21">
      <c r="H158" s="5" t="s">
        <v>338</v>
      </c>
      <c r="I158" s="52">
        <f t="shared" si="68"/>
        <v>2000</v>
      </c>
      <c r="J158" s="105">
        <v>100</v>
      </c>
      <c r="K158" s="105">
        <v>200</v>
      </c>
      <c r="L158" s="105">
        <v>100</v>
      </c>
      <c r="M158" s="105">
        <v>100</v>
      </c>
      <c r="N158" s="105">
        <v>200</v>
      </c>
      <c r="O158" s="105">
        <v>100</v>
      </c>
      <c r="P158" s="105">
        <v>100</v>
      </c>
      <c r="Q158" s="105">
        <v>200</v>
      </c>
      <c r="R158" s="105">
        <v>200</v>
      </c>
      <c r="S158" s="105">
        <v>100</v>
      </c>
      <c r="T158" s="105">
        <v>300</v>
      </c>
      <c r="U158" s="105">
        <v>300</v>
      </c>
    </row>
    <row r="159" spans="8:21">
      <c r="H159" s="37" t="s">
        <v>339</v>
      </c>
      <c r="I159" s="52">
        <f t="shared" si="68"/>
        <v>0</v>
      </c>
      <c r="J159" s="106">
        <v>0</v>
      </c>
      <c r="K159" s="106">
        <v>0</v>
      </c>
      <c r="L159" s="106">
        <v>0</v>
      </c>
      <c r="M159" s="106">
        <v>0</v>
      </c>
      <c r="N159" s="106">
        <v>0</v>
      </c>
      <c r="O159" s="106">
        <v>0</v>
      </c>
      <c r="P159" s="106">
        <v>0</v>
      </c>
      <c r="Q159" s="106">
        <v>0</v>
      </c>
      <c r="R159" s="106">
        <v>0</v>
      </c>
      <c r="S159" s="106">
        <v>0</v>
      </c>
      <c r="T159" s="106">
        <v>0</v>
      </c>
      <c r="U159" s="106">
        <v>0</v>
      </c>
    </row>
    <row r="160" spans="8:21">
      <c r="H160" s="5" t="s">
        <v>291</v>
      </c>
      <c r="I160" s="52">
        <f t="shared" si="68"/>
        <v>5932.75</v>
      </c>
      <c r="J160" s="105">
        <v>2000</v>
      </c>
      <c r="K160" s="105">
        <v>0</v>
      </c>
      <c r="L160" s="105">
        <v>0</v>
      </c>
      <c r="M160" s="105">
        <v>0</v>
      </c>
      <c r="N160" s="105">
        <v>0</v>
      </c>
      <c r="O160" s="105">
        <v>1932.75</v>
      </c>
      <c r="P160" s="105">
        <v>0</v>
      </c>
      <c r="Q160" s="105">
        <v>0</v>
      </c>
      <c r="R160" s="105">
        <v>0</v>
      </c>
      <c r="S160" s="105">
        <v>0</v>
      </c>
      <c r="T160" s="105">
        <v>0</v>
      </c>
      <c r="U160" s="105">
        <v>2000</v>
      </c>
    </row>
    <row r="161" spans="8:21">
      <c r="H161" s="37" t="s">
        <v>340</v>
      </c>
      <c r="I161" s="52">
        <f t="shared" si="68"/>
        <v>12000</v>
      </c>
      <c r="J161" s="106">
        <v>1000</v>
      </c>
      <c r="K161" s="106">
        <v>1000</v>
      </c>
      <c r="L161" s="106">
        <v>1000</v>
      </c>
      <c r="M161" s="106">
        <v>1000</v>
      </c>
      <c r="N161" s="106">
        <v>1000</v>
      </c>
      <c r="O161" s="106">
        <v>1000</v>
      </c>
      <c r="P161" s="106">
        <v>1000</v>
      </c>
      <c r="Q161" s="106">
        <v>1000</v>
      </c>
      <c r="R161" s="106">
        <v>1000</v>
      </c>
      <c r="S161" s="106">
        <v>1000</v>
      </c>
      <c r="T161" s="106">
        <v>1000</v>
      </c>
      <c r="U161" s="106">
        <v>1000</v>
      </c>
    </row>
    <row r="162" spans="8:21">
      <c r="H162" s="5" t="s">
        <v>341</v>
      </c>
      <c r="I162" s="52">
        <f t="shared" si="68"/>
        <v>2832</v>
      </c>
      <c r="J162" s="105">
        <v>236</v>
      </c>
      <c r="K162" s="105">
        <v>236</v>
      </c>
      <c r="L162" s="105">
        <v>236</v>
      </c>
      <c r="M162" s="105">
        <v>236</v>
      </c>
      <c r="N162" s="105">
        <v>236</v>
      </c>
      <c r="O162" s="105">
        <v>236</v>
      </c>
      <c r="P162" s="105">
        <v>236</v>
      </c>
      <c r="Q162" s="105">
        <v>236</v>
      </c>
      <c r="R162" s="105">
        <v>236</v>
      </c>
      <c r="S162" s="105">
        <v>236</v>
      </c>
      <c r="T162" s="105">
        <v>236</v>
      </c>
      <c r="U162" s="105">
        <v>236</v>
      </c>
    </row>
    <row r="163" spans="8:21">
      <c r="H163" s="37" t="s">
        <v>342</v>
      </c>
      <c r="I163" s="52">
        <f t="shared" si="68"/>
        <v>4707.1200000000008</v>
      </c>
      <c r="J163" s="106">
        <v>392.26</v>
      </c>
      <c r="K163" s="106">
        <v>392.26</v>
      </c>
      <c r="L163" s="106">
        <v>392.26</v>
      </c>
      <c r="M163" s="106">
        <v>392.26</v>
      </c>
      <c r="N163" s="106">
        <v>392.26</v>
      </c>
      <c r="O163" s="106">
        <v>392.26</v>
      </c>
      <c r="P163" s="106">
        <v>392.26</v>
      </c>
      <c r="Q163" s="106">
        <v>392.26</v>
      </c>
      <c r="R163" s="106">
        <v>392.26</v>
      </c>
      <c r="S163" s="106">
        <v>392.26</v>
      </c>
      <c r="T163" s="106">
        <v>392.26</v>
      </c>
      <c r="U163" s="106">
        <v>392.26</v>
      </c>
    </row>
    <row r="164" spans="8:21">
      <c r="H164" s="5" t="s">
        <v>343</v>
      </c>
      <c r="I164" s="52">
        <f t="shared" si="68"/>
        <v>0</v>
      </c>
      <c r="J164" s="105">
        <v>0</v>
      </c>
      <c r="K164" s="105">
        <v>0</v>
      </c>
      <c r="L164" s="105">
        <v>0</v>
      </c>
      <c r="M164" s="105">
        <v>0</v>
      </c>
      <c r="N164" s="105">
        <v>0</v>
      </c>
      <c r="O164" s="105">
        <v>0</v>
      </c>
      <c r="P164" s="105">
        <v>0</v>
      </c>
      <c r="Q164" s="105">
        <v>0</v>
      </c>
      <c r="R164" s="105">
        <v>0</v>
      </c>
      <c r="S164" s="105">
        <v>0</v>
      </c>
      <c r="T164" s="105">
        <v>0</v>
      </c>
      <c r="U164" s="105">
        <v>0</v>
      </c>
    </row>
    <row r="165" spans="8:21">
      <c r="H165" s="113" t="s">
        <v>344</v>
      </c>
      <c r="I165" s="52">
        <f t="shared" si="68"/>
        <v>1850.1000000000004</v>
      </c>
      <c r="J165" s="106">
        <v>154.16999999999999</v>
      </c>
      <c r="K165" s="106">
        <v>154.18</v>
      </c>
      <c r="L165" s="106">
        <v>154.16999999999999</v>
      </c>
      <c r="M165" s="106">
        <v>154.18</v>
      </c>
      <c r="N165" s="106">
        <v>154.16999999999999</v>
      </c>
      <c r="O165" s="106">
        <v>154.18</v>
      </c>
      <c r="P165" s="106">
        <v>154.16999999999999</v>
      </c>
      <c r="Q165" s="106">
        <v>154.18</v>
      </c>
      <c r="R165" s="106">
        <v>154.16999999999999</v>
      </c>
      <c r="S165" s="106">
        <v>154.18</v>
      </c>
      <c r="T165" s="106">
        <v>154.16999999999999</v>
      </c>
      <c r="U165" s="106">
        <v>154.18</v>
      </c>
    </row>
    <row r="166" spans="8:21" ht="18.600000000000001">
      <c r="H166" s="34" t="s">
        <v>345</v>
      </c>
      <c r="I166" s="35">
        <f t="shared" ref="I166:U166" si="69">+SUM(I150:I165)</f>
        <v>44844.47</v>
      </c>
      <c r="J166" s="51">
        <f t="shared" si="69"/>
        <v>5246.8</v>
      </c>
      <c r="K166" s="51">
        <f t="shared" si="69"/>
        <v>3046.81</v>
      </c>
      <c r="L166" s="51">
        <f t="shared" si="69"/>
        <v>3046.8</v>
      </c>
      <c r="M166" s="51">
        <f t="shared" si="69"/>
        <v>3321.81</v>
      </c>
      <c r="N166" s="51">
        <f t="shared" si="69"/>
        <v>3221.8</v>
      </c>
      <c r="O166" s="51">
        <f t="shared" si="69"/>
        <v>5129.5600000000004</v>
      </c>
      <c r="P166" s="51">
        <f t="shared" si="69"/>
        <v>3096.8</v>
      </c>
      <c r="Q166" s="51">
        <f t="shared" si="69"/>
        <v>3296.81</v>
      </c>
      <c r="R166" s="51">
        <f t="shared" si="69"/>
        <v>3446.8</v>
      </c>
      <c r="S166" s="51">
        <f t="shared" si="69"/>
        <v>3196.81</v>
      </c>
      <c r="T166" s="51">
        <f t="shared" si="69"/>
        <v>3396.8</v>
      </c>
      <c r="U166" s="51">
        <f t="shared" si="69"/>
        <v>5396.8700000000008</v>
      </c>
    </row>
    <row r="167" spans="8:21" ht="18.600000000000001">
      <c r="H167" s="34" t="s">
        <v>346</v>
      </c>
      <c r="I167" s="35">
        <f t="shared" ref="I167:U167" si="70">+I149-I166</f>
        <v>26926.53</v>
      </c>
      <c r="J167" s="51">
        <f t="shared" si="70"/>
        <v>613.19999999999982</v>
      </c>
      <c r="K167" s="51">
        <f t="shared" si="70"/>
        <v>2121.19</v>
      </c>
      <c r="L167" s="51">
        <f t="shared" si="70"/>
        <v>2251.1999999999998</v>
      </c>
      <c r="M167" s="51">
        <f t="shared" si="70"/>
        <v>2626.19</v>
      </c>
      <c r="N167" s="51">
        <f t="shared" si="70"/>
        <v>3868.2</v>
      </c>
      <c r="O167" s="51">
        <f t="shared" si="70"/>
        <v>584.4399999999996</v>
      </c>
      <c r="P167" s="51">
        <f t="shared" si="70"/>
        <v>3668.2</v>
      </c>
      <c r="Q167" s="51">
        <f t="shared" si="70"/>
        <v>3612.19</v>
      </c>
      <c r="R167" s="51">
        <f t="shared" si="70"/>
        <v>2048.1999999999998</v>
      </c>
      <c r="S167" s="51">
        <f t="shared" si="70"/>
        <v>1799.19</v>
      </c>
      <c r="T167" s="51">
        <f t="shared" si="70"/>
        <v>1579.1999999999998</v>
      </c>
      <c r="U167" s="51">
        <f t="shared" si="70"/>
        <v>2155.1299999999992</v>
      </c>
    </row>
    <row r="168" spans="8:21" ht="18.600000000000001">
      <c r="H168" s="34" t="s">
        <v>347</v>
      </c>
      <c r="I168" s="35">
        <f t="shared" ref="I168:U168" ca="1" si="71">+I142+I167</f>
        <v>92032.674999999988</v>
      </c>
      <c r="J168" s="51">
        <f t="shared" ca="1" si="71"/>
        <v>65719.344999999987</v>
      </c>
      <c r="K168" s="51">
        <f t="shared" ca="1" si="71"/>
        <v>67840.534999999989</v>
      </c>
      <c r="L168" s="51">
        <f t="shared" ca="1" si="71"/>
        <v>70091.734999999986</v>
      </c>
      <c r="M168" s="51">
        <f t="shared" ca="1" si="71"/>
        <v>72717.924999999988</v>
      </c>
      <c r="N168" s="51">
        <f t="shared" ca="1" si="71"/>
        <v>76586.124999999985</v>
      </c>
      <c r="O168" s="51">
        <f t="shared" ca="1" si="71"/>
        <v>77170.564999999988</v>
      </c>
      <c r="P168" s="51">
        <f t="shared" ca="1" si="71"/>
        <v>80838.764999999985</v>
      </c>
      <c r="Q168" s="51">
        <f t="shared" ca="1" si="71"/>
        <v>84450.954999999987</v>
      </c>
      <c r="R168" s="51">
        <f t="shared" ca="1" si="71"/>
        <v>86499.154999999984</v>
      </c>
      <c r="S168" s="51">
        <f t="shared" ca="1" si="71"/>
        <v>88298.344999999987</v>
      </c>
      <c r="T168" s="51">
        <f t="shared" ca="1" si="71"/>
        <v>89877.544999999984</v>
      </c>
      <c r="U168" s="51">
        <f t="shared" ca="1" si="71"/>
        <v>92032.674999999988</v>
      </c>
    </row>
    <row r="170" spans="8:21" ht="21">
      <c r="H170" s="230" t="str">
        <f>+$B$2</f>
        <v>SecondNote</v>
      </c>
      <c r="I170" s="230"/>
      <c r="J170" s="230"/>
      <c r="K170" s="230"/>
      <c r="L170" s="230"/>
      <c r="M170" s="230"/>
      <c r="N170" s="230"/>
      <c r="O170" s="230"/>
      <c r="P170" s="230"/>
      <c r="Q170" s="230"/>
      <c r="R170" s="230"/>
      <c r="S170" s="230"/>
      <c r="T170" s="230"/>
      <c r="U170" s="230"/>
    </row>
    <row r="171" spans="8:21" ht="21">
      <c r="H171" s="34"/>
      <c r="I171" s="27"/>
      <c r="J171" s="27"/>
      <c r="K171" s="27"/>
      <c r="L171" s="28"/>
      <c r="M171" s="27"/>
      <c r="N171" s="27"/>
      <c r="O171" s="28" t="s">
        <v>308</v>
      </c>
      <c r="P171" s="49">
        <f ca="1">+P140+1</f>
        <v>2028</v>
      </c>
      <c r="Q171" s="27"/>
      <c r="R171" s="27"/>
      <c r="S171" s="27"/>
      <c r="T171" s="27"/>
      <c r="U171" s="27"/>
    </row>
    <row r="172" spans="8:21" ht="18.600000000000001">
      <c r="H172" s="34" t="s">
        <v>270</v>
      </c>
      <c r="I172" s="34" t="s">
        <v>309</v>
      </c>
      <c r="J172" s="34" t="s">
        <v>310</v>
      </c>
      <c r="K172" s="34" t="s">
        <v>311</v>
      </c>
      <c r="L172" s="34" t="s">
        <v>312</v>
      </c>
      <c r="M172" s="34" t="s">
        <v>313</v>
      </c>
      <c r="N172" s="34" t="s">
        <v>314</v>
      </c>
      <c r="O172" s="34" t="s">
        <v>315</v>
      </c>
      <c r="P172" s="34" t="s">
        <v>316</v>
      </c>
      <c r="Q172" s="34" t="s">
        <v>317</v>
      </c>
      <c r="R172" s="34" t="s">
        <v>318</v>
      </c>
      <c r="S172" s="34" t="s">
        <v>319</v>
      </c>
      <c r="T172" s="34" t="s">
        <v>320</v>
      </c>
      <c r="U172" s="34" t="s">
        <v>321</v>
      </c>
    </row>
    <row r="173" spans="8:21" ht="18.600000000000001">
      <c r="H173" s="34" t="s">
        <v>322</v>
      </c>
      <c r="I173" s="50">
        <f ca="1">+I168</f>
        <v>92032.674999999988</v>
      </c>
      <c r="J173" s="51">
        <f ca="1">+I168</f>
        <v>92032.674999999988</v>
      </c>
      <c r="K173" s="51">
        <f ca="1">+J199</f>
        <v>90453.25499999999</v>
      </c>
      <c r="L173" s="51">
        <f t="shared" ref="L173" ca="1" si="72">+K199</f>
        <v>93628.854999999996</v>
      </c>
      <c r="M173" s="51">
        <f t="shared" ref="M173" ca="1" si="73">+L199</f>
        <v>96945.455000000002</v>
      </c>
      <c r="N173" s="51">
        <f t="shared" ref="N173" ca="1" si="74">+M199</f>
        <v>101336.05500000001</v>
      </c>
      <c r="O173" s="51">
        <f t="shared" ref="O173" ca="1" si="75">+N199</f>
        <v>105195.65500000001</v>
      </c>
      <c r="P173" s="51">
        <f t="shared" ref="P173" ca="1" si="76">+O199</f>
        <v>102293.18500000001</v>
      </c>
      <c r="Q173" s="51">
        <f t="shared" ref="Q173" ca="1" si="77">+P199</f>
        <v>102513.78500000002</v>
      </c>
      <c r="R173" s="51">
        <f t="shared" ref="R173" ca="1" si="78">+Q199</f>
        <v>108032.38500000002</v>
      </c>
      <c r="S173" s="51">
        <f t="shared" ref="S173" ca="1" si="79">+R199</f>
        <v>112817.98500000003</v>
      </c>
      <c r="T173" s="51">
        <f t="shared" ref="T173" ca="1" si="80">+S199</f>
        <v>115778.58500000004</v>
      </c>
      <c r="U173" s="51">
        <f t="shared" ref="U173" ca="1" si="81">+T199</f>
        <v>119354.18500000004</v>
      </c>
    </row>
    <row r="174" spans="8:21">
      <c r="H174" s="37" t="s">
        <v>323</v>
      </c>
      <c r="I174" s="52">
        <f t="shared" ref="I174:I179" si="82">+SUM(J174:U174)</f>
        <v>76408</v>
      </c>
      <c r="J174" s="106">
        <v>4745</v>
      </c>
      <c r="K174" s="106">
        <v>5525</v>
      </c>
      <c r="L174" s="106">
        <v>5841</v>
      </c>
      <c r="M174" s="106">
        <v>6815</v>
      </c>
      <c r="N174" s="106">
        <v>6259</v>
      </c>
      <c r="O174" s="106">
        <v>6945</v>
      </c>
      <c r="P174" s="106">
        <v>7770</v>
      </c>
      <c r="Q174" s="106">
        <v>8393</v>
      </c>
      <c r="R174" s="106">
        <v>6860</v>
      </c>
      <c r="S174" s="106">
        <v>5035</v>
      </c>
      <c r="T174" s="106">
        <v>5900</v>
      </c>
      <c r="U174" s="106">
        <v>6320</v>
      </c>
    </row>
    <row r="175" spans="8:21">
      <c r="H175" s="5" t="s">
        <v>324</v>
      </c>
      <c r="I175" s="52">
        <f t="shared" si="82"/>
        <v>0</v>
      </c>
      <c r="J175" s="105">
        <v>0</v>
      </c>
      <c r="K175" s="105">
        <v>0</v>
      </c>
      <c r="L175" s="105">
        <v>0</v>
      </c>
      <c r="M175" s="105">
        <v>0</v>
      </c>
      <c r="N175" s="105">
        <v>0</v>
      </c>
      <c r="O175" s="105">
        <v>0</v>
      </c>
      <c r="P175" s="105">
        <v>0</v>
      </c>
      <c r="Q175" s="105">
        <v>0</v>
      </c>
      <c r="R175" s="105">
        <v>0</v>
      </c>
      <c r="S175" s="105">
        <v>0</v>
      </c>
      <c r="T175" s="105">
        <v>0</v>
      </c>
      <c r="U175" s="105">
        <v>0</v>
      </c>
    </row>
    <row r="176" spans="8:21">
      <c r="H176" s="37" t="s">
        <v>326</v>
      </c>
      <c r="I176" s="52">
        <f t="shared" si="82"/>
        <v>5000</v>
      </c>
      <c r="J176" s="106">
        <v>400</v>
      </c>
      <c r="K176" s="106">
        <v>600</v>
      </c>
      <c r="L176" s="106">
        <v>300</v>
      </c>
      <c r="M176" s="106">
        <v>600</v>
      </c>
      <c r="N176" s="106">
        <v>400</v>
      </c>
      <c r="O176" s="106">
        <v>500</v>
      </c>
      <c r="P176" s="106">
        <v>300</v>
      </c>
      <c r="Q176" s="106">
        <v>200</v>
      </c>
      <c r="R176" s="106">
        <v>300</v>
      </c>
      <c r="S176" s="106">
        <v>600</v>
      </c>
      <c r="T176" s="106">
        <v>400</v>
      </c>
      <c r="U176" s="106">
        <v>400</v>
      </c>
    </row>
    <row r="177" spans="8:21">
      <c r="H177" s="5" t="s">
        <v>325</v>
      </c>
      <c r="I177" s="52">
        <f t="shared" si="82"/>
        <v>5000</v>
      </c>
      <c r="J177" s="105">
        <v>400</v>
      </c>
      <c r="K177" s="105">
        <v>400</v>
      </c>
      <c r="L177" s="105">
        <v>500</v>
      </c>
      <c r="M177" s="105">
        <v>300</v>
      </c>
      <c r="N177" s="105">
        <v>500</v>
      </c>
      <c r="O177" s="105">
        <v>200</v>
      </c>
      <c r="P177" s="105">
        <v>300</v>
      </c>
      <c r="Q177" s="105">
        <v>500</v>
      </c>
      <c r="R177" s="105">
        <v>600</v>
      </c>
      <c r="S177" s="105">
        <v>400</v>
      </c>
      <c r="T177" s="105">
        <v>600</v>
      </c>
      <c r="U177" s="105">
        <v>300</v>
      </c>
    </row>
    <row r="178" spans="8:21">
      <c r="H178" s="37" t="s">
        <v>327</v>
      </c>
      <c r="I178" s="52">
        <f t="shared" si="82"/>
        <v>0</v>
      </c>
      <c r="J178" s="106">
        <v>0</v>
      </c>
      <c r="K178" s="106">
        <v>0</v>
      </c>
      <c r="L178" s="106">
        <v>0</v>
      </c>
      <c r="M178" s="106">
        <v>0</v>
      </c>
      <c r="N178" s="106">
        <v>0</v>
      </c>
      <c r="O178" s="106">
        <v>0</v>
      </c>
      <c r="P178" s="106">
        <v>0</v>
      </c>
      <c r="Q178" s="106">
        <v>0</v>
      </c>
      <c r="R178" s="106">
        <v>0</v>
      </c>
      <c r="S178" s="106">
        <v>0</v>
      </c>
      <c r="T178" s="106">
        <v>0</v>
      </c>
      <c r="U178" s="106">
        <v>0</v>
      </c>
    </row>
    <row r="179" spans="8:21">
      <c r="H179" s="18" t="s">
        <v>328</v>
      </c>
      <c r="I179" s="52">
        <f t="shared" si="82"/>
        <v>0</v>
      </c>
      <c r="J179" s="105">
        <v>0</v>
      </c>
      <c r="K179" s="105">
        <v>0</v>
      </c>
      <c r="L179" s="105">
        <v>0</v>
      </c>
      <c r="M179" s="105">
        <v>0</v>
      </c>
      <c r="N179" s="105">
        <v>0</v>
      </c>
      <c r="O179" s="105">
        <v>0</v>
      </c>
      <c r="P179" s="105">
        <v>0</v>
      </c>
      <c r="Q179" s="105">
        <v>0</v>
      </c>
      <c r="R179" s="105">
        <v>0</v>
      </c>
      <c r="S179" s="105">
        <v>0</v>
      </c>
      <c r="T179" s="105">
        <v>0</v>
      </c>
      <c r="U179" s="105">
        <v>0</v>
      </c>
    </row>
    <row r="180" spans="8:21" ht="18.600000000000001">
      <c r="H180" s="34" t="s">
        <v>329</v>
      </c>
      <c r="I180" s="35">
        <f t="shared" ref="I180:U180" si="83">+SUM(I174:I179)</f>
        <v>86408</v>
      </c>
      <c r="J180" s="51">
        <f t="shared" si="83"/>
        <v>5545</v>
      </c>
      <c r="K180" s="51">
        <f t="shared" si="83"/>
        <v>6525</v>
      </c>
      <c r="L180" s="51">
        <f t="shared" si="83"/>
        <v>6641</v>
      </c>
      <c r="M180" s="51">
        <f t="shared" si="83"/>
        <v>7715</v>
      </c>
      <c r="N180" s="51">
        <f t="shared" si="83"/>
        <v>7159</v>
      </c>
      <c r="O180" s="51">
        <f t="shared" si="83"/>
        <v>7645</v>
      </c>
      <c r="P180" s="51">
        <f t="shared" si="83"/>
        <v>8370</v>
      </c>
      <c r="Q180" s="51">
        <f t="shared" si="83"/>
        <v>9093</v>
      </c>
      <c r="R180" s="51">
        <f t="shared" si="83"/>
        <v>7760</v>
      </c>
      <c r="S180" s="51">
        <f t="shared" si="83"/>
        <v>6035</v>
      </c>
      <c r="T180" s="51">
        <f t="shared" si="83"/>
        <v>6900</v>
      </c>
      <c r="U180" s="51">
        <f t="shared" si="83"/>
        <v>7020</v>
      </c>
    </row>
    <row r="181" spans="8:21">
      <c r="H181" s="5" t="s">
        <v>330</v>
      </c>
      <c r="I181" s="52">
        <f t="shared" ref="I181:I196" si="84">+SUM(J181:U181)</f>
        <v>9550</v>
      </c>
      <c r="J181" s="105">
        <v>800</v>
      </c>
      <c r="K181" s="105">
        <v>900</v>
      </c>
      <c r="L181" s="105">
        <v>1000</v>
      </c>
      <c r="M181" s="105">
        <v>850</v>
      </c>
      <c r="N181" s="105">
        <v>700</v>
      </c>
      <c r="O181" s="105">
        <v>650</v>
      </c>
      <c r="P181" s="105">
        <v>850</v>
      </c>
      <c r="Q181" s="105">
        <v>1000</v>
      </c>
      <c r="R181" s="105">
        <v>550</v>
      </c>
      <c r="S181" s="105">
        <v>700</v>
      </c>
      <c r="T181" s="105">
        <v>800</v>
      </c>
      <c r="U181" s="105">
        <v>750</v>
      </c>
    </row>
    <row r="182" spans="8:21">
      <c r="H182" s="37" t="s">
        <v>331</v>
      </c>
      <c r="I182" s="52">
        <f t="shared" si="84"/>
        <v>2200</v>
      </c>
      <c r="J182" s="106">
        <v>50</v>
      </c>
      <c r="K182" s="106">
        <v>50</v>
      </c>
      <c r="L182" s="106">
        <v>50</v>
      </c>
      <c r="M182" s="106">
        <v>300</v>
      </c>
      <c r="N182" s="106">
        <v>250</v>
      </c>
      <c r="O182" s="106">
        <v>150</v>
      </c>
      <c r="P182" s="106">
        <v>150</v>
      </c>
      <c r="Q182" s="106">
        <v>200</v>
      </c>
      <c r="R182" s="106">
        <v>250</v>
      </c>
      <c r="S182" s="106">
        <v>200</v>
      </c>
      <c r="T182" s="106">
        <v>250</v>
      </c>
      <c r="U182" s="106">
        <v>300</v>
      </c>
    </row>
    <row r="183" spans="8:21">
      <c r="H183" s="5" t="s">
        <v>332</v>
      </c>
      <c r="I183" s="52">
        <f t="shared" si="84"/>
        <v>0</v>
      </c>
      <c r="J183" s="105">
        <v>0</v>
      </c>
      <c r="K183" s="105">
        <v>0</v>
      </c>
      <c r="L183" s="105">
        <v>0</v>
      </c>
      <c r="M183" s="105">
        <v>0</v>
      </c>
      <c r="N183" s="105">
        <v>0</v>
      </c>
      <c r="O183" s="105">
        <v>0</v>
      </c>
      <c r="P183" s="105">
        <v>0</v>
      </c>
      <c r="Q183" s="105">
        <v>0</v>
      </c>
      <c r="R183" s="105">
        <v>0</v>
      </c>
      <c r="S183" s="105">
        <v>0</v>
      </c>
      <c r="T183" s="105">
        <v>0</v>
      </c>
      <c r="U183" s="105">
        <v>0</v>
      </c>
    </row>
    <row r="184" spans="8:21">
      <c r="H184" s="37" t="s">
        <v>333</v>
      </c>
      <c r="I184" s="52">
        <f t="shared" si="84"/>
        <v>1797.4999999999998</v>
      </c>
      <c r="J184" s="106">
        <v>149.81</v>
      </c>
      <c r="K184" s="106">
        <v>149.79</v>
      </c>
      <c r="L184" s="106">
        <v>149.79</v>
      </c>
      <c r="M184" s="106">
        <v>149.79</v>
      </c>
      <c r="N184" s="106">
        <v>149.79</v>
      </c>
      <c r="O184" s="106">
        <v>149.79</v>
      </c>
      <c r="P184" s="106">
        <v>149.79</v>
      </c>
      <c r="Q184" s="106">
        <v>149.79</v>
      </c>
      <c r="R184" s="106">
        <v>149.79</v>
      </c>
      <c r="S184" s="106">
        <v>149.79</v>
      </c>
      <c r="T184" s="106">
        <v>149.79</v>
      </c>
      <c r="U184" s="106">
        <v>149.79</v>
      </c>
    </row>
    <row r="185" spans="8:21">
      <c r="H185" s="5" t="s">
        <v>334</v>
      </c>
      <c r="I185" s="52">
        <f t="shared" si="84"/>
        <v>400</v>
      </c>
      <c r="J185" s="105">
        <v>25</v>
      </c>
      <c r="K185" s="105">
        <v>25</v>
      </c>
      <c r="L185" s="105">
        <v>25</v>
      </c>
      <c r="M185" s="105">
        <v>25</v>
      </c>
      <c r="N185" s="105">
        <v>25</v>
      </c>
      <c r="O185" s="105">
        <v>25</v>
      </c>
      <c r="P185" s="105">
        <v>25</v>
      </c>
      <c r="Q185" s="105">
        <v>125</v>
      </c>
      <c r="R185" s="105">
        <v>25</v>
      </c>
      <c r="S185" s="105">
        <v>25</v>
      </c>
      <c r="T185" s="105">
        <v>25</v>
      </c>
      <c r="U185" s="105">
        <v>25</v>
      </c>
    </row>
    <row r="186" spans="8:21">
      <c r="H186" s="37" t="s">
        <v>335</v>
      </c>
      <c r="I186" s="52">
        <f t="shared" si="84"/>
        <v>1000</v>
      </c>
      <c r="J186" s="106">
        <v>50</v>
      </c>
      <c r="K186" s="106">
        <v>75</v>
      </c>
      <c r="L186" s="106">
        <v>150</v>
      </c>
      <c r="M186" s="106">
        <v>125</v>
      </c>
      <c r="N186" s="106">
        <v>100</v>
      </c>
      <c r="O186" s="106">
        <v>75</v>
      </c>
      <c r="P186" s="106">
        <v>75</v>
      </c>
      <c r="Q186" s="106">
        <v>100</v>
      </c>
      <c r="R186" s="106">
        <v>50</v>
      </c>
      <c r="S186" s="106">
        <v>100</v>
      </c>
      <c r="T186" s="106">
        <v>50</v>
      </c>
      <c r="U186" s="106">
        <v>50</v>
      </c>
    </row>
    <row r="187" spans="8:21">
      <c r="H187" s="5" t="s">
        <v>336</v>
      </c>
      <c r="I187" s="52">
        <f t="shared" si="84"/>
        <v>1275</v>
      </c>
      <c r="J187" s="105">
        <v>106.25</v>
      </c>
      <c r="K187" s="105">
        <v>106.25</v>
      </c>
      <c r="L187" s="105">
        <v>106.25</v>
      </c>
      <c r="M187" s="105">
        <v>106.25</v>
      </c>
      <c r="N187" s="105">
        <v>106.25</v>
      </c>
      <c r="O187" s="105">
        <v>106.25</v>
      </c>
      <c r="P187" s="105">
        <v>106.25</v>
      </c>
      <c r="Q187" s="105">
        <v>106.25</v>
      </c>
      <c r="R187" s="105">
        <v>106.25</v>
      </c>
      <c r="S187" s="105">
        <v>106.25</v>
      </c>
      <c r="T187" s="105">
        <v>106.25</v>
      </c>
      <c r="U187" s="105">
        <v>106.25</v>
      </c>
    </row>
    <row r="188" spans="8:21">
      <c r="H188" s="37" t="s">
        <v>337</v>
      </c>
      <c r="I188" s="52">
        <f t="shared" si="84"/>
        <v>150</v>
      </c>
      <c r="J188" s="106">
        <v>12.5</v>
      </c>
      <c r="K188" s="106">
        <v>12.5</v>
      </c>
      <c r="L188" s="106">
        <v>12.5</v>
      </c>
      <c r="M188" s="106">
        <v>12.5</v>
      </c>
      <c r="N188" s="106">
        <v>12.5</v>
      </c>
      <c r="O188" s="106">
        <v>12.5</v>
      </c>
      <c r="P188" s="106">
        <v>12.5</v>
      </c>
      <c r="Q188" s="106">
        <v>12.5</v>
      </c>
      <c r="R188" s="106">
        <v>12.5</v>
      </c>
      <c r="S188" s="106">
        <v>12.5</v>
      </c>
      <c r="T188" s="106">
        <v>12.5</v>
      </c>
      <c r="U188" s="106">
        <v>12.5</v>
      </c>
    </row>
    <row r="189" spans="8:21">
      <c r="H189" s="5" t="s">
        <v>338</v>
      </c>
      <c r="I189" s="52">
        <f t="shared" si="84"/>
        <v>2250</v>
      </c>
      <c r="J189" s="105">
        <v>250</v>
      </c>
      <c r="K189" s="105">
        <v>350</v>
      </c>
      <c r="L189" s="105">
        <v>150</v>
      </c>
      <c r="M189" s="105">
        <v>75</v>
      </c>
      <c r="N189" s="105">
        <v>275</v>
      </c>
      <c r="O189" s="105">
        <v>150</v>
      </c>
      <c r="P189" s="105">
        <v>100</v>
      </c>
      <c r="Q189" s="105">
        <v>200</v>
      </c>
      <c r="R189" s="105">
        <v>150</v>
      </c>
      <c r="S189" s="105">
        <v>100</v>
      </c>
      <c r="T189" s="105">
        <v>250</v>
      </c>
      <c r="U189" s="105">
        <v>200</v>
      </c>
    </row>
    <row r="190" spans="8:21">
      <c r="H190" s="37" t="s">
        <v>339</v>
      </c>
      <c r="I190" s="52">
        <f t="shared" si="84"/>
        <v>0</v>
      </c>
      <c r="J190" s="106">
        <v>0</v>
      </c>
      <c r="K190" s="106">
        <v>0</v>
      </c>
      <c r="L190" s="106">
        <v>0</v>
      </c>
      <c r="M190" s="106">
        <v>0</v>
      </c>
      <c r="N190" s="106">
        <v>0</v>
      </c>
      <c r="O190" s="106">
        <v>0</v>
      </c>
      <c r="P190" s="106">
        <v>0</v>
      </c>
      <c r="Q190" s="106">
        <v>0</v>
      </c>
      <c r="R190" s="106">
        <v>0</v>
      </c>
      <c r="S190" s="106">
        <v>0</v>
      </c>
      <c r="T190" s="106">
        <v>0</v>
      </c>
      <c r="U190" s="106">
        <v>0</v>
      </c>
    </row>
    <row r="191" spans="8:21">
      <c r="H191" s="5" t="s">
        <v>291</v>
      </c>
      <c r="I191" s="52">
        <f t="shared" si="84"/>
        <v>20548.07</v>
      </c>
      <c r="J191" s="105">
        <v>4000</v>
      </c>
      <c r="K191" s="105">
        <v>0</v>
      </c>
      <c r="L191" s="105">
        <v>0</v>
      </c>
      <c r="M191" s="105">
        <v>0</v>
      </c>
      <c r="N191" s="105">
        <v>0</v>
      </c>
      <c r="O191" s="105">
        <v>7548.07</v>
      </c>
      <c r="P191" s="105">
        <v>5000</v>
      </c>
      <c r="Q191" s="105">
        <v>0</v>
      </c>
      <c r="R191" s="105">
        <v>0</v>
      </c>
      <c r="S191" s="105">
        <v>0</v>
      </c>
      <c r="T191" s="105">
        <v>0</v>
      </c>
      <c r="U191" s="105">
        <v>4000</v>
      </c>
    </row>
    <row r="192" spans="8:21">
      <c r="H192" s="37" t="s">
        <v>340</v>
      </c>
      <c r="I192" s="52">
        <f t="shared" si="84"/>
        <v>12000</v>
      </c>
      <c r="J192" s="106">
        <v>1000</v>
      </c>
      <c r="K192" s="106">
        <v>1000</v>
      </c>
      <c r="L192" s="106">
        <v>1000</v>
      </c>
      <c r="M192" s="106">
        <v>1000</v>
      </c>
      <c r="N192" s="106">
        <v>1000</v>
      </c>
      <c r="O192" s="106">
        <v>1000</v>
      </c>
      <c r="P192" s="106">
        <v>1000</v>
      </c>
      <c r="Q192" s="106">
        <v>1000</v>
      </c>
      <c r="R192" s="106">
        <v>1000</v>
      </c>
      <c r="S192" s="106">
        <v>1000</v>
      </c>
      <c r="T192" s="106">
        <v>1000</v>
      </c>
      <c r="U192" s="106">
        <v>1000</v>
      </c>
    </row>
    <row r="193" spans="8:21">
      <c r="H193" s="5" t="s">
        <v>341</v>
      </c>
      <c r="I193" s="52">
        <f t="shared" si="84"/>
        <v>2832</v>
      </c>
      <c r="J193" s="105">
        <v>236</v>
      </c>
      <c r="K193" s="105">
        <v>236</v>
      </c>
      <c r="L193" s="105">
        <v>236</v>
      </c>
      <c r="M193" s="105">
        <v>236</v>
      </c>
      <c r="N193" s="105">
        <v>236</v>
      </c>
      <c r="O193" s="105">
        <v>236</v>
      </c>
      <c r="P193" s="105">
        <v>236</v>
      </c>
      <c r="Q193" s="105">
        <v>236</v>
      </c>
      <c r="R193" s="105">
        <v>236</v>
      </c>
      <c r="S193" s="105">
        <v>236</v>
      </c>
      <c r="T193" s="105">
        <v>236</v>
      </c>
      <c r="U193" s="105">
        <v>236</v>
      </c>
    </row>
    <row r="194" spans="8:21">
      <c r="H194" s="37" t="s">
        <v>342</v>
      </c>
      <c r="I194" s="52">
        <f t="shared" si="84"/>
        <v>4707.1200000000008</v>
      </c>
      <c r="J194" s="106">
        <v>392.26</v>
      </c>
      <c r="K194" s="106">
        <v>392.26</v>
      </c>
      <c r="L194" s="106">
        <v>392.26</v>
      </c>
      <c r="M194" s="106">
        <v>392.26</v>
      </c>
      <c r="N194" s="106">
        <v>392.26</v>
      </c>
      <c r="O194" s="106">
        <v>392.26</v>
      </c>
      <c r="P194" s="106">
        <v>392.26</v>
      </c>
      <c r="Q194" s="106">
        <v>392.26</v>
      </c>
      <c r="R194" s="106">
        <v>392.26</v>
      </c>
      <c r="S194" s="106">
        <v>392.26</v>
      </c>
      <c r="T194" s="106">
        <v>392.26</v>
      </c>
      <c r="U194" s="106">
        <v>392.26</v>
      </c>
    </row>
    <row r="195" spans="8:21">
      <c r="H195" s="5" t="s">
        <v>343</v>
      </c>
      <c r="I195" s="52">
        <f t="shared" si="84"/>
        <v>0</v>
      </c>
      <c r="J195" s="105">
        <v>0</v>
      </c>
      <c r="K195" s="105">
        <v>0</v>
      </c>
      <c r="L195" s="105">
        <v>0</v>
      </c>
      <c r="M195" s="105">
        <v>0</v>
      </c>
      <c r="N195" s="105">
        <v>0</v>
      </c>
      <c r="O195" s="105">
        <v>0</v>
      </c>
      <c r="P195" s="105">
        <v>0</v>
      </c>
      <c r="Q195" s="105">
        <v>0</v>
      </c>
      <c r="R195" s="105">
        <v>0</v>
      </c>
      <c r="S195" s="105">
        <v>0</v>
      </c>
      <c r="T195" s="105">
        <v>0</v>
      </c>
      <c r="U195" s="105">
        <v>0</v>
      </c>
    </row>
    <row r="196" spans="8:21">
      <c r="H196" s="113" t="s">
        <v>344</v>
      </c>
      <c r="I196" s="52">
        <f t="shared" si="84"/>
        <v>631.20000000000016</v>
      </c>
      <c r="J196" s="106">
        <v>52.6</v>
      </c>
      <c r="K196" s="106">
        <v>52.6</v>
      </c>
      <c r="L196" s="106">
        <v>52.6</v>
      </c>
      <c r="M196" s="106">
        <v>52.6</v>
      </c>
      <c r="N196" s="106">
        <v>52.6</v>
      </c>
      <c r="O196" s="106">
        <v>52.6</v>
      </c>
      <c r="P196" s="106">
        <v>52.6</v>
      </c>
      <c r="Q196" s="192">
        <v>52.6</v>
      </c>
      <c r="R196" s="106">
        <v>52.6</v>
      </c>
      <c r="S196" s="106">
        <v>52.6</v>
      </c>
      <c r="T196" s="106">
        <v>52.6</v>
      </c>
      <c r="U196" s="106">
        <v>52.6</v>
      </c>
    </row>
    <row r="197" spans="8:21" ht="18.600000000000001">
      <c r="H197" s="34" t="s">
        <v>345</v>
      </c>
      <c r="I197" s="35">
        <f t="shared" ref="I197:U197" si="85">+SUM(I181:I196)</f>
        <v>59340.89</v>
      </c>
      <c r="J197" s="51">
        <f t="shared" si="85"/>
        <v>7124.42</v>
      </c>
      <c r="K197" s="51">
        <f t="shared" si="85"/>
        <v>3349.4</v>
      </c>
      <c r="L197" s="51">
        <f t="shared" si="85"/>
        <v>3324.4</v>
      </c>
      <c r="M197" s="51">
        <f t="shared" si="85"/>
        <v>3324.4</v>
      </c>
      <c r="N197" s="51">
        <f t="shared" si="85"/>
        <v>3299.4</v>
      </c>
      <c r="O197" s="51">
        <f t="shared" si="85"/>
        <v>10547.470000000001</v>
      </c>
      <c r="P197" s="51">
        <f t="shared" si="85"/>
        <v>8149.4000000000005</v>
      </c>
      <c r="Q197" s="51">
        <f t="shared" si="85"/>
        <v>3574.4</v>
      </c>
      <c r="R197" s="51">
        <f t="shared" si="85"/>
        <v>2974.4</v>
      </c>
      <c r="S197" s="51">
        <f t="shared" si="85"/>
        <v>3074.4</v>
      </c>
      <c r="T197" s="51">
        <f t="shared" si="85"/>
        <v>3324.4</v>
      </c>
      <c r="U197" s="51">
        <f t="shared" si="85"/>
        <v>7274.4000000000005</v>
      </c>
    </row>
    <row r="198" spans="8:21" ht="18.600000000000001">
      <c r="H198" s="34" t="s">
        <v>346</v>
      </c>
      <c r="I198" s="35">
        <f t="shared" ref="I198:U198" si="86">+I180-I197</f>
        <v>27067.11</v>
      </c>
      <c r="J198" s="51">
        <f t="shared" si="86"/>
        <v>-1579.42</v>
      </c>
      <c r="K198" s="51">
        <f t="shared" si="86"/>
        <v>3175.6</v>
      </c>
      <c r="L198" s="51">
        <f t="shared" si="86"/>
        <v>3316.6</v>
      </c>
      <c r="M198" s="51">
        <f t="shared" si="86"/>
        <v>4390.6000000000004</v>
      </c>
      <c r="N198" s="51">
        <f t="shared" si="86"/>
        <v>3859.6</v>
      </c>
      <c r="O198" s="51">
        <f t="shared" si="86"/>
        <v>-2902.4700000000012</v>
      </c>
      <c r="P198" s="51">
        <f t="shared" si="86"/>
        <v>220.59999999999945</v>
      </c>
      <c r="Q198" s="51">
        <f t="shared" si="86"/>
        <v>5518.6</v>
      </c>
      <c r="R198" s="51">
        <f t="shared" si="86"/>
        <v>4785.6000000000004</v>
      </c>
      <c r="S198" s="51">
        <f t="shared" si="86"/>
        <v>2960.6</v>
      </c>
      <c r="T198" s="51">
        <f t="shared" si="86"/>
        <v>3575.6</v>
      </c>
      <c r="U198" s="51">
        <f t="shared" si="86"/>
        <v>-254.40000000000055</v>
      </c>
    </row>
    <row r="199" spans="8:21" ht="18.600000000000001">
      <c r="H199" s="34" t="s">
        <v>347</v>
      </c>
      <c r="I199" s="35">
        <f t="shared" ref="I199:U199" ca="1" si="87">+I173+I198</f>
        <v>119099.78499999999</v>
      </c>
      <c r="J199" s="51">
        <f t="shared" ca="1" si="87"/>
        <v>90453.25499999999</v>
      </c>
      <c r="K199" s="51">
        <f t="shared" ca="1" si="87"/>
        <v>93628.854999999996</v>
      </c>
      <c r="L199" s="51">
        <f t="shared" ca="1" si="87"/>
        <v>96945.455000000002</v>
      </c>
      <c r="M199" s="51">
        <f t="shared" ca="1" si="87"/>
        <v>101336.05500000001</v>
      </c>
      <c r="N199" s="51">
        <f t="shared" ca="1" si="87"/>
        <v>105195.65500000001</v>
      </c>
      <c r="O199" s="51">
        <f t="shared" ca="1" si="87"/>
        <v>102293.18500000001</v>
      </c>
      <c r="P199" s="51">
        <f t="shared" ca="1" si="87"/>
        <v>102513.78500000002</v>
      </c>
      <c r="Q199" s="51">
        <f t="shared" ca="1" si="87"/>
        <v>108032.38500000002</v>
      </c>
      <c r="R199" s="51">
        <f t="shared" ca="1" si="87"/>
        <v>112817.98500000003</v>
      </c>
      <c r="S199" s="51">
        <f t="shared" ca="1" si="87"/>
        <v>115778.58500000004</v>
      </c>
      <c r="T199" s="51">
        <f t="shared" ca="1" si="87"/>
        <v>119354.18500000004</v>
      </c>
      <c r="U199" s="51">
        <f t="shared" ca="1" si="87"/>
        <v>119099.78500000005</v>
      </c>
    </row>
  </sheetData>
  <sheetProtection algorithmName="SHA-512" hashValue="4Fn2Gkg3YUFfN+DcQNbr2cnpDOPcdUjb0CG7fHe/TAV0MmK3SBQ9UZRVAL/zJ8RngocxAqQKfbr5Ryo48G4qTw==" saltValue="LhSjSF2bBKGg5IgsmOGt9w==" spinCount="100000" sheet="1" objects="1" scenarios="1"/>
  <mergeCells count="9">
    <mergeCell ref="H170:U170"/>
    <mergeCell ref="D50:F67"/>
    <mergeCell ref="H12:J24"/>
    <mergeCell ref="B3:G3"/>
    <mergeCell ref="B2:G2"/>
    <mergeCell ref="H46:U46"/>
    <mergeCell ref="H77:U77"/>
    <mergeCell ref="H108:U108"/>
    <mergeCell ref="H139:U139"/>
  </mergeCells>
  <phoneticPr fontId="4" type="noConversion"/>
  <pageMargins left="0.7" right="0.7" top="0.75" bottom="0.75" header="0.3" footer="0.3"/>
  <pageSetup paperSize="9" scale="28" fitToHeight="0" orientation="landscape" r:id="rId1"/>
  <ignoredErrors>
    <ignoredError sqref="D5:E5" formula="1"/>
  </ignoredErrors>
  <legacyDrawing r:id="rId2"/>
  <extLst>
    <ext xmlns:x14="http://schemas.microsoft.com/office/spreadsheetml/2009/9/main" uri="{78C0D931-6437-407d-A8EE-F0AAD7539E65}">
      <x14:conditionalFormattings>
        <x14:conditionalFormatting xmlns:xm="http://schemas.microsoft.com/office/excel/2006/main">
          <x14:cfRule type="cellIs" priority="6" operator="lessThan" id="{5EC61E78-0715-4733-87F0-E34206EA3FF7}">
            <xm:f>KAIZEN!$L$10</xm:f>
            <x14:dxf>
              <font>
                <color theme="0"/>
              </font>
              <fill>
                <patternFill>
                  <bgColor rgb="FFFF0000"/>
                </patternFill>
              </fill>
            </x14:dxf>
          </x14:cfRule>
          <xm:sqref>C44:G44</xm:sqref>
        </x14:conditionalFormatting>
        <x14:conditionalFormatting xmlns:xm="http://schemas.microsoft.com/office/excel/2006/main">
          <x14:cfRule type="cellIs" priority="1" operator="lessThan" id="{541D56B6-E1CF-4025-AF44-95C89451482C}">
            <xm:f>KAIZEN!$L$10</xm:f>
            <x14:dxf>
              <font>
                <color theme="0"/>
              </font>
              <fill>
                <patternFill>
                  <bgColor rgb="FFFF0000"/>
                </patternFill>
              </fill>
            </x14:dxf>
          </x14:cfRule>
          <xm:sqref>C15:H15</xm:sqref>
        </x14:conditionalFormatting>
        <x14:conditionalFormatting xmlns:xm="http://schemas.microsoft.com/office/excel/2006/main">
          <x14:cfRule type="cellIs" priority="7" operator="lessThan" id="{3ACADC35-B5FC-4D62-B316-98A091F1445C}">
            <xm:f>KAIZEN!$L$10</xm:f>
            <x14:dxf>
              <font>
                <color theme="0"/>
              </font>
              <fill>
                <patternFill>
                  <bgColor rgb="FFFF0000"/>
                </patternFill>
              </fill>
            </x14:dxf>
          </x14:cfRule>
          <xm:sqref>I75:U75</xm:sqref>
        </x14:conditionalFormatting>
        <x14:conditionalFormatting xmlns:xm="http://schemas.microsoft.com/office/excel/2006/main">
          <x14:cfRule type="cellIs" priority="5" operator="lessThan" id="{F45AF59B-28CE-4D95-8F32-48A0C53511CC}">
            <xm:f>KAIZEN!$L$10</xm:f>
            <x14:dxf>
              <font>
                <color theme="0"/>
              </font>
              <fill>
                <patternFill>
                  <bgColor rgb="FFFF0000"/>
                </patternFill>
              </fill>
            </x14:dxf>
          </x14:cfRule>
          <xm:sqref>I106:U106</xm:sqref>
        </x14:conditionalFormatting>
        <x14:conditionalFormatting xmlns:xm="http://schemas.microsoft.com/office/excel/2006/main">
          <x14:cfRule type="cellIs" priority="4" operator="lessThan" id="{8C4F0895-F27C-452E-AB5C-C445C8C45CC7}">
            <xm:f>KAIZEN!$L$10</xm:f>
            <x14:dxf>
              <font>
                <color theme="0"/>
              </font>
              <fill>
                <patternFill>
                  <bgColor rgb="FFFF0000"/>
                </patternFill>
              </fill>
            </x14:dxf>
          </x14:cfRule>
          <xm:sqref>I137:U137</xm:sqref>
        </x14:conditionalFormatting>
        <x14:conditionalFormatting xmlns:xm="http://schemas.microsoft.com/office/excel/2006/main">
          <x14:cfRule type="cellIs" priority="3" operator="lessThan" id="{D6ACEAEF-B178-467E-8FEB-153E640F9F5E}">
            <xm:f>KAIZEN!$L$10</xm:f>
            <x14:dxf>
              <font>
                <color theme="0"/>
              </font>
              <fill>
                <patternFill>
                  <bgColor rgb="FFFF0000"/>
                </patternFill>
              </fill>
            </x14:dxf>
          </x14:cfRule>
          <xm:sqref>I168:U168</xm:sqref>
        </x14:conditionalFormatting>
        <x14:conditionalFormatting xmlns:xm="http://schemas.microsoft.com/office/excel/2006/main">
          <x14:cfRule type="cellIs" priority="2" operator="lessThan" id="{AA1AD3E6-3EFC-4FB1-8D2F-E77A1C208507}">
            <xm:f>KAIZEN!$L$10</xm:f>
            <x14:dxf>
              <font>
                <color theme="0"/>
              </font>
              <fill>
                <patternFill>
                  <bgColor rgb="FFFF0000"/>
                </patternFill>
              </fill>
            </x14:dxf>
          </x14:cfRule>
          <xm:sqref>I199:U199</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12CF-A8A2-4E76-A841-8D6FC5812535}">
  <sheetPr>
    <tabColor theme="4" tint="-0.249977111117893"/>
    <pageSetUpPr fitToPage="1"/>
  </sheetPr>
  <dimension ref="B2:P250"/>
  <sheetViews>
    <sheetView showGridLines="0" topLeftCell="A36" zoomScaleNormal="100" workbookViewId="0">
      <selection activeCell="H110" sqref="H110"/>
    </sheetView>
  </sheetViews>
  <sheetFormatPr defaultColWidth="10.7109375" defaultRowHeight="14.45"/>
  <cols>
    <col min="1" max="1" width="4.28515625" customWidth="1"/>
    <col min="2" max="2" width="41.42578125" customWidth="1"/>
    <col min="3" max="3" width="26.28515625" customWidth="1"/>
    <col min="4" max="15" width="20.7109375" customWidth="1"/>
    <col min="16" max="16" width="18.42578125" customWidth="1"/>
  </cols>
  <sheetData>
    <row r="2" spans="2:16" ht="21">
      <c r="B2" s="230" t="s">
        <v>348</v>
      </c>
      <c r="C2" s="230" t="str">
        <f>+INICIO!D12</f>
        <v>SecondNote</v>
      </c>
      <c r="D2" s="230"/>
      <c r="E2" s="230"/>
      <c r="F2" s="230"/>
      <c r="G2" s="230"/>
      <c r="H2" s="230"/>
      <c r="I2" s="5"/>
      <c r="J2" s="5"/>
      <c r="K2" s="5"/>
      <c r="L2" s="5"/>
      <c r="M2" s="5"/>
      <c r="N2" s="5"/>
      <c r="O2" s="5"/>
      <c r="P2" s="5"/>
    </row>
    <row r="3" spans="2:16" ht="21">
      <c r="B3" s="230"/>
      <c r="C3" s="230" t="s">
        <v>349</v>
      </c>
      <c r="D3" s="230" t="s">
        <v>350</v>
      </c>
      <c r="E3" s="230"/>
      <c r="F3" s="230"/>
      <c r="G3" s="230"/>
      <c r="H3" s="230"/>
      <c r="I3" s="5"/>
      <c r="J3" s="5"/>
      <c r="K3" s="5"/>
      <c r="L3" s="5"/>
      <c r="M3" s="5"/>
      <c r="N3" s="5"/>
      <c r="O3" s="5"/>
      <c r="P3" s="5"/>
    </row>
    <row r="4" spans="2:16" ht="26.25" customHeight="1">
      <c r="B4" s="32">
        <f>+INICIO!D14</f>
        <v>2024</v>
      </c>
      <c r="C4" s="230"/>
      <c r="D4" s="32" t="s">
        <v>351</v>
      </c>
      <c r="E4" s="32" t="s">
        <v>352</v>
      </c>
      <c r="F4" s="32" t="s">
        <v>353</v>
      </c>
      <c r="G4" s="32" t="s">
        <v>354</v>
      </c>
      <c r="H4" s="32" t="s">
        <v>355</v>
      </c>
      <c r="I4" s="231" t="str">
        <f ca="1">+IF(KAIZEN!K10=0,"Está utizando ésta Hoja de Cálculo sin la autorización de su autor y por lo tanto de una forma fraudulenta. Los resultados mostrados son erroneos. Cierre la aplicación y pida autorización para poder continuar.", " ")</f>
        <v xml:space="preserve"> </v>
      </c>
      <c r="J4" s="231"/>
      <c r="K4" s="231"/>
      <c r="L4" s="231"/>
      <c r="M4" s="5"/>
      <c r="N4" s="5"/>
      <c r="O4" s="5"/>
      <c r="P4" s="5"/>
    </row>
    <row r="5" spans="2:16" ht="26.25" customHeight="1">
      <c r="B5" s="128" t="s">
        <v>356</v>
      </c>
      <c r="C5" s="53">
        <f>+SUM(D5:H5)</f>
        <v>115500</v>
      </c>
      <c r="D5" s="115">
        <v>30000</v>
      </c>
      <c r="E5" s="115">
        <v>36000</v>
      </c>
      <c r="F5" s="115">
        <v>48000</v>
      </c>
      <c r="G5" s="115">
        <v>1000</v>
      </c>
      <c r="H5" s="115">
        <v>500</v>
      </c>
      <c r="I5" s="231"/>
      <c r="J5" s="231"/>
      <c r="K5" s="231"/>
      <c r="L5" s="231"/>
      <c r="M5" s="5"/>
      <c r="N5" s="5"/>
      <c r="O5" s="5"/>
      <c r="P5" s="5"/>
    </row>
    <row r="6" spans="2:16" ht="26.25" customHeight="1">
      <c r="B6" s="129" t="s">
        <v>357</v>
      </c>
      <c r="C6" s="55">
        <f ca="1">+IFERROR(+SUM(D6:H6),0)</f>
        <v>1</v>
      </c>
      <c r="D6" s="56">
        <f ca="1">+IFERROR(D5/$C$5,0)*KAIZEN!$K$10</f>
        <v>0.25974025974025972</v>
      </c>
      <c r="E6" s="56">
        <f ca="1">+IFERROR((E5/$C$5),0)*KAIZEN!$K$10</f>
        <v>0.31168831168831168</v>
      </c>
      <c r="F6" s="56">
        <f ca="1">+IFERROR(F5/$C$5,0)*KAIZEN!$K$10</f>
        <v>0.41558441558441561</v>
      </c>
      <c r="G6" s="56">
        <f>+IFERROR(G5/$C$5,0)</f>
        <v>8.658008658008658E-3</v>
      </c>
      <c r="H6" s="56">
        <f>+IFERROR(H5/$C$5,0)</f>
        <v>4.329004329004329E-3</v>
      </c>
      <c r="I6" s="231"/>
      <c r="J6" s="231"/>
      <c r="K6" s="231"/>
      <c r="L6" s="231"/>
      <c r="M6" s="5"/>
      <c r="N6" s="5"/>
      <c r="O6" s="5"/>
      <c r="P6" s="5"/>
    </row>
    <row r="7" spans="2:16" ht="15" customHeight="1">
      <c r="B7" s="57" t="s">
        <v>358</v>
      </c>
      <c r="C7" s="158">
        <v>2000</v>
      </c>
      <c r="D7" s="58">
        <f>+IFERROR(($C$7*D5)/$C$5,0)</f>
        <v>519.48051948051943</v>
      </c>
      <c r="E7" s="58">
        <f t="shared" ref="E7:H7" si="0">+IFERROR(($C$7*E5)/$C$5,0)</f>
        <v>623.37662337662334</v>
      </c>
      <c r="F7" s="58">
        <f t="shared" si="0"/>
        <v>831.16883116883116</v>
      </c>
      <c r="G7" s="58">
        <f t="shared" si="0"/>
        <v>17.316017316017316</v>
      </c>
      <c r="H7" s="58">
        <f t="shared" si="0"/>
        <v>8.6580086580086579</v>
      </c>
      <c r="I7" s="231"/>
      <c r="J7" s="231"/>
      <c r="K7" s="231"/>
      <c r="L7" s="231"/>
      <c r="M7" s="5"/>
      <c r="N7" s="5"/>
      <c r="O7" s="5"/>
      <c r="P7" s="5"/>
    </row>
    <row r="8" spans="2:16" ht="15.75" customHeight="1">
      <c r="B8" s="233" t="s">
        <v>359</v>
      </c>
      <c r="C8" s="233"/>
      <c r="D8" s="108">
        <v>0.02</v>
      </c>
      <c r="E8" s="108">
        <v>0.02</v>
      </c>
      <c r="F8" s="108">
        <v>0.03</v>
      </c>
      <c r="G8" s="108">
        <v>1.5</v>
      </c>
      <c r="H8" s="108">
        <v>2.5</v>
      </c>
      <c r="I8" s="231"/>
      <c r="J8" s="231"/>
      <c r="K8" s="231"/>
      <c r="L8" s="231"/>
      <c r="M8" s="5"/>
      <c r="N8" s="5"/>
      <c r="O8" s="5"/>
      <c r="P8" s="5"/>
    </row>
    <row r="9" spans="2:16" ht="15.75" customHeight="1">
      <c r="B9" s="232" t="s">
        <v>360</v>
      </c>
      <c r="C9" s="232"/>
      <c r="D9" s="108">
        <v>0.11</v>
      </c>
      <c r="E9" s="108">
        <v>0.08</v>
      </c>
      <c r="F9" s="108">
        <v>0.1</v>
      </c>
      <c r="G9" s="108">
        <v>5.08</v>
      </c>
      <c r="H9" s="108">
        <v>10.51</v>
      </c>
      <c r="I9" s="231"/>
      <c r="J9" s="231"/>
      <c r="K9" s="231"/>
      <c r="L9" s="231"/>
      <c r="M9" s="5"/>
      <c r="N9" s="5"/>
      <c r="O9" s="5"/>
      <c r="P9" s="5"/>
    </row>
    <row r="10" spans="2:16" s="1" customFormat="1" ht="18.75" customHeight="1">
      <c r="B10" s="59" t="s">
        <v>361</v>
      </c>
      <c r="C10" s="116">
        <f ca="1">+IFERROR(C7/((D6*(D9-D8))+(E6*(E9-E8))+(F6*(F9-F8))+(G6*(G9-G8))+(H6*(H9-H8))),0)</f>
        <v>14615.627965833597</v>
      </c>
      <c r="D10" s="117">
        <f ca="1">+IFERROR($C$10*D6,0)*KAIZEN!$K$10</f>
        <v>3796.2670041126221</v>
      </c>
      <c r="E10" s="117">
        <f t="shared" ref="E10:H10" ca="1" si="1">+IFERROR($C$10*E6,0)</f>
        <v>4555.5204049351469</v>
      </c>
      <c r="F10" s="117">
        <f ca="1">+IFERROR($C$10*F6,0)*KAIZEN!$K$10</f>
        <v>6074.0272065801964</v>
      </c>
      <c r="G10" s="117">
        <f t="shared" ca="1" si="1"/>
        <v>126.54223347042075</v>
      </c>
      <c r="H10" s="117">
        <f t="shared" ca="1" si="1"/>
        <v>63.271116735210377</v>
      </c>
      <c r="I10" s="231"/>
      <c r="J10" s="231"/>
      <c r="K10" s="231"/>
      <c r="L10" s="231"/>
      <c r="M10" s="61"/>
      <c r="N10" s="61"/>
      <c r="O10" s="61"/>
      <c r="P10" s="61"/>
    </row>
    <row r="11" spans="2:16" s="1" customFormat="1" ht="18.75" customHeight="1">
      <c r="B11" s="62" t="s">
        <v>362</v>
      </c>
      <c r="C11" s="63">
        <f ca="1">+SUM(D11:H11)</f>
        <v>2697.2477064220184</v>
      </c>
      <c r="D11" s="64">
        <f ca="1">+D10*D9</f>
        <v>417.58937045238844</v>
      </c>
      <c r="E11" s="64">
        <f t="shared" ref="E11:G11" ca="1" si="2">+E10*E9</f>
        <v>364.44163239481173</v>
      </c>
      <c r="F11" s="64">
        <f t="shared" ca="1" si="2"/>
        <v>607.40272065801969</v>
      </c>
      <c r="G11" s="64">
        <f t="shared" ca="1" si="2"/>
        <v>642.83454602973745</v>
      </c>
      <c r="H11" s="64">
        <f ca="1">+H10*H9</f>
        <v>664.97943688706107</v>
      </c>
      <c r="I11" s="231"/>
      <c r="J11" s="231"/>
      <c r="K11" s="231"/>
      <c r="L11" s="231"/>
      <c r="M11" s="61"/>
      <c r="N11" s="61"/>
      <c r="O11" s="61"/>
      <c r="P11" s="61"/>
    </row>
    <row r="12" spans="2:16" s="1" customFormat="1" ht="15.75" customHeight="1">
      <c r="B12" s="234" t="s">
        <v>363</v>
      </c>
      <c r="C12" s="234"/>
      <c r="D12" s="234"/>
      <c r="E12" s="234"/>
      <c r="F12" s="234"/>
      <c r="G12" s="234"/>
      <c r="H12" s="234"/>
      <c r="I12" s="231"/>
      <c r="J12" s="231"/>
      <c r="K12" s="231"/>
      <c r="L12" s="231"/>
      <c r="M12" s="61"/>
      <c r="N12" s="61"/>
      <c r="O12" s="61"/>
      <c r="P12" s="61"/>
    </row>
    <row r="13" spans="2:16" s="1" customFormat="1" ht="18.75" customHeight="1">
      <c r="B13" s="66" t="s">
        <v>364</v>
      </c>
      <c r="C13" s="63">
        <f ca="1">+SUM(D13:H13)</f>
        <v>7510</v>
      </c>
      <c r="D13" s="64">
        <f ca="1">+D7+(D8*D5)*KAIZEN!$K$10</f>
        <v>1119.4805194805194</v>
      </c>
      <c r="E13" s="64">
        <f t="shared" ref="E13:H13" si="3">+E7+(E8*E5)</f>
        <v>1343.3766233766232</v>
      </c>
      <c r="F13" s="64">
        <f ca="1">+F7+(F8*F5)*KAIZEN!$K$10</f>
        <v>2271.1688311688313</v>
      </c>
      <c r="G13" s="64">
        <f t="shared" si="3"/>
        <v>1517.3160173160172</v>
      </c>
      <c r="H13" s="64">
        <f t="shared" si="3"/>
        <v>1258.6580086580086</v>
      </c>
      <c r="I13" s="231"/>
      <c r="J13" s="231"/>
      <c r="K13" s="231"/>
      <c r="L13" s="231"/>
      <c r="M13" s="61"/>
      <c r="N13" s="61"/>
      <c r="O13" s="61"/>
      <c r="P13" s="61"/>
    </row>
    <row r="14" spans="2:16" s="1" customFormat="1" ht="18.75" customHeight="1">
      <c r="B14" s="67" t="s">
        <v>365</v>
      </c>
      <c r="C14" s="63">
        <f>+SUM(D14:H14)</f>
        <v>21315</v>
      </c>
      <c r="D14" s="64">
        <f>+D9*D5</f>
        <v>3300</v>
      </c>
      <c r="E14" s="64">
        <f t="shared" ref="E14:H14" si="4">+E9*E5</f>
        <v>2880</v>
      </c>
      <c r="F14" s="64">
        <f t="shared" si="4"/>
        <v>4800</v>
      </c>
      <c r="G14" s="64">
        <f t="shared" si="4"/>
        <v>5080</v>
      </c>
      <c r="H14" s="64">
        <f t="shared" si="4"/>
        <v>5255</v>
      </c>
      <c r="I14" s="231"/>
      <c r="J14" s="231"/>
      <c r="K14" s="231"/>
      <c r="L14" s="231"/>
      <c r="M14" s="61"/>
      <c r="N14" s="61"/>
      <c r="O14" s="61"/>
      <c r="P14" s="61"/>
    </row>
    <row r="15" spans="2:16" s="1" customFormat="1" ht="18.75" customHeight="1">
      <c r="B15" s="68" t="s">
        <v>366</v>
      </c>
      <c r="C15" s="156">
        <f ca="1">+SUM(D15:H15)*KAIZEN!$K$10</f>
        <v>13805</v>
      </c>
      <c r="D15" s="157">
        <f ca="1">+D14-D13</f>
        <v>2180.5194805194806</v>
      </c>
      <c r="E15" s="157">
        <f t="shared" ref="E15:H15" si="5">+E14-E13</f>
        <v>1536.6233766233768</v>
      </c>
      <c r="F15" s="157">
        <f t="shared" ca="1" si="5"/>
        <v>2528.8311688311687</v>
      </c>
      <c r="G15" s="157">
        <f t="shared" si="5"/>
        <v>3562.6839826839828</v>
      </c>
      <c r="H15" s="157">
        <f t="shared" si="5"/>
        <v>3996.3419913419912</v>
      </c>
      <c r="I15" s="60"/>
      <c r="M15" s="61"/>
      <c r="N15" s="61"/>
      <c r="O15" s="61"/>
      <c r="P15" s="61"/>
    </row>
    <row r="16" spans="2:16">
      <c r="B16" s="5"/>
      <c r="C16" s="5"/>
      <c r="D16" s="5"/>
      <c r="E16" s="5"/>
      <c r="F16" s="5"/>
      <c r="G16" s="5"/>
      <c r="H16" s="5"/>
      <c r="I16" s="5"/>
      <c r="J16" s="111"/>
      <c r="K16" s="5"/>
      <c r="L16" s="5"/>
      <c r="M16" s="5"/>
      <c r="N16" s="5"/>
      <c r="O16" s="5"/>
      <c r="P16" s="5"/>
    </row>
    <row r="17" spans="2:16" ht="21" customHeight="1">
      <c r="B17" s="223" t="s">
        <v>367</v>
      </c>
      <c r="C17" s="230" t="str">
        <f>+C2</f>
        <v>SecondNote</v>
      </c>
      <c r="D17" s="230"/>
      <c r="E17" s="230"/>
      <c r="F17" s="230"/>
      <c r="G17" s="230"/>
      <c r="H17" s="230"/>
      <c r="I17" s="230"/>
      <c r="J17" s="230"/>
      <c r="K17" s="230"/>
      <c r="L17" s="230"/>
      <c r="M17" s="230"/>
      <c r="N17" s="230"/>
      <c r="O17" s="230"/>
      <c r="P17" s="223" t="s">
        <v>368</v>
      </c>
    </row>
    <row r="18" spans="2:16" ht="21">
      <c r="B18" s="223"/>
      <c r="C18" s="27"/>
      <c r="D18" s="27"/>
      <c r="E18" s="27"/>
      <c r="F18" s="27"/>
      <c r="G18" s="201" t="s">
        <v>369</v>
      </c>
      <c r="H18" s="201"/>
      <c r="I18" s="201"/>
      <c r="J18" s="201"/>
      <c r="K18" s="49">
        <f>+INICIO!D14</f>
        <v>2024</v>
      </c>
      <c r="L18" s="27"/>
      <c r="M18" s="27"/>
      <c r="N18" s="27"/>
      <c r="O18" s="27"/>
      <c r="P18" s="223"/>
    </row>
    <row r="19" spans="2:16" s="2" customFormat="1" ht="21">
      <c r="B19" s="69">
        <f>+INICIO!D14</f>
        <v>2024</v>
      </c>
      <c r="C19" s="32" t="s">
        <v>309</v>
      </c>
      <c r="D19" s="34" t="s">
        <v>310</v>
      </c>
      <c r="E19" s="34" t="s">
        <v>311</v>
      </c>
      <c r="F19" s="34" t="s">
        <v>312</v>
      </c>
      <c r="G19" s="34" t="s">
        <v>313</v>
      </c>
      <c r="H19" s="34" t="s">
        <v>314</v>
      </c>
      <c r="I19" s="34" t="s">
        <v>315</v>
      </c>
      <c r="J19" s="34" t="s">
        <v>316</v>
      </c>
      <c r="K19" s="34" t="s">
        <v>317</v>
      </c>
      <c r="L19" s="34" t="s">
        <v>318</v>
      </c>
      <c r="M19" s="34" t="s">
        <v>319</v>
      </c>
      <c r="N19" s="34" t="s">
        <v>320</v>
      </c>
      <c r="O19" s="34" t="s">
        <v>321</v>
      </c>
      <c r="P19" s="223"/>
    </row>
    <row r="20" spans="2:16" ht="15.6">
      <c r="B20" s="70" t="s">
        <v>370</v>
      </c>
      <c r="C20" s="71">
        <f ca="1">+D5*KAIZEN!$K$10</f>
        <v>30000</v>
      </c>
      <c r="D20" s="109">
        <v>1500</v>
      </c>
      <c r="E20" s="109">
        <v>1200</v>
      </c>
      <c r="F20" s="109">
        <v>1700</v>
      </c>
      <c r="G20" s="109">
        <v>1200</v>
      </c>
      <c r="H20" s="109">
        <v>1300</v>
      </c>
      <c r="I20" s="109">
        <v>4000</v>
      </c>
      <c r="J20" s="109">
        <v>4000</v>
      </c>
      <c r="K20" s="109">
        <v>6000</v>
      </c>
      <c r="L20" s="109">
        <v>3000</v>
      </c>
      <c r="M20" s="109">
        <v>2000</v>
      </c>
      <c r="N20" s="109">
        <v>1600</v>
      </c>
      <c r="O20" s="109">
        <v>2500</v>
      </c>
      <c r="P20" s="72">
        <f ca="1">+C20-(SUM(D20:O20))</f>
        <v>0</v>
      </c>
    </row>
    <row r="21" spans="2:16" ht="15.6">
      <c r="B21" s="73" t="s">
        <v>371</v>
      </c>
      <c r="C21" s="71">
        <f>+E5</f>
        <v>36000</v>
      </c>
      <c r="D21" s="109">
        <v>3000</v>
      </c>
      <c r="E21" s="109">
        <v>2400</v>
      </c>
      <c r="F21" s="109">
        <v>2800</v>
      </c>
      <c r="G21" s="109">
        <v>1700</v>
      </c>
      <c r="H21" s="109">
        <v>1600</v>
      </c>
      <c r="I21" s="109">
        <v>3200</v>
      </c>
      <c r="J21" s="109">
        <v>2300</v>
      </c>
      <c r="K21" s="109">
        <v>2000</v>
      </c>
      <c r="L21" s="109">
        <v>2000</v>
      </c>
      <c r="M21" s="109">
        <v>4500</v>
      </c>
      <c r="N21" s="109">
        <v>4500</v>
      </c>
      <c r="O21" s="109">
        <v>6000</v>
      </c>
      <c r="P21" s="72">
        <f t="shared" ref="P21:P24" si="6">+C21-(SUM(D21:O21))</f>
        <v>0</v>
      </c>
    </row>
    <row r="22" spans="2:16" ht="15.6">
      <c r="B22" s="70" t="s">
        <v>372</v>
      </c>
      <c r="C22" s="71">
        <f>+F5</f>
        <v>48000</v>
      </c>
      <c r="D22" s="109">
        <v>2000</v>
      </c>
      <c r="E22" s="109">
        <v>3000</v>
      </c>
      <c r="F22" s="109">
        <v>4000</v>
      </c>
      <c r="G22" s="109">
        <v>10000</v>
      </c>
      <c r="H22" s="109">
        <v>10000</v>
      </c>
      <c r="I22" s="109">
        <v>3000</v>
      </c>
      <c r="J22" s="109">
        <v>5000</v>
      </c>
      <c r="K22" s="109">
        <v>4000</v>
      </c>
      <c r="L22" s="109">
        <v>2400</v>
      </c>
      <c r="M22" s="109">
        <v>2000</v>
      </c>
      <c r="N22" s="109">
        <v>1000</v>
      </c>
      <c r="O22" s="109">
        <v>1600</v>
      </c>
      <c r="P22" s="72">
        <f t="shared" si="6"/>
        <v>0</v>
      </c>
    </row>
    <row r="23" spans="2:16" ht="15.6">
      <c r="B23" s="73" t="s">
        <v>373</v>
      </c>
      <c r="C23" s="71">
        <f>+G5</f>
        <v>1000</v>
      </c>
      <c r="D23" s="109">
        <v>80</v>
      </c>
      <c r="E23" s="109">
        <v>70</v>
      </c>
      <c r="F23" s="109">
        <v>90</v>
      </c>
      <c r="G23" s="109">
        <v>90</v>
      </c>
      <c r="H23" s="109">
        <v>130</v>
      </c>
      <c r="I23" s="109">
        <v>130</v>
      </c>
      <c r="J23" s="109">
        <v>140</v>
      </c>
      <c r="K23" s="109">
        <v>80</v>
      </c>
      <c r="L23" s="109">
        <v>50</v>
      </c>
      <c r="M23" s="109">
        <v>40</v>
      </c>
      <c r="N23" s="109">
        <v>30</v>
      </c>
      <c r="O23" s="109">
        <v>70</v>
      </c>
      <c r="P23" s="72">
        <f t="shared" si="6"/>
        <v>0</v>
      </c>
    </row>
    <row r="24" spans="2:16" ht="15.6">
      <c r="B24" s="70" t="s">
        <v>374</v>
      </c>
      <c r="C24" s="71">
        <f>+H5</f>
        <v>500</v>
      </c>
      <c r="D24" s="109">
        <v>20</v>
      </c>
      <c r="E24" s="109">
        <v>20</v>
      </c>
      <c r="F24" s="109">
        <v>30</v>
      </c>
      <c r="G24" s="109">
        <v>20</v>
      </c>
      <c r="H24" s="109">
        <v>40</v>
      </c>
      <c r="I24" s="109">
        <v>50</v>
      </c>
      <c r="J24" s="109">
        <v>70</v>
      </c>
      <c r="K24" s="109">
        <v>100</v>
      </c>
      <c r="L24" s="109">
        <v>30</v>
      </c>
      <c r="M24" s="109">
        <v>35</v>
      </c>
      <c r="N24" s="109">
        <v>35</v>
      </c>
      <c r="O24" s="109">
        <v>50</v>
      </c>
      <c r="P24" s="72">
        <f t="shared" si="6"/>
        <v>0</v>
      </c>
    </row>
    <row r="25" spans="2:16" ht="18.600000000000001">
      <c r="B25" s="44" t="s">
        <v>375</v>
      </c>
      <c r="C25" s="74">
        <f ca="1">SUM(C20:C24)*KAIZEN!$K$10</f>
        <v>115500</v>
      </c>
      <c r="D25" s="75">
        <f t="shared" ref="D25:O25" si="7">SUM(D20:D24)</f>
        <v>6600</v>
      </c>
      <c r="E25" s="75">
        <f>SUM(E20:E24)</f>
        <v>6690</v>
      </c>
      <c r="F25" s="75">
        <f t="shared" si="7"/>
        <v>8620</v>
      </c>
      <c r="G25" s="75">
        <f>SUM(G20:G24)</f>
        <v>13010</v>
      </c>
      <c r="H25" s="75">
        <f t="shared" si="7"/>
        <v>13070</v>
      </c>
      <c r="I25" s="75">
        <f t="shared" si="7"/>
        <v>10380</v>
      </c>
      <c r="J25" s="75">
        <f t="shared" si="7"/>
        <v>11510</v>
      </c>
      <c r="K25" s="75">
        <f t="shared" si="7"/>
        <v>12180</v>
      </c>
      <c r="L25" s="75">
        <f t="shared" si="7"/>
        <v>7480</v>
      </c>
      <c r="M25" s="75">
        <f t="shared" si="7"/>
        <v>8575</v>
      </c>
      <c r="N25" s="75">
        <f t="shared" si="7"/>
        <v>7165</v>
      </c>
      <c r="O25" s="75">
        <f t="shared" si="7"/>
        <v>10220</v>
      </c>
      <c r="P25" s="5"/>
    </row>
    <row r="26" spans="2:16" ht="15.6">
      <c r="B26" s="70" t="s">
        <v>376</v>
      </c>
      <c r="C26" s="76">
        <f>+D7</f>
        <v>519.48051948051943</v>
      </c>
      <c r="D26" s="77">
        <f>+C26/12</f>
        <v>43.290043290043286</v>
      </c>
      <c r="E26" s="77">
        <f>+D26</f>
        <v>43.290043290043286</v>
      </c>
      <c r="F26" s="77">
        <f t="shared" ref="F26:O26" si="8">+E26</f>
        <v>43.290043290043286</v>
      </c>
      <c r="G26" s="77">
        <f t="shared" si="8"/>
        <v>43.290043290043286</v>
      </c>
      <c r="H26" s="77">
        <f t="shared" si="8"/>
        <v>43.290043290043286</v>
      </c>
      <c r="I26" s="77">
        <f t="shared" si="8"/>
        <v>43.290043290043286</v>
      </c>
      <c r="J26" s="77">
        <f t="shared" si="8"/>
        <v>43.290043290043286</v>
      </c>
      <c r="K26" s="77">
        <f t="shared" si="8"/>
        <v>43.290043290043286</v>
      </c>
      <c r="L26" s="77">
        <f t="shared" si="8"/>
        <v>43.290043290043286</v>
      </c>
      <c r="M26" s="77">
        <f t="shared" si="8"/>
        <v>43.290043290043286</v>
      </c>
      <c r="N26" s="77">
        <f t="shared" si="8"/>
        <v>43.290043290043286</v>
      </c>
      <c r="O26" s="77">
        <f t="shared" si="8"/>
        <v>43.290043290043286</v>
      </c>
      <c r="P26" s="5"/>
    </row>
    <row r="27" spans="2:16" ht="15.6">
      <c r="B27" s="73" t="s">
        <v>377</v>
      </c>
      <c r="C27" s="76">
        <f>+E7</f>
        <v>623.37662337662334</v>
      </c>
      <c r="D27" s="77">
        <f>+C27/12</f>
        <v>51.948051948051948</v>
      </c>
      <c r="E27" s="77">
        <f>+D27</f>
        <v>51.948051948051948</v>
      </c>
      <c r="F27" s="77">
        <f t="shared" ref="F27:O27" si="9">+E27</f>
        <v>51.948051948051948</v>
      </c>
      <c r="G27" s="77">
        <f t="shared" si="9"/>
        <v>51.948051948051948</v>
      </c>
      <c r="H27" s="77">
        <f t="shared" si="9"/>
        <v>51.948051948051948</v>
      </c>
      <c r="I27" s="77">
        <f t="shared" si="9"/>
        <v>51.948051948051948</v>
      </c>
      <c r="J27" s="77">
        <f t="shared" si="9"/>
        <v>51.948051948051948</v>
      </c>
      <c r="K27" s="77">
        <f t="shared" si="9"/>
        <v>51.948051948051948</v>
      </c>
      <c r="L27" s="77">
        <f t="shared" si="9"/>
        <v>51.948051948051948</v>
      </c>
      <c r="M27" s="77">
        <f t="shared" si="9"/>
        <v>51.948051948051948</v>
      </c>
      <c r="N27" s="77">
        <f t="shared" si="9"/>
        <v>51.948051948051948</v>
      </c>
      <c r="O27" s="77">
        <f t="shared" si="9"/>
        <v>51.948051948051948</v>
      </c>
      <c r="P27" s="5"/>
    </row>
    <row r="28" spans="2:16" ht="15.6">
      <c r="B28" s="70" t="s">
        <v>378</v>
      </c>
      <c r="C28" s="76">
        <f>+F7</f>
        <v>831.16883116883116</v>
      </c>
      <c r="D28" s="77">
        <f>+C28/12</f>
        <v>69.264069264069263</v>
      </c>
      <c r="E28" s="77">
        <f t="shared" ref="E28:O28" si="10">+D28</f>
        <v>69.264069264069263</v>
      </c>
      <c r="F28" s="77">
        <f t="shared" si="10"/>
        <v>69.264069264069263</v>
      </c>
      <c r="G28" s="77">
        <f t="shared" si="10"/>
        <v>69.264069264069263</v>
      </c>
      <c r="H28" s="77">
        <f t="shared" si="10"/>
        <v>69.264069264069263</v>
      </c>
      <c r="I28" s="77">
        <f t="shared" si="10"/>
        <v>69.264069264069263</v>
      </c>
      <c r="J28" s="77">
        <f t="shared" si="10"/>
        <v>69.264069264069263</v>
      </c>
      <c r="K28" s="77">
        <f t="shared" si="10"/>
        <v>69.264069264069263</v>
      </c>
      <c r="L28" s="77">
        <f t="shared" si="10"/>
        <v>69.264069264069263</v>
      </c>
      <c r="M28" s="77">
        <f t="shared" si="10"/>
        <v>69.264069264069263</v>
      </c>
      <c r="N28" s="77">
        <f t="shared" si="10"/>
        <v>69.264069264069263</v>
      </c>
      <c r="O28" s="77">
        <f t="shared" si="10"/>
        <v>69.264069264069263</v>
      </c>
      <c r="P28" s="5"/>
    </row>
    <row r="29" spans="2:16" ht="15.6">
      <c r="B29" s="73" t="s">
        <v>379</v>
      </c>
      <c r="C29" s="76">
        <f>+G7</f>
        <v>17.316017316017316</v>
      </c>
      <c r="D29" s="77">
        <f t="shared" ref="D29" si="11">+C29/12</f>
        <v>1.4430014430014431</v>
      </c>
      <c r="E29" s="77">
        <f t="shared" ref="E29:O29" si="12">+D29</f>
        <v>1.4430014430014431</v>
      </c>
      <c r="F29" s="77">
        <f t="shared" si="12"/>
        <v>1.4430014430014431</v>
      </c>
      <c r="G29" s="77">
        <f t="shared" si="12"/>
        <v>1.4430014430014431</v>
      </c>
      <c r="H29" s="77">
        <f t="shared" si="12"/>
        <v>1.4430014430014431</v>
      </c>
      <c r="I29" s="77">
        <f t="shared" si="12"/>
        <v>1.4430014430014431</v>
      </c>
      <c r="J29" s="77">
        <f t="shared" si="12"/>
        <v>1.4430014430014431</v>
      </c>
      <c r="K29" s="77">
        <f t="shared" si="12"/>
        <v>1.4430014430014431</v>
      </c>
      <c r="L29" s="77">
        <f t="shared" si="12"/>
        <v>1.4430014430014431</v>
      </c>
      <c r="M29" s="77">
        <f t="shared" si="12"/>
        <v>1.4430014430014431</v>
      </c>
      <c r="N29" s="77">
        <f t="shared" si="12"/>
        <v>1.4430014430014431</v>
      </c>
      <c r="O29" s="77">
        <f t="shared" si="12"/>
        <v>1.4430014430014431</v>
      </c>
      <c r="P29" s="5"/>
    </row>
    <row r="30" spans="2:16" ht="15.6">
      <c r="B30" s="70" t="s">
        <v>380</v>
      </c>
      <c r="C30" s="76">
        <f>+H7</f>
        <v>8.6580086580086579</v>
      </c>
      <c r="D30" s="77">
        <f>+C30/12</f>
        <v>0.72150072150072153</v>
      </c>
      <c r="E30" s="77">
        <f t="shared" ref="E30:N30" si="13">+D30</f>
        <v>0.72150072150072153</v>
      </c>
      <c r="F30" s="77">
        <f t="shared" si="13"/>
        <v>0.72150072150072153</v>
      </c>
      <c r="G30" s="77">
        <f t="shared" si="13"/>
        <v>0.72150072150072153</v>
      </c>
      <c r="H30" s="77">
        <f t="shared" si="13"/>
        <v>0.72150072150072153</v>
      </c>
      <c r="I30" s="77">
        <f t="shared" si="13"/>
        <v>0.72150072150072153</v>
      </c>
      <c r="J30" s="77">
        <f t="shared" si="13"/>
        <v>0.72150072150072153</v>
      </c>
      <c r="K30" s="77">
        <f t="shared" si="13"/>
        <v>0.72150072150072153</v>
      </c>
      <c r="L30" s="77">
        <f t="shared" si="13"/>
        <v>0.72150072150072153</v>
      </c>
      <c r="M30" s="77">
        <f t="shared" si="13"/>
        <v>0.72150072150072153</v>
      </c>
      <c r="N30" s="77">
        <f t="shared" si="13"/>
        <v>0.72150072150072153</v>
      </c>
      <c r="O30" s="77">
        <f>+N30</f>
        <v>0.72150072150072153</v>
      </c>
      <c r="P30" s="5"/>
    </row>
    <row r="31" spans="2:16" ht="18.600000000000001">
      <c r="B31" s="44" t="s">
        <v>381</v>
      </c>
      <c r="C31" s="78">
        <f>SUM(C26:C30)</f>
        <v>1999.9999999999998</v>
      </c>
      <c r="D31" s="79">
        <f t="shared" ref="D31:O31" si="14">SUM(D26:D30)</f>
        <v>166.66666666666666</v>
      </c>
      <c r="E31" s="79">
        <f t="shared" si="14"/>
        <v>166.66666666666666</v>
      </c>
      <c r="F31" s="79">
        <f t="shared" si="14"/>
        <v>166.66666666666666</v>
      </c>
      <c r="G31" s="79">
        <f t="shared" si="14"/>
        <v>166.66666666666666</v>
      </c>
      <c r="H31" s="79">
        <f t="shared" si="14"/>
        <v>166.66666666666666</v>
      </c>
      <c r="I31" s="79">
        <f t="shared" si="14"/>
        <v>166.66666666666666</v>
      </c>
      <c r="J31" s="79">
        <f t="shared" si="14"/>
        <v>166.66666666666666</v>
      </c>
      <c r="K31" s="79">
        <f t="shared" si="14"/>
        <v>166.66666666666666</v>
      </c>
      <c r="L31" s="79">
        <f t="shared" si="14"/>
        <v>166.66666666666666</v>
      </c>
      <c r="M31" s="79">
        <f t="shared" si="14"/>
        <v>166.66666666666666</v>
      </c>
      <c r="N31" s="79">
        <f t="shared" si="14"/>
        <v>166.66666666666666</v>
      </c>
      <c r="O31" s="79">
        <f t="shared" si="14"/>
        <v>166.66666666666666</v>
      </c>
      <c r="P31" s="5"/>
    </row>
    <row r="32" spans="2:16" ht="15.6">
      <c r="B32" s="70" t="s">
        <v>382</v>
      </c>
      <c r="C32" s="76">
        <f>SUM(D32:O32)</f>
        <v>600</v>
      </c>
      <c r="D32" s="77">
        <f>+D20*$D$8</f>
        <v>30</v>
      </c>
      <c r="E32" s="77">
        <f t="shared" ref="E32:N32" si="15">+E20*$D$8</f>
        <v>24</v>
      </c>
      <c r="F32" s="77">
        <f t="shared" si="15"/>
        <v>34</v>
      </c>
      <c r="G32" s="77">
        <f t="shared" si="15"/>
        <v>24</v>
      </c>
      <c r="H32" s="77">
        <f t="shared" si="15"/>
        <v>26</v>
      </c>
      <c r="I32" s="77">
        <f t="shared" si="15"/>
        <v>80</v>
      </c>
      <c r="J32" s="77">
        <f t="shared" si="15"/>
        <v>80</v>
      </c>
      <c r="K32" s="77">
        <f t="shared" si="15"/>
        <v>120</v>
      </c>
      <c r="L32" s="77">
        <f t="shared" si="15"/>
        <v>60</v>
      </c>
      <c r="M32" s="77">
        <f t="shared" si="15"/>
        <v>40</v>
      </c>
      <c r="N32" s="77">
        <f t="shared" si="15"/>
        <v>32</v>
      </c>
      <c r="O32" s="77">
        <f>+O20*$D$8</f>
        <v>50</v>
      </c>
      <c r="P32" s="5"/>
    </row>
    <row r="33" spans="2:16" ht="15.6">
      <c r="B33" s="70" t="s">
        <v>383</v>
      </c>
      <c r="C33" s="76">
        <f t="shared" ref="C33:C36" si="16">SUM(D33:O33)</f>
        <v>720</v>
      </c>
      <c r="D33" s="77">
        <f>+D21*$E$8</f>
        <v>60</v>
      </c>
      <c r="E33" s="77">
        <f t="shared" ref="E33:O33" si="17">+E21*$E$8</f>
        <v>48</v>
      </c>
      <c r="F33" s="77">
        <f t="shared" si="17"/>
        <v>56</v>
      </c>
      <c r="G33" s="77">
        <f t="shared" si="17"/>
        <v>34</v>
      </c>
      <c r="H33" s="77">
        <f t="shared" si="17"/>
        <v>32</v>
      </c>
      <c r="I33" s="77">
        <f t="shared" si="17"/>
        <v>64</v>
      </c>
      <c r="J33" s="77">
        <f t="shared" si="17"/>
        <v>46</v>
      </c>
      <c r="K33" s="77">
        <f t="shared" si="17"/>
        <v>40</v>
      </c>
      <c r="L33" s="77">
        <f t="shared" si="17"/>
        <v>40</v>
      </c>
      <c r="M33" s="77">
        <f t="shared" si="17"/>
        <v>90</v>
      </c>
      <c r="N33" s="77">
        <f t="shared" si="17"/>
        <v>90</v>
      </c>
      <c r="O33" s="77">
        <f t="shared" si="17"/>
        <v>120</v>
      </c>
      <c r="P33" s="5"/>
    </row>
    <row r="34" spans="2:16" ht="15.6">
      <c r="B34" s="70" t="s">
        <v>384</v>
      </c>
      <c r="C34" s="76">
        <f t="shared" si="16"/>
        <v>1440</v>
      </c>
      <c r="D34" s="77">
        <f>+D22*$F$8</f>
        <v>60</v>
      </c>
      <c r="E34" s="77">
        <f t="shared" ref="E34:O34" si="18">+E22*$F$8</f>
        <v>90</v>
      </c>
      <c r="F34" s="77">
        <f t="shared" si="18"/>
        <v>120</v>
      </c>
      <c r="G34" s="77">
        <f t="shared" si="18"/>
        <v>300</v>
      </c>
      <c r="H34" s="77">
        <f t="shared" si="18"/>
        <v>300</v>
      </c>
      <c r="I34" s="77">
        <f t="shared" si="18"/>
        <v>90</v>
      </c>
      <c r="J34" s="77">
        <f t="shared" si="18"/>
        <v>150</v>
      </c>
      <c r="K34" s="77">
        <f t="shared" si="18"/>
        <v>120</v>
      </c>
      <c r="L34" s="77">
        <f t="shared" si="18"/>
        <v>72</v>
      </c>
      <c r="M34" s="77">
        <f t="shared" si="18"/>
        <v>60</v>
      </c>
      <c r="N34" s="77">
        <f t="shared" si="18"/>
        <v>30</v>
      </c>
      <c r="O34" s="77">
        <f t="shared" si="18"/>
        <v>48</v>
      </c>
      <c r="P34" s="5"/>
    </row>
    <row r="35" spans="2:16" ht="15.6">
      <c r="B35" s="70" t="s">
        <v>385</v>
      </c>
      <c r="C35" s="76">
        <f>SUM(D35:O35)</f>
        <v>1500</v>
      </c>
      <c r="D35" s="77">
        <f>+D23*$G$8</f>
        <v>120</v>
      </c>
      <c r="E35" s="77">
        <f t="shared" ref="E35:O35" si="19">+E23*$G$8</f>
        <v>105</v>
      </c>
      <c r="F35" s="77">
        <f t="shared" si="19"/>
        <v>135</v>
      </c>
      <c r="G35" s="77">
        <f t="shared" si="19"/>
        <v>135</v>
      </c>
      <c r="H35" s="77">
        <f t="shared" si="19"/>
        <v>195</v>
      </c>
      <c r="I35" s="77">
        <f t="shared" si="19"/>
        <v>195</v>
      </c>
      <c r="J35" s="77">
        <f t="shared" si="19"/>
        <v>210</v>
      </c>
      <c r="K35" s="77">
        <f t="shared" si="19"/>
        <v>120</v>
      </c>
      <c r="L35" s="77">
        <f t="shared" si="19"/>
        <v>75</v>
      </c>
      <c r="M35" s="77">
        <f t="shared" si="19"/>
        <v>60</v>
      </c>
      <c r="N35" s="77">
        <f t="shared" si="19"/>
        <v>45</v>
      </c>
      <c r="O35" s="77">
        <f t="shared" si="19"/>
        <v>105</v>
      </c>
      <c r="P35" s="5"/>
    </row>
    <row r="36" spans="2:16" ht="15.6">
      <c r="B36" s="70" t="s">
        <v>386</v>
      </c>
      <c r="C36" s="76">
        <f t="shared" si="16"/>
        <v>1250</v>
      </c>
      <c r="D36" s="77">
        <f>+D24*$H$8</f>
        <v>50</v>
      </c>
      <c r="E36" s="77">
        <f t="shared" ref="E36:O36" si="20">+E24*$H$8</f>
        <v>50</v>
      </c>
      <c r="F36" s="77">
        <f t="shared" si="20"/>
        <v>75</v>
      </c>
      <c r="G36" s="77">
        <f t="shared" si="20"/>
        <v>50</v>
      </c>
      <c r="H36" s="77">
        <f t="shared" si="20"/>
        <v>100</v>
      </c>
      <c r="I36" s="77">
        <f t="shared" si="20"/>
        <v>125</v>
      </c>
      <c r="J36" s="77">
        <f t="shared" si="20"/>
        <v>175</v>
      </c>
      <c r="K36" s="77">
        <f t="shared" si="20"/>
        <v>250</v>
      </c>
      <c r="L36" s="77">
        <f t="shared" si="20"/>
        <v>75</v>
      </c>
      <c r="M36" s="77">
        <f t="shared" si="20"/>
        <v>87.5</v>
      </c>
      <c r="N36" s="77">
        <f t="shared" si="20"/>
        <v>87.5</v>
      </c>
      <c r="O36" s="77">
        <f t="shared" si="20"/>
        <v>125</v>
      </c>
      <c r="P36" s="5"/>
    </row>
    <row r="37" spans="2:16" ht="18.600000000000001">
      <c r="B37" s="44" t="s">
        <v>387</v>
      </c>
      <c r="C37" s="78">
        <f>SUM(C32:C36)</f>
        <v>5510</v>
      </c>
      <c r="D37" s="79">
        <f>SUM(D32:D36)</f>
        <v>320</v>
      </c>
      <c r="E37" s="79">
        <f t="shared" ref="E37:O37" si="21">+(E32*E20)+(E33*E21)+(E34*E22)</f>
        <v>414000</v>
      </c>
      <c r="F37" s="79">
        <f t="shared" si="21"/>
        <v>694600</v>
      </c>
      <c r="G37" s="79">
        <f t="shared" si="21"/>
        <v>3086600</v>
      </c>
      <c r="H37" s="79">
        <f t="shared" si="21"/>
        <v>3085000</v>
      </c>
      <c r="I37" s="79">
        <f t="shared" si="21"/>
        <v>794800</v>
      </c>
      <c r="J37" s="79">
        <f t="shared" si="21"/>
        <v>1175800</v>
      </c>
      <c r="K37" s="79">
        <f t="shared" si="21"/>
        <v>1280000</v>
      </c>
      <c r="L37" s="79">
        <f t="shared" si="21"/>
        <v>432800</v>
      </c>
      <c r="M37" s="79">
        <f t="shared" si="21"/>
        <v>605000</v>
      </c>
      <c r="N37" s="79">
        <f t="shared" si="21"/>
        <v>486200</v>
      </c>
      <c r="O37" s="79">
        <f t="shared" si="21"/>
        <v>921800</v>
      </c>
      <c r="P37" s="5"/>
    </row>
    <row r="38" spans="2:16" ht="15.6">
      <c r="B38" s="70" t="s">
        <v>388</v>
      </c>
      <c r="C38" s="76">
        <f>+C32+C26</f>
        <v>1119.4805194805194</v>
      </c>
      <c r="D38" s="77">
        <f>+D32+D26</f>
        <v>73.290043290043286</v>
      </c>
      <c r="E38" s="77">
        <f t="shared" ref="E38:O38" si="22">+E32+E26</f>
        <v>67.290043290043286</v>
      </c>
      <c r="F38" s="77">
        <f t="shared" si="22"/>
        <v>77.290043290043286</v>
      </c>
      <c r="G38" s="77">
        <f t="shared" si="22"/>
        <v>67.290043290043286</v>
      </c>
      <c r="H38" s="77">
        <f t="shared" si="22"/>
        <v>69.290043290043286</v>
      </c>
      <c r="I38" s="77">
        <f t="shared" si="22"/>
        <v>123.29004329004329</v>
      </c>
      <c r="J38" s="77">
        <f t="shared" si="22"/>
        <v>123.29004329004329</v>
      </c>
      <c r="K38" s="77">
        <f t="shared" si="22"/>
        <v>163.29004329004329</v>
      </c>
      <c r="L38" s="77">
        <f t="shared" si="22"/>
        <v>103.29004329004329</v>
      </c>
      <c r="M38" s="77">
        <f t="shared" si="22"/>
        <v>83.290043290043286</v>
      </c>
      <c r="N38" s="77">
        <f t="shared" si="22"/>
        <v>75.290043290043286</v>
      </c>
      <c r="O38" s="77">
        <f t="shared" si="22"/>
        <v>93.290043290043286</v>
      </c>
      <c r="P38" s="5"/>
    </row>
    <row r="39" spans="2:16" ht="15.6">
      <c r="B39" s="73" t="s">
        <v>389</v>
      </c>
      <c r="C39" s="76">
        <f>+C33+C27</f>
        <v>1343.3766233766232</v>
      </c>
      <c r="D39" s="77">
        <f>+D33+D27</f>
        <v>111.94805194805195</v>
      </c>
      <c r="E39" s="77">
        <f t="shared" ref="D39:O42" si="23">+E33+E27</f>
        <v>99.948051948051955</v>
      </c>
      <c r="F39" s="77">
        <f t="shared" si="23"/>
        <v>107.94805194805195</v>
      </c>
      <c r="G39" s="77">
        <f>+G33+G27</f>
        <v>85.948051948051955</v>
      </c>
      <c r="H39" s="77">
        <f t="shared" si="23"/>
        <v>83.948051948051955</v>
      </c>
      <c r="I39" s="77">
        <f t="shared" si="23"/>
        <v>115.94805194805195</v>
      </c>
      <c r="J39" s="77">
        <f t="shared" si="23"/>
        <v>97.948051948051955</v>
      </c>
      <c r="K39" s="77">
        <f t="shared" si="23"/>
        <v>91.948051948051955</v>
      </c>
      <c r="L39" s="77">
        <f t="shared" si="23"/>
        <v>91.948051948051955</v>
      </c>
      <c r="M39" s="77">
        <f t="shared" si="23"/>
        <v>141.94805194805195</v>
      </c>
      <c r="N39" s="77">
        <f t="shared" si="23"/>
        <v>141.94805194805195</v>
      </c>
      <c r="O39" s="77">
        <f t="shared" si="23"/>
        <v>171.94805194805195</v>
      </c>
      <c r="P39" s="5"/>
    </row>
    <row r="40" spans="2:16" ht="15.6">
      <c r="B40" s="70" t="s">
        <v>390</v>
      </c>
      <c r="C40" s="76">
        <f t="shared" ref="C40:C42" si="24">+C34+C28</f>
        <v>2271.1688311688313</v>
      </c>
      <c r="D40" s="77">
        <f t="shared" si="23"/>
        <v>129.26406926406926</v>
      </c>
      <c r="E40" s="77">
        <f t="shared" si="23"/>
        <v>159.26406926406926</v>
      </c>
      <c r="F40" s="77">
        <f t="shared" si="23"/>
        <v>189.26406926406926</v>
      </c>
      <c r="G40" s="77">
        <f t="shared" si="23"/>
        <v>369.26406926406924</v>
      </c>
      <c r="H40" s="77">
        <f t="shared" si="23"/>
        <v>369.26406926406924</v>
      </c>
      <c r="I40" s="77">
        <f t="shared" si="23"/>
        <v>159.26406926406926</v>
      </c>
      <c r="J40" s="77">
        <f t="shared" si="23"/>
        <v>219.26406926406926</v>
      </c>
      <c r="K40" s="77">
        <f t="shared" si="23"/>
        <v>189.26406926406926</v>
      </c>
      <c r="L40" s="77">
        <f t="shared" si="23"/>
        <v>141.26406926406926</v>
      </c>
      <c r="M40" s="77">
        <f t="shared" si="23"/>
        <v>129.26406926406926</v>
      </c>
      <c r="N40" s="77">
        <f t="shared" si="23"/>
        <v>99.264069264069263</v>
      </c>
      <c r="O40" s="77">
        <f t="shared" si="23"/>
        <v>117.26406926406926</v>
      </c>
      <c r="P40" s="5"/>
    </row>
    <row r="41" spans="2:16" ht="15.6">
      <c r="B41" s="73" t="s">
        <v>391</v>
      </c>
      <c r="C41" s="76">
        <f t="shared" si="24"/>
        <v>1517.3160173160172</v>
      </c>
      <c r="D41" s="77">
        <f t="shared" si="23"/>
        <v>121.44300144300145</v>
      </c>
      <c r="E41" s="77">
        <f t="shared" si="23"/>
        <v>106.44300144300145</v>
      </c>
      <c r="F41" s="77">
        <f t="shared" si="23"/>
        <v>136.44300144300144</v>
      </c>
      <c r="G41" s="77">
        <f t="shared" si="23"/>
        <v>136.44300144300144</v>
      </c>
      <c r="H41" s="77">
        <f t="shared" si="23"/>
        <v>196.44300144300144</v>
      </c>
      <c r="I41" s="77">
        <f t="shared" si="23"/>
        <v>196.44300144300144</v>
      </c>
      <c r="J41" s="77">
        <f t="shared" si="23"/>
        <v>211.44300144300144</v>
      </c>
      <c r="K41" s="77">
        <f t="shared" si="23"/>
        <v>121.44300144300145</v>
      </c>
      <c r="L41" s="77">
        <f t="shared" si="23"/>
        <v>76.44300144300145</v>
      </c>
      <c r="M41" s="77">
        <f t="shared" si="23"/>
        <v>61.443001443001442</v>
      </c>
      <c r="N41" s="77">
        <f t="shared" si="23"/>
        <v>46.443001443001442</v>
      </c>
      <c r="O41" s="77">
        <f t="shared" si="23"/>
        <v>106.44300144300145</v>
      </c>
      <c r="P41" s="5"/>
    </row>
    <row r="42" spans="2:16" ht="15.6">
      <c r="B42" s="70" t="s">
        <v>392</v>
      </c>
      <c r="C42" s="76">
        <f t="shared" si="24"/>
        <v>1258.6580086580086</v>
      </c>
      <c r="D42" s="77">
        <f t="shared" si="23"/>
        <v>50.721500721500725</v>
      </c>
      <c r="E42" s="77">
        <f t="shared" si="23"/>
        <v>50.721500721500725</v>
      </c>
      <c r="F42" s="77">
        <f t="shared" si="23"/>
        <v>75.721500721500718</v>
      </c>
      <c r="G42" s="77">
        <f t="shared" si="23"/>
        <v>50.721500721500725</v>
      </c>
      <c r="H42" s="77">
        <f t="shared" si="23"/>
        <v>100.72150072150072</v>
      </c>
      <c r="I42" s="77">
        <f t="shared" si="23"/>
        <v>125.72150072150072</v>
      </c>
      <c r="J42" s="77">
        <f t="shared" si="23"/>
        <v>175.72150072150072</v>
      </c>
      <c r="K42" s="77">
        <f t="shared" si="23"/>
        <v>250.72150072150072</v>
      </c>
      <c r="L42" s="77">
        <f t="shared" si="23"/>
        <v>75.721500721500718</v>
      </c>
      <c r="M42" s="77">
        <f t="shared" si="23"/>
        <v>88.221500721500718</v>
      </c>
      <c r="N42" s="77">
        <f t="shared" si="23"/>
        <v>88.221500721500718</v>
      </c>
      <c r="O42" s="77">
        <f t="shared" si="23"/>
        <v>125.72150072150072</v>
      </c>
      <c r="P42" s="5"/>
    </row>
    <row r="43" spans="2:16" ht="18.600000000000001">
      <c r="B43" s="44" t="s">
        <v>393</v>
      </c>
      <c r="C43" s="78">
        <f>SUM(C38:C42)</f>
        <v>7510</v>
      </c>
      <c r="D43" s="79">
        <f t="shared" ref="D43:O43" si="25">SUM(D38:D42)</f>
        <v>486.66666666666669</v>
      </c>
      <c r="E43" s="79">
        <f t="shared" si="25"/>
        <v>483.66666666666669</v>
      </c>
      <c r="F43" s="79">
        <f t="shared" si="25"/>
        <v>586.66666666666674</v>
      </c>
      <c r="G43" s="79">
        <f t="shared" si="25"/>
        <v>709.66666666666674</v>
      </c>
      <c r="H43" s="79">
        <f t="shared" si="25"/>
        <v>819.66666666666674</v>
      </c>
      <c r="I43" s="79">
        <f t="shared" si="25"/>
        <v>720.66666666666674</v>
      </c>
      <c r="J43" s="79">
        <f t="shared" si="25"/>
        <v>827.66666666666674</v>
      </c>
      <c r="K43" s="79">
        <f t="shared" si="25"/>
        <v>816.66666666666674</v>
      </c>
      <c r="L43" s="79">
        <f t="shared" si="25"/>
        <v>488.66666666666669</v>
      </c>
      <c r="M43" s="79">
        <f t="shared" si="25"/>
        <v>504.16666666666669</v>
      </c>
      <c r="N43" s="79">
        <f t="shared" si="25"/>
        <v>451.16666666666669</v>
      </c>
      <c r="O43" s="79">
        <f t="shared" si="25"/>
        <v>614.66666666666674</v>
      </c>
      <c r="P43" s="34" t="s">
        <v>394</v>
      </c>
    </row>
    <row r="44" spans="2:16" ht="15.75" customHeight="1">
      <c r="B44" s="236" t="s">
        <v>395</v>
      </c>
      <c r="C44" s="236"/>
      <c r="D44" s="110">
        <v>0.12</v>
      </c>
      <c r="E44" s="110">
        <v>0.08</v>
      </c>
      <c r="F44" s="110">
        <v>7.0000000000000007E-2</v>
      </c>
      <c r="G44" s="110">
        <v>0.08</v>
      </c>
      <c r="H44" s="110">
        <v>0.09</v>
      </c>
      <c r="I44" s="110">
        <v>0.11</v>
      </c>
      <c r="J44" s="110">
        <v>0.13</v>
      </c>
      <c r="K44" s="110">
        <v>0.1</v>
      </c>
      <c r="L44" s="110">
        <v>0.12</v>
      </c>
      <c r="M44" s="110">
        <v>0.1</v>
      </c>
      <c r="N44" s="110">
        <v>0.1</v>
      </c>
      <c r="O44" s="110">
        <v>0.12</v>
      </c>
      <c r="P44" s="80">
        <f ca="1">+IFERROR(((D44*D20)+(E44*E20)+(F44*F20)+(G44*G20)+(H44*H20)+(I44*I20)+(J44*J20)+(K44*K20)+(L44*L20)+(M44*M20)+(N44*N20)+(O44*O20))/C20,0)</f>
        <v>0.10626666666666666</v>
      </c>
    </row>
    <row r="45" spans="2:16">
      <c r="B45" s="235" t="s">
        <v>396</v>
      </c>
      <c r="C45" s="235"/>
      <c r="D45" s="101">
        <v>0.09</v>
      </c>
      <c r="E45" s="101">
        <v>0.09</v>
      </c>
      <c r="F45" s="101">
        <v>7.0000000000000007E-2</v>
      </c>
      <c r="G45" s="101">
        <v>7.0000000000000007E-2</v>
      </c>
      <c r="H45" s="101">
        <v>0.08</v>
      </c>
      <c r="I45" s="101">
        <v>0.1</v>
      </c>
      <c r="J45" s="101">
        <v>7.0000000000000007E-2</v>
      </c>
      <c r="K45" s="101">
        <v>0.08</v>
      </c>
      <c r="L45" s="101">
        <v>0.08</v>
      </c>
      <c r="M45" s="101">
        <v>0.06</v>
      </c>
      <c r="N45" s="101">
        <v>0.09</v>
      </c>
      <c r="O45" s="101">
        <v>0.06</v>
      </c>
      <c r="P45" s="80">
        <f t="shared" ref="P45:P47" si="26">+IFERROR(((D45*D21)+(E45*E21)+(F45*F21)+(G45*G21)+(H45*H21)+(I45*I21)+(J45*J21)+(K45*K21)+(L45*L21)+(M45*M21)+(N45*N21)+(O45*O21))/C21,0)</f>
        <v>7.6805555555555557E-2</v>
      </c>
    </row>
    <row r="46" spans="2:16">
      <c r="B46" s="236" t="s">
        <v>397</v>
      </c>
      <c r="C46" s="236"/>
      <c r="D46" s="110">
        <v>0.1</v>
      </c>
      <c r="E46" s="110">
        <v>0.1</v>
      </c>
      <c r="F46" s="110">
        <v>7.0000000000000007E-2</v>
      </c>
      <c r="G46" s="110">
        <v>0.11</v>
      </c>
      <c r="H46" s="110">
        <v>0.1</v>
      </c>
      <c r="I46" s="110">
        <v>0.1</v>
      </c>
      <c r="J46" s="110">
        <v>0.11</v>
      </c>
      <c r="K46" s="110">
        <v>0.1</v>
      </c>
      <c r="L46" s="110">
        <v>0.1</v>
      </c>
      <c r="M46" s="110">
        <v>0.11</v>
      </c>
      <c r="N46" s="110">
        <v>0.1</v>
      </c>
      <c r="O46" s="110">
        <v>0.1</v>
      </c>
      <c r="P46" s="80">
        <f t="shared" si="26"/>
        <v>0.10104166666666667</v>
      </c>
    </row>
    <row r="47" spans="2:16">
      <c r="B47" s="235" t="s">
        <v>398</v>
      </c>
      <c r="C47" s="235"/>
      <c r="D47" s="101">
        <v>5.5</v>
      </c>
      <c r="E47" s="101">
        <v>4</v>
      </c>
      <c r="F47" s="101">
        <v>4.5</v>
      </c>
      <c r="G47" s="101">
        <v>4.5</v>
      </c>
      <c r="H47" s="101">
        <v>5</v>
      </c>
      <c r="I47" s="101">
        <v>5</v>
      </c>
      <c r="J47" s="101">
        <v>6</v>
      </c>
      <c r="K47" s="101">
        <v>6</v>
      </c>
      <c r="L47" s="101">
        <v>5</v>
      </c>
      <c r="M47" s="101">
        <v>4.5</v>
      </c>
      <c r="N47" s="101">
        <v>5</v>
      </c>
      <c r="O47" s="101">
        <v>5</v>
      </c>
      <c r="P47" s="80">
        <f t="shared" si="26"/>
        <v>5.08</v>
      </c>
    </row>
    <row r="48" spans="2:16">
      <c r="B48" s="236" t="s">
        <v>399</v>
      </c>
      <c r="C48" s="236"/>
      <c r="D48" s="110">
        <v>11</v>
      </c>
      <c r="E48" s="110">
        <v>8</v>
      </c>
      <c r="F48" s="110">
        <v>9</v>
      </c>
      <c r="G48" s="110">
        <v>9</v>
      </c>
      <c r="H48" s="110">
        <v>10</v>
      </c>
      <c r="I48" s="110">
        <v>10</v>
      </c>
      <c r="J48" s="110">
        <v>12</v>
      </c>
      <c r="K48" s="110">
        <v>12</v>
      </c>
      <c r="L48" s="110">
        <v>10</v>
      </c>
      <c r="M48" s="110">
        <v>9.5</v>
      </c>
      <c r="N48" s="110">
        <v>10</v>
      </c>
      <c r="O48" s="110">
        <v>10</v>
      </c>
      <c r="P48" s="80">
        <f>+IFERROR(((D48*D24)+(E48*E24)+(F48*F24)+(G48*G24)+(H48*H24)+(I48*I24)+(J48*J24)+(K48*K24)+(L48*L24)+(M48*M24)+(N48*N24)+(O48*O24))/C24,0)</f>
        <v>10.505000000000001</v>
      </c>
    </row>
    <row r="49" spans="2:16" ht="18.600000000000001">
      <c r="B49" s="44" t="s">
        <v>400</v>
      </c>
      <c r="C49" s="78">
        <f ca="1">SUM(D49:O49)*KAIZEN!$K$10</f>
        <v>21135.5</v>
      </c>
      <c r="D49" s="79">
        <f ca="1">+((D44*D20)+(D45*D21)+(D46*D22)+(D47*D23)+(D48*D24))*KAIZEN!$K$10</f>
        <v>1310</v>
      </c>
      <c r="E49" s="79">
        <f>+(E44*E20)+(E45*E21)+(E46*E22)+(E47*E23)+(E48*E24)</f>
        <v>1052</v>
      </c>
      <c r="F49" s="79">
        <f t="shared" ref="F49:O49" si="27">+(F44*F20)+(F45*F21)+(F46*F22)+(F47*F23)+(F48*F24)</f>
        <v>1270</v>
      </c>
      <c r="G49" s="79">
        <f t="shared" si="27"/>
        <v>1900</v>
      </c>
      <c r="H49" s="79">
        <f t="shared" si="27"/>
        <v>2295</v>
      </c>
      <c r="I49" s="79">
        <f>+(I44*I20)+(I45*I21)+(I46*I22)+(I47*I23)+(I48*I24)</f>
        <v>2210</v>
      </c>
      <c r="J49" s="79">
        <f t="shared" si="27"/>
        <v>2911</v>
      </c>
      <c r="K49" s="79">
        <f t="shared" si="27"/>
        <v>2840</v>
      </c>
      <c r="L49" s="79">
        <f t="shared" si="27"/>
        <v>1310</v>
      </c>
      <c r="M49" s="79">
        <f t="shared" si="27"/>
        <v>1202.5</v>
      </c>
      <c r="N49" s="79">
        <f t="shared" si="27"/>
        <v>1165</v>
      </c>
      <c r="O49" s="79">
        <f t="shared" si="27"/>
        <v>1670</v>
      </c>
      <c r="P49" s="5"/>
    </row>
    <row r="50" spans="2:16" ht="21">
      <c r="B50" s="33" t="s">
        <v>366</v>
      </c>
      <c r="C50" s="159">
        <f ca="1">+C49-C43</f>
        <v>13625.5</v>
      </c>
      <c r="D50" s="160">
        <f ca="1">+D49-D43</f>
        <v>823.33333333333326</v>
      </c>
      <c r="E50" s="160">
        <f t="shared" ref="E50:O50" si="28">+E49-E43</f>
        <v>568.33333333333326</v>
      </c>
      <c r="F50" s="160">
        <f t="shared" si="28"/>
        <v>683.33333333333326</v>
      </c>
      <c r="G50" s="160">
        <f t="shared" si="28"/>
        <v>1190.3333333333333</v>
      </c>
      <c r="H50" s="160">
        <f t="shared" si="28"/>
        <v>1475.3333333333333</v>
      </c>
      <c r="I50" s="160">
        <f t="shared" si="28"/>
        <v>1489.3333333333333</v>
      </c>
      <c r="J50" s="160">
        <f t="shared" si="28"/>
        <v>2083.333333333333</v>
      </c>
      <c r="K50" s="160">
        <f t="shared" si="28"/>
        <v>2023.3333333333333</v>
      </c>
      <c r="L50" s="160">
        <f t="shared" si="28"/>
        <v>821.33333333333326</v>
      </c>
      <c r="M50" s="160">
        <f t="shared" si="28"/>
        <v>698.33333333333326</v>
      </c>
      <c r="N50" s="160">
        <f t="shared" si="28"/>
        <v>713.83333333333326</v>
      </c>
      <c r="O50" s="160">
        <f t="shared" si="28"/>
        <v>1055.3333333333333</v>
      </c>
      <c r="P50" s="5"/>
    </row>
    <row r="51" spans="2:16">
      <c r="B51" s="81"/>
      <c r="C51" s="82"/>
      <c r="D51" s="82"/>
      <c r="E51" s="82"/>
      <c r="F51" s="82"/>
      <c r="G51" s="82"/>
      <c r="H51" s="82"/>
      <c r="I51" s="82"/>
      <c r="J51" s="82"/>
      <c r="K51" s="82"/>
      <c r="L51" s="82"/>
      <c r="M51" s="82"/>
      <c r="N51" s="82"/>
      <c r="O51" s="82"/>
      <c r="P51" s="5"/>
    </row>
    <row r="52" spans="2:16" ht="21">
      <c r="B52" s="230" t="s">
        <v>348</v>
      </c>
      <c r="C52" s="230" t="str">
        <f>+C2</f>
        <v>SecondNote</v>
      </c>
      <c r="D52" s="230"/>
      <c r="E52" s="230"/>
      <c r="F52" s="230"/>
      <c r="G52" s="230"/>
      <c r="H52" s="230"/>
      <c r="I52" s="5"/>
      <c r="J52" s="5"/>
      <c r="K52" s="5"/>
      <c r="L52" s="5"/>
      <c r="M52" s="5"/>
      <c r="N52" s="5"/>
      <c r="O52" s="5"/>
      <c r="P52" s="5"/>
    </row>
    <row r="53" spans="2:16" ht="21">
      <c r="B53" s="230"/>
      <c r="C53" s="230" t="s">
        <v>349</v>
      </c>
      <c r="D53" s="230" t="s">
        <v>350</v>
      </c>
      <c r="E53" s="230"/>
      <c r="F53" s="230"/>
      <c r="G53" s="230"/>
      <c r="H53" s="230"/>
      <c r="I53" s="5"/>
      <c r="J53" s="5"/>
      <c r="K53" s="5"/>
      <c r="L53" s="5"/>
      <c r="M53" s="5"/>
      <c r="N53" s="5"/>
      <c r="O53" s="5"/>
      <c r="P53" s="5"/>
    </row>
    <row r="54" spans="2:16" ht="21">
      <c r="B54" s="32">
        <f>+B4+1</f>
        <v>2025</v>
      </c>
      <c r="C54" s="230"/>
      <c r="D54" s="32" t="s">
        <v>351</v>
      </c>
      <c r="E54" s="32" t="s">
        <v>352</v>
      </c>
      <c r="F54" s="32" t="s">
        <v>353</v>
      </c>
      <c r="G54" s="32" t="s">
        <v>354</v>
      </c>
      <c r="H54" s="32" t="s">
        <v>355</v>
      </c>
      <c r="I54" s="5"/>
      <c r="J54" s="5"/>
      <c r="K54" s="5"/>
      <c r="L54" s="5"/>
      <c r="M54" s="5"/>
      <c r="N54" s="5"/>
      <c r="O54" s="5"/>
      <c r="P54" s="5"/>
    </row>
    <row r="55" spans="2:16" ht="24.75" customHeight="1">
      <c r="B55" s="128" t="s">
        <v>356</v>
      </c>
      <c r="C55" s="53">
        <f>+SUM(D55:H55)</f>
        <v>138230</v>
      </c>
      <c r="D55" s="115">
        <v>40000</v>
      </c>
      <c r="E55" s="115">
        <v>36000</v>
      </c>
      <c r="F55" s="115">
        <v>60000</v>
      </c>
      <c r="G55" s="115">
        <v>1500</v>
      </c>
      <c r="H55" s="115">
        <v>730</v>
      </c>
      <c r="I55" s="54"/>
      <c r="J55" s="5"/>
      <c r="K55" s="5"/>
      <c r="L55" s="5"/>
      <c r="M55" s="5"/>
      <c r="N55" s="5"/>
      <c r="O55" s="5"/>
      <c r="P55" s="5"/>
    </row>
    <row r="56" spans="2:16" ht="26.25" customHeight="1">
      <c r="B56" s="129" t="s">
        <v>357</v>
      </c>
      <c r="C56" s="55">
        <f>+IFERROR(+SUM(D56:H56),0)</f>
        <v>0.99999999999999989</v>
      </c>
      <c r="D56" s="56">
        <f>+IFERROR(D55/$C$55,0)</f>
        <v>0.28937278448961873</v>
      </c>
      <c r="E56" s="56">
        <f t="shared" ref="E56:H56" si="29">+IFERROR(E55/$C$55,0)</f>
        <v>0.26043550604065685</v>
      </c>
      <c r="F56" s="56">
        <f t="shared" si="29"/>
        <v>0.43405917673442812</v>
      </c>
      <c r="G56" s="56">
        <f t="shared" si="29"/>
        <v>1.0851479418360703E-2</v>
      </c>
      <c r="H56" s="56">
        <f t="shared" si="29"/>
        <v>5.281053316935542E-3</v>
      </c>
      <c r="I56" s="54"/>
      <c r="J56" s="5"/>
      <c r="K56" s="5"/>
      <c r="L56" s="5"/>
      <c r="M56" s="5"/>
      <c r="N56" s="5"/>
      <c r="O56" s="5"/>
      <c r="P56" s="5"/>
    </row>
    <row r="57" spans="2:16">
      <c r="B57" s="57" t="s">
        <v>358</v>
      </c>
      <c r="C57" s="107">
        <v>2000</v>
      </c>
      <c r="D57" s="58">
        <f>+IFERROR(($C$57*D55)/$C$55,0)</f>
        <v>578.74556897923753</v>
      </c>
      <c r="E57" s="58">
        <f t="shared" ref="E57:H57" si="30">+IFERROR(($C$57*E55)/$C$55,0)</f>
        <v>520.87101208131378</v>
      </c>
      <c r="F57" s="58">
        <f t="shared" si="30"/>
        <v>868.1183534688563</v>
      </c>
      <c r="G57" s="58">
        <f t="shared" si="30"/>
        <v>21.702958836721407</v>
      </c>
      <c r="H57" s="58">
        <f t="shared" si="30"/>
        <v>10.562106633871084</v>
      </c>
      <c r="I57" s="54"/>
      <c r="J57" s="5"/>
      <c r="K57" s="5"/>
      <c r="L57" s="5"/>
      <c r="M57" s="5"/>
      <c r="N57" s="5"/>
      <c r="O57" s="5"/>
      <c r="P57" s="5"/>
    </row>
    <row r="58" spans="2:16">
      <c r="B58" s="233" t="s">
        <v>359</v>
      </c>
      <c r="C58" s="233"/>
      <c r="D58" s="108">
        <v>0.02</v>
      </c>
      <c r="E58" s="108">
        <v>0.02</v>
      </c>
      <c r="F58" s="108">
        <v>0.02</v>
      </c>
      <c r="G58" s="108">
        <v>1.5</v>
      </c>
      <c r="H58" s="108">
        <v>2.25</v>
      </c>
      <c r="I58" s="54"/>
      <c r="J58" s="5"/>
      <c r="K58" s="5"/>
      <c r="L58" s="5"/>
      <c r="M58" s="5"/>
      <c r="N58" s="5"/>
      <c r="O58" s="5"/>
      <c r="P58" s="5"/>
    </row>
    <row r="59" spans="2:16">
      <c r="B59" s="232" t="s">
        <v>360</v>
      </c>
      <c r="C59" s="232"/>
      <c r="D59" s="108">
        <v>0.12</v>
      </c>
      <c r="E59" s="108">
        <v>0.08</v>
      </c>
      <c r="F59" s="108">
        <v>0.11</v>
      </c>
      <c r="G59" s="108">
        <v>5.24</v>
      </c>
      <c r="H59" s="108">
        <v>10.77</v>
      </c>
      <c r="I59" s="5"/>
      <c r="J59" s="5"/>
      <c r="K59" s="5"/>
      <c r="L59" s="5"/>
      <c r="M59" s="5"/>
      <c r="N59" s="5"/>
      <c r="O59" s="5"/>
      <c r="P59" s="5"/>
    </row>
    <row r="60" spans="2:16" ht="18.600000000000001">
      <c r="B60" s="59" t="s">
        <v>361</v>
      </c>
      <c r="C60" s="116">
        <f>+IFERROR(C57/((D56*(D59-D58))+(E56*(E59-E58))+(F56*(F59-F58))+(G56*(G59-G58))+(H56*(H59-H58))),0)</f>
        <v>11819.78315148613</v>
      </c>
      <c r="D60" s="117">
        <f>+IFERROR($C$60*D56,0)</f>
        <v>3420.3235626090222</v>
      </c>
      <c r="E60" s="117">
        <f t="shared" ref="E60:F60" si="31">+IFERROR($C$60*E56,0)</f>
        <v>3078.2912063481199</v>
      </c>
      <c r="F60" s="117">
        <f t="shared" si="31"/>
        <v>5130.4853439135341</v>
      </c>
      <c r="G60" s="117">
        <f>+IFERROR($C$60*G56,0)</f>
        <v>128.26213359783836</v>
      </c>
      <c r="H60" s="117">
        <f>+IFERROR($C$60*H56,0)</f>
        <v>62.420905017614658</v>
      </c>
      <c r="I60" s="60"/>
      <c r="J60" s="5"/>
      <c r="K60" s="61"/>
      <c r="L60" s="61"/>
      <c r="M60" s="61"/>
      <c r="N60" s="61"/>
      <c r="O60" s="61"/>
      <c r="P60" s="61"/>
    </row>
    <row r="61" spans="2:16" ht="18.600000000000001">
      <c r="B61" s="62" t="s">
        <v>362</v>
      </c>
      <c r="C61" s="63">
        <f>+SUM(D61:H61)</f>
        <v>2565.4222389438037</v>
      </c>
      <c r="D61" s="64">
        <f>+D60*D59</f>
        <v>410.43882751308263</v>
      </c>
      <c r="E61" s="64">
        <f t="shared" ref="E61" si="32">+E60*E59</f>
        <v>246.26329650784959</v>
      </c>
      <c r="F61" s="64">
        <f t="shared" ref="F61" si="33">+F60*F59</f>
        <v>564.35338783048871</v>
      </c>
      <c r="G61" s="64">
        <f t="shared" ref="G61" si="34">+G60*G59</f>
        <v>672.09358005267302</v>
      </c>
      <c r="H61" s="64">
        <f>+H60*H59</f>
        <v>672.27314703970978</v>
      </c>
      <c r="I61" s="65"/>
      <c r="J61" s="5"/>
      <c r="K61" s="61"/>
      <c r="L61" s="61"/>
      <c r="M61" s="61"/>
      <c r="N61" s="61"/>
      <c r="O61" s="61"/>
      <c r="P61" s="61"/>
    </row>
    <row r="62" spans="2:16" ht="15.6">
      <c r="B62" s="234" t="s">
        <v>363</v>
      </c>
      <c r="C62" s="234"/>
      <c r="D62" s="234"/>
      <c r="E62" s="234"/>
      <c r="F62" s="234"/>
      <c r="G62" s="234"/>
      <c r="H62" s="234"/>
      <c r="I62" s="65"/>
      <c r="J62" s="5"/>
      <c r="K62" s="61"/>
      <c r="L62" s="61"/>
      <c r="M62" s="61"/>
      <c r="N62" s="61"/>
      <c r="O62" s="61"/>
      <c r="P62" s="61"/>
    </row>
    <row r="63" spans="2:16" ht="18.600000000000001">
      <c r="B63" s="66" t="s">
        <v>364</v>
      </c>
      <c r="C63" s="63">
        <f>+SUM(D63:H63)</f>
        <v>8612.5</v>
      </c>
      <c r="D63" s="64">
        <f>+D57+(D58*D55)</f>
        <v>1378.7455689792375</v>
      </c>
      <c r="E63" s="64">
        <f t="shared" ref="E63:H63" si="35">+E57+(E58*E55)</f>
        <v>1240.8710120813139</v>
      </c>
      <c r="F63" s="64">
        <f t="shared" si="35"/>
        <v>2068.1183534688562</v>
      </c>
      <c r="G63" s="64">
        <f t="shared" si="35"/>
        <v>2271.7029588367213</v>
      </c>
      <c r="H63" s="64">
        <f t="shared" si="35"/>
        <v>1653.0621066338711</v>
      </c>
      <c r="I63" s="65"/>
      <c r="J63" s="5"/>
      <c r="K63" s="61"/>
      <c r="L63" s="61"/>
      <c r="M63" s="61"/>
      <c r="N63" s="61"/>
      <c r="O63" s="61"/>
      <c r="P63" s="61"/>
    </row>
    <row r="64" spans="2:16" ht="18.600000000000001">
      <c r="B64" s="67" t="s">
        <v>365</v>
      </c>
      <c r="C64" s="63">
        <f>+SUM(D64:H64)</f>
        <v>30002.1</v>
      </c>
      <c r="D64" s="64">
        <f>+D59*D55</f>
        <v>4800</v>
      </c>
      <c r="E64" s="64">
        <f t="shared" ref="E64:H64" si="36">+E59*E55</f>
        <v>2880</v>
      </c>
      <c r="F64" s="64">
        <f t="shared" si="36"/>
        <v>6600</v>
      </c>
      <c r="G64" s="64">
        <f t="shared" si="36"/>
        <v>7860</v>
      </c>
      <c r="H64" s="64">
        <f t="shared" si="36"/>
        <v>7862.0999999999995</v>
      </c>
      <c r="I64" s="60"/>
      <c r="J64" s="5"/>
      <c r="K64" s="61"/>
      <c r="L64" s="61"/>
      <c r="M64" s="61"/>
      <c r="N64" s="61"/>
      <c r="O64" s="61"/>
      <c r="P64" s="61"/>
    </row>
    <row r="65" spans="2:16" ht="18.600000000000001">
      <c r="B65" s="68" t="s">
        <v>366</v>
      </c>
      <c r="C65" s="156">
        <f>+SUM(D65:H65)</f>
        <v>21389.599999999999</v>
      </c>
      <c r="D65" s="157">
        <f>+D64-D63</f>
        <v>3421.2544310207622</v>
      </c>
      <c r="E65" s="157">
        <f t="shared" ref="E65:H65" si="37">+E64-E63</f>
        <v>1639.1289879186861</v>
      </c>
      <c r="F65" s="157">
        <f t="shared" si="37"/>
        <v>4531.8816465311438</v>
      </c>
      <c r="G65" s="157">
        <f t="shared" si="37"/>
        <v>5588.2970411632787</v>
      </c>
      <c r="H65" s="157">
        <f t="shared" si="37"/>
        <v>6209.0378933661286</v>
      </c>
      <c r="I65" s="60"/>
      <c r="J65" s="5"/>
      <c r="K65" s="61"/>
      <c r="L65" s="61"/>
      <c r="M65" s="61"/>
      <c r="N65" s="61"/>
      <c r="O65" s="61"/>
      <c r="P65" s="61"/>
    </row>
    <row r="66" spans="2:16">
      <c r="B66" s="5"/>
      <c r="C66" s="5"/>
      <c r="D66" s="5"/>
      <c r="E66" s="5"/>
      <c r="F66" s="5"/>
      <c r="G66" s="5"/>
      <c r="H66" s="5"/>
      <c r="I66" s="5"/>
      <c r="J66" s="5"/>
      <c r="K66" s="5"/>
      <c r="L66" s="5"/>
      <c r="M66" s="5"/>
      <c r="N66" s="5"/>
      <c r="O66" s="5"/>
      <c r="P66" s="5"/>
    </row>
    <row r="67" spans="2:16" ht="21">
      <c r="B67" s="223" t="s">
        <v>367</v>
      </c>
      <c r="C67" s="230" t="str">
        <f>+C52</f>
        <v>SecondNote</v>
      </c>
      <c r="D67" s="230"/>
      <c r="E67" s="230"/>
      <c r="F67" s="230"/>
      <c r="G67" s="230"/>
      <c r="H67" s="230"/>
      <c r="I67" s="230"/>
      <c r="J67" s="230"/>
      <c r="K67" s="230"/>
      <c r="L67" s="230"/>
      <c r="M67" s="230"/>
      <c r="N67" s="230"/>
      <c r="O67" s="230"/>
      <c r="P67" s="223" t="s">
        <v>368</v>
      </c>
    </row>
    <row r="68" spans="2:16" ht="21">
      <c r="B68" s="223"/>
      <c r="C68" s="27"/>
      <c r="D68" s="27"/>
      <c r="E68" s="27"/>
      <c r="F68" s="27"/>
      <c r="G68" s="201" t="s">
        <v>369</v>
      </c>
      <c r="H68" s="201"/>
      <c r="I68" s="201"/>
      <c r="J68" s="201"/>
      <c r="K68" s="49">
        <f>+B69</f>
        <v>2025</v>
      </c>
      <c r="L68" s="27"/>
      <c r="M68" s="27"/>
      <c r="N68" s="27"/>
      <c r="O68" s="27"/>
      <c r="P68" s="223"/>
    </row>
    <row r="69" spans="2:16" ht="21">
      <c r="B69" s="69">
        <f>+B54</f>
        <v>2025</v>
      </c>
      <c r="C69" s="32" t="s">
        <v>309</v>
      </c>
      <c r="D69" s="34" t="s">
        <v>310</v>
      </c>
      <c r="E69" s="34" t="s">
        <v>311</v>
      </c>
      <c r="F69" s="34" t="s">
        <v>312</v>
      </c>
      <c r="G69" s="34" t="s">
        <v>313</v>
      </c>
      <c r="H69" s="34" t="s">
        <v>314</v>
      </c>
      <c r="I69" s="34" t="s">
        <v>315</v>
      </c>
      <c r="J69" s="34" t="s">
        <v>316</v>
      </c>
      <c r="K69" s="34" t="s">
        <v>317</v>
      </c>
      <c r="L69" s="34" t="s">
        <v>318</v>
      </c>
      <c r="M69" s="34" t="s">
        <v>319</v>
      </c>
      <c r="N69" s="34" t="s">
        <v>320</v>
      </c>
      <c r="O69" s="34" t="s">
        <v>321</v>
      </c>
      <c r="P69" s="223"/>
    </row>
    <row r="70" spans="2:16" ht="15.6">
      <c r="B70" s="70" t="s">
        <v>370</v>
      </c>
      <c r="C70" s="71">
        <f>+D55</f>
        <v>40000</v>
      </c>
      <c r="D70" s="109">
        <v>2000</v>
      </c>
      <c r="E70" s="109">
        <v>1500</v>
      </c>
      <c r="F70" s="109">
        <v>1000</v>
      </c>
      <c r="G70" s="109">
        <v>1500</v>
      </c>
      <c r="H70" s="109">
        <v>3000</v>
      </c>
      <c r="I70" s="109">
        <v>5000</v>
      </c>
      <c r="J70" s="109">
        <v>8000</v>
      </c>
      <c r="K70" s="109">
        <v>8000</v>
      </c>
      <c r="L70" s="109">
        <v>3000</v>
      </c>
      <c r="M70" s="109">
        <v>2000</v>
      </c>
      <c r="N70" s="109">
        <v>2500</v>
      </c>
      <c r="O70" s="109">
        <v>2500</v>
      </c>
      <c r="P70" s="72">
        <f>+C70-(SUM(D70:O70))</f>
        <v>0</v>
      </c>
    </row>
    <row r="71" spans="2:16" ht="15.6">
      <c r="B71" s="73" t="s">
        <v>371</v>
      </c>
      <c r="C71" s="71">
        <f>+E55</f>
        <v>36000</v>
      </c>
      <c r="D71" s="109">
        <v>3400</v>
      </c>
      <c r="E71" s="109">
        <v>2900</v>
      </c>
      <c r="F71" s="109">
        <v>2550</v>
      </c>
      <c r="G71" s="109">
        <v>2000</v>
      </c>
      <c r="H71" s="109">
        <v>1700</v>
      </c>
      <c r="I71" s="109">
        <v>2000</v>
      </c>
      <c r="J71" s="109">
        <v>1300</v>
      </c>
      <c r="K71" s="109">
        <v>1300</v>
      </c>
      <c r="L71" s="109">
        <v>1650</v>
      </c>
      <c r="M71" s="109">
        <v>2200</v>
      </c>
      <c r="N71" s="109">
        <v>5000</v>
      </c>
      <c r="O71" s="109">
        <v>10000</v>
      </c>
      <c r="P71" s="72">
        <f t="shared" ref="P71:P74" si="38">+C71-(SUM(D71:O71))</f>
        <v>0</v>
      </c>
    </row>
    <row r="72" spans="2:16" ht="15.6">
      <c r="B72" s="70" t="s">
        <v>372</v>
      </c>
      <c r="C72" s="71">
        <f>+F55</f>
        <v>60000</v>
      </c>
      <c r="D72" s="109">
        <v>5500</v>
      </c>
      <c r="E72" s="109">
        <v>5500</v>
      </c>
      <c r="F72" s="109">
        <v>6000</v>
      </c>
      <c r="G72" s="109">
        <v>5500</v>
      </c>
      <c r="H72" s="109">
        <v>7000</v>
      </c>
      <c r="I72" s="109">
        <v>6000</v>
      </c>
      <c r="J72" s="109">
        <v>7000</v>
      </c>
      <c r="K72" s="109">
        <v>5000</v>
      </c>
      <c r="L72" s="109">
        <v>3500</v>
      </c>
      <c r="M72" s="109">
        <v>2000</v>
      </c>
      <c r="N72" s="109">
        <v>3000</v>
      </c>
      <c r="O72" s="109">
        <v>4000</v>
      </c>
      <c r="P72" s="72">
        <f t="shared" si="38"/>
        <v>0</v>
      </c>
    </row>
    <row r="73" spans="2:16" ht="15.6">
      <c r="B73" s="73" t="s">
        <v>373</v>
      </c>
      <c r="C73" s="71">
        <f>+G55</f>
        <v>1500</v>
      </c>
      <c r="D73" s="109">
        <v>90</v>
      </c>
      <c r="E73" s="109">
        <v>80</v>
      </c>
      <c r="F73" s="109">
        <v>80</v>
      </c>
      <c r="G73" s="109">
        <v>100</v>
      </c>
      <c r="H73" s="109">
        <v>60</v>
      </c>
      <c r="I73" s="109">
        <v>120</v>
      </c>
      <c r="J73" s="109">
        <v>120</v>
      </c>
      <c r="K73" s="109">
        <v>200</v>
      </c>
      <c r="L73" s="109">
        <v>170</v>
      </c>
      <c r="M73" s="109">
        <v>220</v>
      </c>
      <c r="N73" s="109">
        <v>150</v>
      </c>
      <c r="O73" s="109">
        <v>110</v>
      </c>
      <c r="P73" s="72">
        <f t="shared" si="38"/>
        <v>0</v>
      </c>
    </row>
    <row r="74" spans="2:16" ht="15.6">
      <c r="B74" s="70" t="s">
        <v>374</v>
      </c>
      <c r="C74" s="71">
        <f>+H55</f>
        <v>730</v>
      </c>
      <c r="D74" s="109">
        <v>40</v>
      </c>
      <c r="E74" s="109">
        <v>30</v>
      </c>
      <c r="F74" s="109">
        <v>40</v>
      </c>
      <c r="G74" s="109">
        <v>50</v>
      </c>
      <c r="H74" s="109">
        <v>60</v>
      </c>
      <c r="I74" s="109">
        <v>80</v>
      </c>
      <c r="J74" s="109">
        <v>100</v>
      </c>
      <c r="K74" s="109">
        <v>140</v>
      </c>
      <c r="L74" s="109">
        <v>50</v>
      </c>
      <c r="M74" s="109">
        <v>40</v>
      </c>
      <c r="N74" s="109">
        <v>40</v>
      </c>
      <c r="O74" s="109">
        <v>60</v>
      </c>
      <c r="P74" s="72">
        <f t="shared" si="38"/>
        <v>0</v>
      </c>
    </row>
    <row r="75" spans="2:16" ht="18.600000000000001">
      <c r="B75" s="44" t="s">
        <v>375</v>
      </c>
      <c r="C75" s="74">
        <f>SUM(C70:C74)</f>
        <v>138230</v>
      </c>
      <c r="D75" s="75">
        <f t="shared" ref="D75" si="39">SUM(D70:D74)</f>
        <v>11030</v>
      </c>
      <c r="E75" s="75">
        <f>SUM(E70:E74)</f>
        <v>10010</v>
      </c>
      <c r="F75" s="75">
        <f t="shared" ref="F75" si="40">SUM(F70:F74)</f>
        <v>9670</v>
      </c>
      <c r="G75" s="75">
        <f>SUM(G70:G74)</f>
        <v>9150</v>
      </c>
      <c r="H75" s="75">
        <f t="shared" ref="H75:O75" si="41">SUM(H70:H74)</f>
        <v>11820</v>
      </c>
      <c r="I75" s="75">
        <f t="shared" si="41"/>
        <v>13200</v>
      </c>
      <c r="J75" s="75">
        <f t="shared" si="41"/>
        <v>16520</v>
      </c>
      <c r="K75" s="75">
        <f t="shared" si="41"/>
        <v>14640</v>
      </c>
      <c r="L75" s="75">
        <f t="shared" si="41"/>
        <v>8370</v>
      </c>
      <c r="M75" s="75">
        <f t="shared" si="41"/>
        <v>6460</v>
      </c>
      <c r="N75" s="75">
        <f t="shared" si="41"/>
        <v>10690</v>
      </c>
      <c r="O75" s="75">
        <f t="shared" si="41"/>
        <v>16670</v>
      </c>
      <c r="P75" s="5"/>
    </row>
    <row r="76" spans="2:16" ht="15.6">
      <c r="B76" s="70" t="s">
        <v>376</v>
      </c>
      <c r="C76" s="76">
        <f>+D57</f>
        <v>578.74556897923753</v>
      </c>
      <c r="D76" s="77">
        <f>+C76/12</f>
        <v>48.228797414936459</v>
      </c>
      <c r="E76" s="77">
        <f>+D76</f>
        <v>48.228797414936459</v>
      </c>
      <c r="F76" s="77">
        <f t="shared" ref="F76:O76" si="42">+E76</f>
        <v>48.228797414936459</v>
      </c>
      <c r="G76" s="77">
        <f t="shared" si="42"/>
        <v>48.228797414936459</v>
      </c>
      <c r="H76" s="77">
        <f t="shared" si="42"/>
        <v>48.228797414936459</v>
      </c>
      <c r="I76" s="77">
        <f t="shared" si="42"/>
        <v>48.228797414936459</v>
      </c>
      <c r="J76" s="77">
        <f t="shared" si="42"/>
        <v>48.228797414936459</v>
      </c>
      <c r="K76" s="77">
        <f t="shared" si="42"/>
        <v>48.228797414936459</v>
      </c>
      <c r="L76" s="77">
        <f t="shared" si="42"/>
        <v>48.228797414936459</v>
      </c>
      <c r="M76" s="77">
        <f t="shared" si="42"/>
        <v>48.228797414936459</v>
      </c>
      <c r="N76" s="77">
        <f t="shared" si="42"/>
        <v>48.228797414936459</v>
      </c>
      <c r="O76" s="77">
        <f t="shared" si="42"/>
        <v>48.228797414936459</v>
      </c>
      <c r="P76" s="5"/>
    </row>
    <row r="77" spans="2:16" ht="15.6">
      <c r="B77" s="73" t="s">
        <v>377</v>
      </c>
      <c r="C77" s="76">
        <f>+E57</f>
        <v>520.87101208131378</v>
      </c>
      <c r="D77" s="77">
        <f>+C77/12</f>
        <v>43.405917673442815</v>
      </c>
      <c r="E77" s="77">
        <f t="shared" ref="E77:O77" si="43">+D77</f>
        <v>43.405917673442815</v>
      </c>
      <c r="F77" s="77">
        <f t="shared" si="43"/>
        <v>43.405917673442815</v>
      </c>
      <c r="G77" s="77">
        <f t="shared" si="43"/>
        <v>43.405917673442815</v>
      </c>
      <c r="H77" s="77">
        <f t="shared" si="43"/>
        <v>43.405917673442815</v>
      </c>
      <c r="I77" s="77">
        <f t="shared" si="43"/>
        <v>43.405917673442815</v>
      </c>
      <c r="J77" s="77">
        <f t="shared" si="43"/>
        <v>43.405917673442815</v>
      </c>
      <c r="K77" s="77">
        <f t="shared" si="43"/>
        <v>43.405917673442815</v>
      </c>
      <c r="L77" s="77">
        <f t="shared" si="43"/>
        <v>43.405917673442815</v>
      </c>
      <c r="M77" s="77">
        <f t="shared" si="43"/>
        <v>43.405917673442815</v>
      </c>
      <c r="N77" s="77">
        <f t="shared" si="43"/>
        <v>43.405917673442815</v>
      </c>
      <c r="O77" s="77">
        <f t="shared" si="43"/>
        <v>43.405917673442815</v>
      </c>
      <c r="P77" s="5"/>
    </row>
    <row r="78" spans="2:16" ht="15.6">
      <c r="B78" s="70" t="s">
        <v>378</v>
      </c>
      <c r="C78" s="76">
        <f>+F57</f>
        <v>868.1183534688563</v>
      </c>
      <c r="D78" s="77">
        <f t="shared" ref="D78:D79" si="44">+C78/12</f>
        <v>72.343196122404692</v>
      </c>
      <c r="E78" s="77">
        <f t="shared" ref="E78:O78" si="45">+D78</f>
        <v>72.343196122404692</v>
      </c>
      <c r="F78" s="77">
        <f t="shared" si="45"/>
        <v>72.343196122404692</v>
      </c>
      <c r="G78" s="77">
        <f t="shared" si="45"/>
        <v>72.343196122404692</v>
      </c>
      <c r="H78" s="77">
        <f t="shared" si="45"/>
        <v>72.343196122404692</v>
      </c>
      <c r="I78" s="77">
        <f t="shared" si="45"/>
        <v>72.343196122404692</v>
      </c>
      <c r="J78" s="77">
        <f t="shared" si="45"/>
        <v>72.343196122404692</v>
      </c>
      <c r="K78" s="77">
        <f t="shared" si="45"/>
        <v>72.343196122404692</v>
      </c>
      <c r="L78" s="77">
        <f t="shared" si="45"/>
        <v>72.343196122404692</v>
      </c>
      <c r="M78" s="77">
        <f t="shared" si="45"/>
        <v>72.343196122404692</v>
      </c>
      <c r="N78" s="77">
        <f t="shared" si="45"/>
        <v>72.343196122404692</v>
      </c>
      <c r="O78" s="77">
        <f t="shared" si="45"/>
        <v>72.343196122404692</v>
      </c>
      <c r="P78" s="5"/>
    </row>
    <row r="79" spans="2:16" ht="15.6">
      <c r="B79" s="73" t="s">
        <v>379</v>
      </c>
      <c r="C79" s="76">
        <f>+G57</f>
        <v>21.702958836721407</v>
      </c>
      <c r="D79" s="77">
        <f t="shared" si="44"/>
        <v>1.8085799030601173</v>
      </c>
      <c r="E79" s="77">
        <f>+D79</f>
        <v>1.8085799030601173</v>
      </c>
      <c r="F79" s="77">
        <f t="shared" ref="F79:O79" si="46">+E79</f>
        <v>1.8085799030601173</v>
      </c>
      <c r="G79" s="77">
        <f t="shared" si="46"/>
        <v>1.8085799030601173</v>
      </c>
      <c r="H79" s="77">
        <f t="shared" si="46"/>
        <v>1.8085799030601173</v>
      </c>
      <c r="I79" s="77">
        <f t="shared" si="46"/>
        <v>1.8085799030601173</v>
      </c>
      <c r="J79" s="77">
        <f t="shared" si="46"/>
        <v>1.8085799030601173</v>
      </c>
      <c r="K79" s="77">
        <f t="shared" si="46"/>
        <v>1.8085799030601173</v>
      </c>
      <c r="L79" s="77">
        <f t="shared" si="46"/>
        <v>1.8085799030601173</v>
      </c>
      <c r="M79" s="77">
        <f t="shared" si="46"/>
        <v>1.8085799030601173</v>
      </c>
      <c r="N79" s="77">
        <f t="shared" si="46"/>
        <v>1.8085799030601173</v>
      </c>
      <c r="O79" s="77">
        <f t="shared" si="46"/>
        <v>1.8085799030601173</v>
      </c>
      <c r="P79" s="5"/>
    </row>
    <row r="80" spans="2:16" ht="15.6">
      <c r="B80" s="70" t="s">
        <v>380</v>
      </c>
      <c r="C80" s="76">
        <f>+H57</f>
        <v>10.562106633871084</v>
      </c>
      <c r="D80" s="77">
        <f>+C80/12</f>
        <v>0.8801755528225903</v>
      </c>
      <c r="E80" s="77">
        <f t="shared" ref="E80:N80" si="47">+D80</f>
        <v>0.8801755528225903</v>
      </c>
      <c r="F80" s="77">
        <f t="shared" si="47"/>
        <v>0.8801755528225903</v>
      </c>
      <c r="G80" s="77">
        <f t="shared" si="47"/>
        <v>0.8801755528225903</v>
      </c>
      <c r="H80" s="77">
        <f t="shared" si="47"/>
        <v>0.8801755528225903</v>
      </c>
      <c r="I80" s="77">
        <f t="shared" si="47"/>
        <v>0.8801755528225903</v>
      </c>
      <c r="J80" s="77">
        <f t="shared" si="47"/>
        <v>0.8801755528225903</v>
      </c>
      <c r="K80" s="77">
        <f t="shared" si="47"/>
        <v>0.8801755528225903</v>
      </c>
      <c r="L80" s="77">
        <f t="shared" si="47"/>
        <v>0.8801755528225903</v>
      </c>
      <c r="M80" s="77">
        <f t="shared" si="47"/>
        <v>0.8801755528225903</v>
      </c>
      <c r="N80" s="77">
        <f t="shared" si="47"/>
        <v>0.8801755528225903</v>
      </c>
      <c r="O80" s="77">
        <f>+N80</f>
        <v>0.8801755528225903</v>
      </c>
      <c r="P80" s="5"/>
    </row>
    <row r="81" spans="2:16" ht="18.600000000000001">
      <c r="B81" s="44" t="s">
        <v>381</v>
      </c>
      <c r="C81" s="78">
        <f>SUM(C76:C80)</f>
        <v>1999.9999999999998</v>
      </c>
      <c r="D81" s="79">
        <f t="shared" ref="D81:O81" si="48">SUM(D76:D80)</f>
        <v>166.66666666666666</v>
      </c>
      <c r="E81" s="79">
        <f t="shared" si="48"/>
        <v>166.66666666666666</v>
      </c>
      <c r="F81" s="79">
        <f t="shared" si="48"/>
        <v>166.66666666666666</v>
      </c>
      <c r="G81" s="79">
        <f t="shared" si="48"/>
        <v>166.66666666666666</v>
      </c>
      <c r="H81" s="79">
        <f t="shared" si="48"/>
        <v>166.66666666666666</v>
      </c>
      <c r="I81" s="79">
        <f t="shared" si="48"/>
        <v>166.66666666666666</v>
      </c>
      <c r="J81" s="79">
        <f t="shared" si="48"/>
        <v>166.66666666666666</v>
      </c>
      <c r="K81" s="79">
        <f t="shared" si="48"/>
        <v>166.66666666666666</v>
      </c>
      <c r="L81" s="79">
        <f t="shared" si="48"/>
        <v>166.66666666666666</v>
      </c>
      <c r="M81" s="79">
        <f t="shared" si="48"/>
        <v>166.66666666666666</v>
      </c>
      <c r="N81" s="79">
        <f t="shared" si="48"/>
        <v>166.66666666666666</v>
      </c>
      <c r="O81" s="79">
        <f t="shared" si="48"/>
        <v>166.66666666666666</v>
      </c>
      <c r="P81" s="5"/>
    </row>
    <row r="82" spans="2:16" ht="15.6">
      <c r="B82" s="70" t="s">
        <v>382</v>
      </c>
      <c r="C82" s="76">
        <f>SUM(D82:O82)</f>
        <v>800</v>
      </c>
      <c r="D82" s="77">
        <f>+D70*$D$58</f>
        <v>40</v>
      </c>
      <c r="E82" s="77">
        <f t="shared" ref="E82:O82" si="49">+E70*$D$58</f>
        <v>30</v>
      </c>
      <c r="F82" s="77">
        <f t="shared" si="49"/>
        <v>20</v>
      </c>
      <c r="G82" s="77">
        <f t="shared" si="49"/>
        <v>30</v>
      </c>
      <c r="H82" s="77">
        <f t="shared" si="49"/>
        <v>60</v>
      </c>
      <c r="I82" s="77">
        <f t="shared" si="49"/>
        <v>100</v>
      </c>
      <c r="J82" s="77">
        <f t="shared" si="49"/>
        <v>160</v>
      </c>
      <c r="K82" s="77">
        <f t="shared" si="49"/>
        <v>160</v>
      </c>
      <c r="L82" s="77">
        <f t="shared" si="49"/>
        <v>60</v>
      </c>
      <c r="M82" s="77">
        <f t="shared" si="49"/>
        <v>40</v>
      </c>
      <c r="N82" s="77">
        <f t="shared" si="49"/>
        <v>50</v>
      </c>
      <c r="O82" s="77">
        <f t="shared" si="49"/>
        <v>50</v>
      </c>
      <c r="P82" s="5"/>
    </row>
    <row r="83" spans="2:16" ht="15.6">
      <c r="B83" s="70" t="s">
        <v>383</v>
      </c>
      <c r="C83" s="76">
        <f t="shared" ref="C83:C86" si="50">SUM(D83:O83)</f>
        <v>720</v>
      </c>
      <c r="D83" s="77">
        <f>+D71*$E$58</f>
        <v>68</v>
      </c>
      <c r="E83" s="77">
        <f t="shared" ref="E83:O83" si="51">+E71*$E$58</f>
        <v>58</v>
      </c>
      <c r="F83" s="77">
        <f t="shared" si="51"/>
        <v>51</v>
      </c>
      <c r="G83" s="77">
        <f t="shared" si="51"/>
        <v>40</v>
      </c>
      <c r="H83" s="77">
        <f t="shared" si="51"/>
        <v>34</v>
      </c>
      <c r="I83" s="77">
        <f t="shared" si="51"/>
        <v>40</v>
      </c>
      <c r="J83" s="77">
        <f t="shared" si="51"/>
        <v>26</v>
      </c>
      <c r="K83" s="77">
        <f t="shared" si="51"/>
        <v>26</v>
      </c>
      <c r="L83" s="77">
        <f t="shared" si="51"/>
        <v>33</v>
      </c>
      <c r="M83" s="77">
        <f t="shared" si="51"/>
        <v>44</v>
      </c>
      <c r="N83" s="77">
        <f t="shared" si="51"/>
        <v>100</v>
      </c>
      <c r="O83" s="77">
        <f t="shared" si="51"/>
        <v>200</v>
      </c>
      <c r="P83" s="5"/>
    </row>
    <row r="84" spans="2:16" ht="15.6">
      <c r="B84" s="70" t="s">
        <v>384</v>
      </c>
      <c r="C84" s="76">
        <f t="shared" si="50"/>
        <v>1200</v>
      </c>
      <c r="D84" s="77">
        <f>+D72*$F$58</f>
        <v>110</v>
      </c>
      <c r="E84" s="77">
        <f t="shared" ref="E84:O84" si="52">+E72*$F$58</f>
        <v>110</v>
      </c>
      <c r="F84" s="77">
        <f t="shared" si="52"/>
        <v>120</v>
      </c>
      <c r="G84" s="77">
        <f t="shared" si="52"/>
        <v>110</v>
      </c>
      <c r="H84" s="77">
        <f t="shared" si="52"/>
        <v>140</v>
      </c>
      <c r="I84" s="77">
        <f t="shared" si="52"/>
        <v>120</v>
      </c>
      <c r="J84" s="77">
        <f t="shared" si="52"/>
        <v>140</v>
      </c>
      <c r="K84" s="77">
        <f t="shared" si="52"/>
        <v>100</v>
      </c>
      <c r="L84" s="77">
        <f t="shared" si="52"/>
        <v>70</v>
      </c>
      <c r="M84" s="77">
        <f t="shared" si="52"/>
        <v>40</v>
      </c>
      <c r="N84" s="77">
        <f t="shared" si="52"/>
        <v>60</v>
      </c>
      <c r="O84" s="77">
        <f t="shared" si="52"/>
        <v>80</v>
      </c>
      <c r="P84" s="5"/>
    </row>
    <row r="85" spans="2:16" ht="15.6">
      <c r="B85" s="70" t="s">
        <v>385</v>
      </c>
      <c r="C85" s="76">
        <f t="shared" si="50"/>
        <v>2250</v>
      </c>
      <c r="D85" s="77">
        <f>+D73*$G$58</f>
        <v>135</v>
      </c>
      <c r="E85" s="77">
        <f t="shared" ref="E85:O85" si="53">+E73*$G$58</f>
        <v>120</v>
      </c>
      <c r="F85" s="77">
        <f t="shared" si="53"/>
        <v>120</v>
      </c>
      <c r="G85" s="77">
        <f t="shared" si="53"/>
        <v>150</v>
      </c>
      <c r="H85" s="77">
        <f t="shared" si="53"/>
        <v>90</v>
      </c>
      <c r="I85" s="77">
        <f t="shared" si="53"/>
        <v>180</v>
      </c>
      <c r="J85" s="77">
        <f t="shared" si="53"/>
        <v>180</v>
      </c>
      <c r="K85" s="77">
        <f t="shared" si="53"/>
        <v>300</v>
      </c>
      <c r="L85" s="77">
        <f t="shared" si="53"/>
        <v>255</v>
      </c>
      <c r="M85" s="77">
        <f t="shared" si="53"/>
        <v>330</v>
      </c>
      <c r="N85" s="77">
        <f t="shared" si="53"/>
        <v>225</v>
      </c>
      <c r="O85" s="77">
        <f t="shared" si="53"/>
        <v>165</v>
      </c>
      <c r="P85" s="5"/>
    </row>
    <row r="86" spans="2:16" ht="15.6">
      <c r="B86" s="70" t="s">
        <v>386</v>
      </c>
      <c r="C86" s="76">
        <f t="shared" si="50"/>
        <v>1642.5</v>
      </c>
      <c r="D86" s="77">
        <f>+D74*$H$58</f>
        <v>90</v>
      </c>
      <c r="E86" s="77">
        <f t="shared" ref="E86:N86" si="54">+E74*$H$58</f>
        <v>67.5</v>
      </c>
      <c r="F86" s="77">
        <f t="shared" si="54"/>
        <v>90</v>
      </c>
      <c r="G86" s="77">
        <f t="shared" si="54"/>
        <v>112.5</v>
      </c>
      <c r="H86" s="77">
        <f t="shared" si="54"/>
        <v>135</v>
      </c>
      <c r="I86" s="77">
        <f t="shared" si="54"/>
        <v>180</v>
      </c>
      <c r="J86" s="77">
        <f t="shared" si="54"/>
        <v>225</v>
      </c>
      <c r="K86" s="77">
        <f t="shared" si="54"/>
        <v>315</v>
      </c>
      <c r="L86" s="77">
        <f t="shared" si="54"/>
        <v>112.5</v>
      </c>
      <c r="M86" s="77">
        <f t="shared" si="54"/>
        <v>90</v>
      </c>
      <c r="N86" s="77">
        <f t="shared" si="54"/>
        <v>90</v>
      </c>
      <c r="O86" s="77">
        <f>+O74*$H$58</f>
        <v>135</v>
      </c>
      <c r="P86" s="5"/>
    </row>
    <row r="87" spans="2:16" ht="18.600000000000001">
      <c r="B87" s="44" t="s">
        <v>387</v>
      </c>
      <c r="C87" s="78">
        <f>SUM(C82:C86)</f>
        <v>6612.5</v>
      </c>
      <c r="D87" s="79">
        <f>SUM(D82:D86)</f>
        <v>443</v>
      </c>
      <c r="E87" s="79">
        <f t="shared" ref="E87:O87" si="55">+(E82*E70)+(E83*E71)+(E84*E72)</f>
        <v>818200</v>
      </c>
      <c r="F87" s="79">
        <f t="shared" si="55"/>
        <v>870050</v>
      </c>
      <c r="G87" s="79">
        <f t="shared" si="55"/>
        <v>730000</v>
      </c>
      <c r="H87" s="79">
        <f t="shared" si="55"/>
        <v>1217800</v>
      </c>
      <c r="I87" s="79">
        <f t="shared" si="55"/>
        <v>1300000</v>
      </c>
      <c r="J87" s="79">
        <f t="shared" si="55"/>
        <v>2293800</v>
      </c>
      <c r="K87" s="79">
        <f t="shared" si="55"/>
        <v>1813800</v>
      </c>
      <c r="L87" s="79">
        <f t="shared" si="55"/>
        <v>479450</v>
      </c>
      <c r="M87" s="79">
        <f t="shared" si="55"/>
        <v>256800</v>
      </c>
      <c r="N87" s="79">
        <f t="shared" si="55"/>
        <v>805000</v>
      </c>
      <c r="O87" s="79">
        <f t="shared" si="55"/>
        <v>2445000</v>
      </c>
      <c r="P87" s="5"/>
    </row>
    <row r="88" spans="2:16" ht="15.6">
      <c r="B88" s="70" t="s">
        <v>388</v>
      </c>
      <c r="C88" s="76">
        <f>+C82+C76</f>
        <v>1378.7455689792375</v>
      </c>
      <c r="D88" s="77">
        <f>+D82+D76</f>
        <v>88.228797414936452</v>
      </c>
      <c r="E88" s="77">
        <f t="shared" ref="E88:O88" si="56">+E82+E76</f>
        <v>78.228797414936452</v>
      </c>
      <c r="F88" s="77">
        <f t="shared" si="56"/>
        <v>68.228797414936452</v>
      </c>
      <c r="G88" s="77">
        <f t="shared" si="56"/>
        <v>78.228797414936452</v>
      </c>
      <c r="H88" s="77">
        <f t="shared" si="56"/>
        <v>108.22879741493645</v>
      </c>
      <c r="I88" s="77">
        <f t="shared" si="56"/>
        <v>148.22879741493645</v>
      </c>
      <c r="J88" s="77">
        <f t="shared" si="56"/>
        <v>208.22879741493645</v>
      </c>
      <c r="K88" s="77">
        <f t="shared" si="56"/>
        <v>208.22879741493645</v>
      </c>
      <c r="L88" s="77">
        <f t="shared" si="56"/>
        <v>108.22879741493645</v>
      </c>
      <c r="M88" s="77">
        <f t="shared" si="56"/>
        <v>88.228797414936452</v>
      </c>
      <c r="N88" s="77">
        <f t="shared" si="56"/>
        <v>98.228797414936452</v>
      </c>
      <c r="O88" s="77">
        <f t="shared" si="56"/>
        <v>98.228797414936452</v>
      </c>
      <c r="P88" s="5"/>
    </row>
    <row r="89" spans="2:16" ht="15.6">
      <c r="B89" s="73" t="s">
        <v>389</v>
      </c>
      <c r="C89" s="76">
        <f>+C83+C77</f>
        <v>1240.8710120813139</v>
      </c>
      <c r="D89" s="77">
        <f t="shared" ref="D89:F89" si="57">+D83+D77</f>
        <v>111.40591767344281</v>
      </c>
      <c r="E89" s="77">
        <f t="shared" si="57"/>
        <v>101.40591767344281</v>
      </c>
      <c r="F89" s="77">
        <f t="shared" si="57"/>
        <v>94.405917673442815</v>
      </c>
      <c r="G89" s="77">
        <f>+G83+G77</f>
        <v>83.405917673442815</v>
      </c>
      <c r="H89" s="77">
        <f t="shared" ref="H89:O89" si="58">+H83+H77</f>
        <v>77.405917673442815</v>
      </c>
      <c r="I89" s="77">
        <f t="shared" si="58"/>
        <v>83.405917673442815</v>
      </c>
      <c r="J89" s="77">
        <f t="shared" si="58"/>
        <v>69.405917673442815</v>
      </c>
      <c r="K89" s="77">
        <f t="shared" si="58"/>
        <v>69.405917673442815</v>
      </c>
      <c r="L89" s="77">
        <f t="shared" si="58"/>
        <v>76.405917673442815</v>
      </c>
      <c r="M89" s="77">
        <f t="shared" si="58"/>
        <v>87.405917673442815</v>
      </c>
      <c r="N89" s="77">
        <f t="shared" si="58"/>
        <v>143.40591767344281</v>
      </c>
      <c r="O89" s="77">
        <f t="shared" si="58"/>
        <v>243.40591767344281</v>
      </c>
      <c r="P89" s="5"/>
    </row>
    <row r="90" spans="2:16" ht="15.6">
      <c r="B90" s="70" t="s">
        <v>390</v>
      </c>
      <c r="C90" s="76">
        <f t="shared" ref="C90:O92" si="59">+C84+C78</f>
        <v>2068.1183534688562</v>
      </c>
      <c r="D90" s="77">
        <f t="shared" si="59"/>
        <v>182.34319612240469</v>
      </c>
      <c r="E90" s="77">
        <f t="shared" si="59"/>
        <v>182.34319612240469</v>
      </c>
      <c r="F90" s="77">
        <f t="shared" si="59"/>
        <v>192.34319612240469</v>
      </c>
      <c r="G90" s="77">
        <f t="shared" si="59"/>
        <v>182.34319612240469</v>
      </c>
      <c r="H90" s="77">
        <f t="shared" si="59"/>
        <v>212.34319612240469</v>
      </c>
      <c r="I90" s="77">
        <f t="shared" si="59"/>
        <v>192.34319612240469</v>
      </c>
      <c r="J90" s="77">
        <f t="shared" si="59"/>
        <v>212.34319612240469</v>
      </c>
      <c r="K90" s="77">
        <f t="shared" si="59"/>
        <v>172.34319612240469</v>
      </c>
      <c r="L90" s="77">
        <f t="shared" si="59"/>
        <v>142.34319612240469</v>
      </c>
      <c r="M90" s="77">
        <f t="shared" si="59"/>
        <v>112.34319612240469</v>
      </c>
      <c r="N90" s="77">
        <f t="shared" si="59"/>
        <v>132.34319612240469</v>
      </c>
      <c r="O90" s="77">
        <f t="shared" si="59"/>
        <v>152.34319612240469</v>
      </c>
      <c r="P90" s="5"/>
    </row>
    <row r="91" spans="2:16" ht="15.6">
      <c r="B91" s="73" t="s">
        <v>391</v>
      </c>
      <c r="C91" s="76">
        <f t="shared" si="59"/>
        <v>2271.7029588367213</v>
      </c>
      <c r="D91" s="77">
        <f t="shared" si="59"/>
        <v>136.80857990306012</v>
      </c>
      <c r="E91" s="77">
        <f t="shared" si="59"/>
        <v>121.80857990306012</v>
      </c>
      <c r="F91" s="77">
        <f t="shared" si="59"/>
        <v>121.80857990306012</v>
      </c>
      <c r="G91" s="77">
        <f t="shared" si="59"/>
        <v>151.80857990306012</v>
      </c>
      <c r="H91" s="77">
        <f t="shared" si="59"/>
        <v>91.808579903060121</v>
      </c>
      <c r="I91" s="77">
        <f t="shared" si="59"/>
        <v>181.80857990306012</v>
      </c>
      <c r="J91" s="77">
        <f t="shared" si="59"/>
        <v>181.80857990306012</v>
      </c>
      <c r="K91" s="77">
        <f t="shared" si="59"/>
        <v>301.80857990306009</v>
      </c>
      <c r="L91" s="77">
        <f t="shared" si="59"/>
        <v>256.80857990306009</v>
      </c>
      <c r="M91" s="77">
        <f t="shared" si="59"/>
        <v>331.80857990306009</v>
      </c>
      <c r="N91" s="77">
        <f t="shared" si="59"/>
        <v>226.80857990306012</v>
      </c>
      <c r="O91" s="77">
        <f t="shared" si="59"/>
        <v>166.80857990306012</v>
      </c>
      <c r="P91" s="5"/>
    </row>
    <row r="92" spans="2:16" ht="15.6">
      <c r="B92" s="70" t="s">
        <v>392</v>
      </c>
      <c r="C92" s="76">
        <f t="shared" si="59"/>
        <v>1653.0621066338711</v>
      </c>
      <c r="D92" s="77">
        <f t="shared" si="59"/>
        <v>90.880175552822593</v>
      </c>
      <c r="E92" s="77">
        <f t="shared" si="59"/>
        <v>68.380175552822593</v>
      </c>
      <c r="F92" s="77">
        <f t="shared" si="59"/>
        <v>90.880175552822593</v>
      </c>
      <c r="G92" s="77">
        <f t="shared" si="59"/>
        <v>113.38017555282259</v>
      </c>
      <c r="H92" s="77">
        <f t="shared" si="59"/>
        <v>135.88017555282258</v>
      </c>
      <c r="I92" s="77">
        <f t="shared" si="59"/>
        <v>180.88017555282258</v>
      </c>
      <c r="J92" s="77">
        <f t="shared" si="59"/>
        <v>225.88017555282258</v>
      </c>
      <c r="K92" s="77">
        <f t="shared" si="59"/>
        <v>315.88017555282261</v>
      </c>
      <c r="L92" s="77">
        <f t="shared" si="59"/>
        <v>113.38017555282259</v>
      </c>
      <c r="M92" s="77">
        <f t="shared" si="59"/>
        <v>90.880175552822593</v>
      </c>
      <c r="N92" s="77">
        <f t="shared" si="59"/>
        <v>90.880175552822593</v>
      </c>
      <c r="O92" s="77">
        <f t="shared" si="59"/>
        <v>135.88017555282258</v>
      </c>
      <c r="P92" s="5"/>
    </row>
    <row r="93" spans="2:16" ht="18.600000000000001">
      <c r="B93" s="44" t="s">
        <v>393</v>
      </c>
      <c r="C93" s="78">
        <f>SUM(C88:C92)</f>
        <v>8612.5</v>
      </c>
      <c r="D93" s="79">
        <f t="shared" ref="D93:O93" si="60">SUM(D88:D92)</f>
        <v>609.66666666666674</v>
      </c>
      <c r="E93" s="79">
        <f t="shared" si="60"/>
        <v>552.16666666666674</v>
      </c>
      <c r="F93" s="79">
        <f t="shared" si="60"/>
        <v>567.66666666666674</v>
      </c>
      <c r="G93" s="79">
        <f t="shared" si="60"/>
        <v>609.16666666666674</v>
      </c>
      <c r="H93" s="79">
        <f t="shared" si="60"/>
        <v>625.66666666666674</v>
      </c>
      <c r="I93" s="79">
        <f t="shared" si="60"/>
        <v>786.66666666666674</v>
      </c>
      <c r="J93" s="79">
        <f t="shared" si="60"/>
        <v>897.66666666666674</v>
      </c>
      <c r="K93" s="79">
        <f t="shared" si="60"/>
        <v>1067.6666666666665</v>
      </c>
      <c r="L93" s="79">
        <f t="shared" si="60"/>
        <v>697.16666666666663</v>
      </c>
      <c r="M93" s="79">
        <f t="shared" si="60"/>
        <v>710.66666666666663</v>
      </c>
      <c r="N93" s="79">
        <f t="shared" si="60"/>
        <v>691.66666666666674</v>
      </c>
      <c r="O93" s="79">
        <f t="shared" si="60"/>
        <v>796.66666666666674</v>
      </c>
      <c r="P93" s="34" t="s">
        <v>394</v>
      </c>
    </row>
    <row r="94" spans="2:16">
      <c r="B94" s="236" t="s">
        <v>395</v>
      </c>
      <c r="C94" s="236"/>
      <c r="D94" s="110">
        <v>0.11</v>
      </c>
      <c r="E94" s="110">
        <v>0.1</v>
      </c>
      <c r="F94" s="110">
        <v>0.1</v>
      </c>
      <c r="G94" s="110">
        <v>0.12</v>
      </c>
      <c r="H94" s="110">
        <v>0.12</v>
      </c>
      <c r="I94" s="110">
        <v>0.13</v>
      </c>
      <c r="J94" s="110">
        <v>0.14000000000000001</v>
      </c>
      <c r="K94" s="110">
        <v>0.13</v>
      </c>
      <c r="L94" s="110">
        <v>0.12</v>
      </c>
      <c r="M94" s="110">
        <v>0.12</v>
      </c>
      <c r="N94" s="110">
        <v>0.09</v>
      </c>
      <c r="O94" s="110">
        <v>0.11</v>
      </c>
      <c r="P94" s="80">
        <f>+IFERROR(((D94*D70)+(E94*E70)+(F94*F70)+(G94*G70)+(H94*H70)+(I94*I70)+(J94*J70)+(K94*K70)+(L94*L70)+(M94*M70)+(N94*N70)+(O94*O70))/C70,0)</f>
        <v>0.123</v>
      </c>
    </row>
    <row r="95" spans="2:16">
      <c r="B95" s="235" t="s">
        <v>396</v>
      </c>
      <c r="C95" s="235"/>
      <c r="D95" s="101">
        <v>0.08</v>
      </c>
      <c r="E95" s="101">
        <v>7.0000000000000007E-2</v>
      </c>
      <c r="F95" s="101">
        <v>7.0000000000000007E-2</v>
      </c>
      <c r="G95" s="101">
        <v>0.08</v>
      </c>
      <c r="H95" s="101">
        <v>0.09</v>
      </c>
      <c r="I95" s="101">
        <v>0.08</v>
      </c>
      <c r="J95" s="101">
        <v>0.08</v>
      </c>
      <c r="K95" s="101">
        <v>0.09</v>
      </c>
      <c r="L95" s="101">
        <v>0.09</v>
      </c>
      <c r="M95" s="101">
        <v>0.08</v>
      </c>
      <c r="N95" s="101">
        <v>0.08</v>
      </c>
      <c r="O95" s="101">
        <v>0.09</v>
      </c>
      <c r="P95" s="80">
        <f t="shared" ref="P95:P97" si="61">+IFERROR(((D95*D71)+(E95*E71)+(F95*F71)+(G95*G71)+(H95*H71)+(I95*I71)+(J95*J71)+(K95*K71)+(L95*L71)+(M95*M71)+(N95*N71)+(O95*O71))/C71,0)</f>
        <v>8.2555555555555549E-2</v>
      </c>
    </row>
    <row r="96" spans="2:16">
      <c r="B96" s="236" t="s">
        <v>397</v>
      </c>
      <c r="C96" s="236"/>
      <c r="D96" s="110">
        <v>0.1</v>
      </c>
      <c r="E96" s="110">
        <v>0.1</v>
      </c>
      <c r="F96" s="110">
        <v>0.1</v>
      </c>
      <c r="G96" s="110">
        <v>0.09</v>
      </c>
      <c r="H96" s="110">
        <v>0.1</v>
      </c>
      <c r="I96" s="110">
        <v>0.11</v>
      </c>
      <c r="J96" s="110">
        <v>0.12</v>
      </c>
      <c r="K96" s="110">
        <v>0.1</v>
      </c>
      <c r="L96" s="110">
        <v>0.1</v>
      </c>
      <c r="M96" s="110">
        <v>0.13</v>
      </c>
      <c r="N96" s="110">
        <v>0.11</v>
      </c>
      <c r="O96" s="110">
        <v>0.12</v>
      </c>
      <c r="P96" s="80">
        <f t="shared" si="61"/>
        <v>0.10525</v>
      </c>
    </row>
    <row r="97" spans="2:16">
      <c r="B97" s="235" t="s">
        <v>398</v>
      </c>
      <c r="C97" s="235"/>
      <c r="D97" s="101">
        <v>5</v>
      </c>
      <c r="E97" s="101">
        <v>4.5</v>
      </c>
      <c r="F97" s="101">
        <v>4.5</v>
      </c>
      <c r="G97" s="101">
        <v>5</v>
      </c>
      <c r="H97" s="101">
        <v>5</v>
      </c>
      <c r="I97" s="101">
        <v>5.5</v>
      </c>
      <c r="J97" s="101">
        <v>6</v>
      </c>
      <c r="K97" s="101">
        <v>6</v>
      </c>
      <c r="L97" s="101">
        <v>5.5</v>
      </c>
      <c r="M97" s="101">
        <v>5</v>
      </c>
      <c r="N97" s="101">
        <v>4.5</v>
      </c>
      <c r="O97" s="101">
        <v>5.5</v>
      </c>
      <c r="P97" s="80">
        <f t="shared" si="61"/>
        <v>5.2433333333333332</v>
      </c>
    </row>
    <row r="98" spans="2:16">
      <c r="B98" s="236" t="s">
        <v>399</v>
      </c>
      <c r="C98" s="236"/>
      <c r="D98" s="110">
        <v>10</v>
      </c>
      <c r="E98" s="110">
        <v>9</v>
      </c>
      <c r="F98" s="110">
        <v>9</v>
      </c>
      <c r="G98" s="110">
        <v>10</v>
      </c>
      <c r="H98" s="110">
        <v>10</v>
      </c>
      <c r="I98" s="110">
        <v>11</v>
      </c>
      <c r="J98" s="110">
        <v>12</v>
      </c>
      <c r="K98" s="110">
        <v>12</v>
      </c>
      <c r="L98" s="110">
        <v>11</v>
      </c>
      <c r="M98" s="110">
        <v>10</v>
      </c>
      <c r="N98" s="110">
        <v>9</v>
      </c>
      <c r="O98" s="110">
        <v>11</v>
      </c>
      <c r="P98" s="80">
        <f>+IFERROR(((D98*D74)+(E98*E74)+(F98*F74)+(G98*G74)+(H98*H74)+(I98*I74)+(J98*J74)+(K98*K74)+(L98*L74)+(M98*M74)+(N98*N74)+(O98*O74))/C74,0)</f>
        <v>10.767123287671232</v>
      </c>
    </row>
    <row r="99" spans="2:16" ht="18.600000000000001">
      <c r="B99" s="44" t="s">
        <v>400</v>
      </c>
      <c r="C99" s="78">
        <f>SUM(D99:O99)</f>
        <v>29932</v>
      </c>
      <c r="D99" s="79">
        <f t="shared" ref="D99" si="62">+(D94*D70)+(D95*D71)+(D96*D72)+(D97*D73)+(D98*D74)</f>
        <v>1892</v>
      </c>
      <c r="E99" s="79">
        <f>+(E94*E70)+(E95*E71)+(E96*E72)+(E97*E73)+(E98*E74)</f>
        <v>1533</v>
      </c>
      <c r="F99" s="79">
        <f t="shared" ref="F99:H99" si="63">+(F94*F70)+(F95*F71)+(F96*F72)+(F97*F73)+(F98*F74)</f>
        <v>1598.5</v>
      </c>
      <c r="G99" s="79">
        <f t="shared" si="63"/>
        <v>1835</v>
      </c>
      <c r="H99" s="79">
        <f t="shared" si="63"/>
        <v>2113</v>
      </c>
      <c r="I99" s="79">
        <f>+(I94*I70)+(I95*I71)+(I96*I72)+(I97*I73)+(I98*I74)</f>
        <v>3010</v>
      </c>
      <c r="J99" s="79">
        <f t="shared" ref="J99:O99" si="64">+(J94*J70)+(J95*J71)+(J96*J72)+(J97*J73)+(J98*J74)</f>
        <v>3984</v>
      </c>
      <c r="K99" s="79">
        <f t="shared" si="64"/>
        <v>4537</v>
      </c>
      <c r="L99" s="79">
        <f t="shared" si="64"/>
        <v>2343.5</v>
      </c>
      <c r="M99" s="79">
        <f t="shared" si="64"/>
        <v>2176</v>
      </c>
      <c r="N99" s="79">
        <f t="shared" si="64"/>
        <v>1990</v>
      </c>
      <c r="O99" s="79">
        <f t="shared" si="64"/>
        <v>2920</v>
      </c>
      <c r="P99" s="5"/>
    </row>
    <row r="100" spans="2:16" ht="21">
      <c r="B100" s="33" t="s">
        <v>366</v>
      </c>
      <c r="C100" s="159">
        <f>+C99-C93</f>
        <v>21319.5</v>
      </c>
      <c r="D100" s="160">
        <f>+D99-D93</f>
        <v>1282.3333333333333</v>
      </c>
      <c r="E100" s="160">
        <f t="shared" ref="E100:O100" si="65">+E99-E93</f>
        <v>980.83333333333326</v>
      </c>
      <c r="F100" s="160">
        <f t="shared" si="65"/>
        <v>1030.8333333333333</v>
      </c>
      <c r="G100" s="160">
        <f t="shared" si="65"/>
        <v>1225.8333333333333</v>
      </c>
      <c r="H100" s="160">
        <f t="shared" si="65"/>
        <v>1487.3333333333333</v>
      </c>
      <c r="I100" s="160">
        <f t="shared" si="65"/>
        <v>2223.333333333333</v>
      </c>
      <c r="J100" s="160">
        <f t="shared" si="65"/>
        <v>3086.333333333333</v>
      </c>
      <c r="K100" s="160">
        <f t="shared" si="65"/>
        <v>3469.3333333333335</v>
      </c>
      <c r="L100" s="160">
        <f t="shared" si="65"/>
        <v>1646.3333333333335</v>
      </c>
      <c r="M100" s="160">
        <f t="shared" si="65"/>
        <v>1465.3333333333335</v>
      </c>
      <c r="N100" s="160">
        <f t="shared" si="65"/>
        <v>1298.3333333333333</v>
      </c>
      <c r="O100" s="160">
        <f t="shared" si="65"/>
        <v>2123.333333333333</v>
      </c>
      <c r="P100" s="5"/>
    </row>
    <row r="102" spans="2:16" ht="21">
      <c r="B102" s="230" t="s">
        <v>348</v>
      </c>
      <c r="C102" s="230" t="str">
        <f>+C52</f>
        <v>SecondNote</v>
      </c>
      <c r="D102" s="230"/>
      <c r="E102" s="230"/>
      <c r="F102" s="230"/>
      <c r="G102" s="230"/>
      <c r="H102" s="230"/>
      <c r="I102" s="5"/>
      <c r="J102" s="5"/>
      <c r="K102" s="5"/>
      <c r="L102" s="5"/>
      <c r="M102" s="5"/>
      <c r="N102" s="5"/>
      <c r="O102" s="5"/>
      <c r="P102" s="5"/>
    </row>
    <row r="103" spans="2:16" ht="21">
      <c r="B103" s="230"/>
      <c r="C103" s="230" t="s">
        <v>349</v>
      </c>
      <c r="D103" s="230" t="s">
        <v>350</v>
      </c>
      <c r="E103" s="230"/>
      <c r="F103" s="230"/>
      <c r="G103" s="230"/>
      <c r="H103" s="230"/>
      <c r="I103" s="5"/>
      <c r="J103" s="5"/>
      <c r="K103" s="5"/>
      <c r="L103" s="5"/>
      <c r="M103" s="5"/>
      <c r="N103" s="5"/>
      <c r="O103" s="5"/>
      <c r="P103" s="5"/>
    </row>
    <row r="104" spans="2:16" ht="21">
      <c r="B104" s="32">
        <f>+B54+1</f>
        <v>2026</v>
      </c>
      <c r="C104" s="230"/>
      <c r="D104" s="32" t="s">
        <v>351</v>
      </c>
      <c r="E104" s="32" t="s">
        <v>352</v>
      </c>
      <c r="F104" s="32" t="s">
        <v>353</v>
      </c>
      <c r="G104" s="32" t="s">
        <v>354</v>
      </c>
      <c r="H104" s="32" t="s">
        <v>355</v>
      </c>
      <c r="I104" s="5"/>
      <c r="J104" s="5"/>
      <c r="K104" s="5"/>
      <c r="L104" s="5"/>
      <c r="M104" s="5"/>
      <c r="N104" s="5"/>
      <c r="O104" s="5"/>
      <c r="P104" s="5"/>
    </row>
    <row r="105" spans="2:16" ht="26.25" customHeight="1">
      <c r="B105" s="128" t="s">
        <v>356</v>
      </c>
      <c r="C105" s="53">
        <f>+SUM(D105:H105)</f>
        <v>264400</v>
      </c>
      <c r="D105" s="115">
        <v>80000</v>
      </c>
      <c r="E105" s="115">
        <v>70000</v>
      </c>
      <c r="F105" s="115">
        <v>110000</v>
      </c>
      <c r="G105" s="115">
        <v>3000</v>
      </c>
      <c r="H105" s="115">
        <v>1400</v>
      </c>
      <c r="I105" s="54"/>
      <c r="J105" s="5"/>
      <c r="K105" s="5"/>
      <c r="L105" s="5"/>
      <c r="M105" s="5"/>
      <c r="N105" s="5"/>
      <c r="O105" s="5"/>
      <c r="P105" s="5"/>
    </row>
    <row r="106" spans="2:16" ht="26.25" customHeight="1">
      <c r="B106" s="129" t="s">
        <v>357</v>
      </c>
      <c r="C106" s="55">
        <f>+IFERROR(+SUM(D106:H106),0)</f>
        <v>1</v>
      </c>
      <c r="D106" s="56">
        <f>+IFERROR(D105/$C$105,0)</f>
        <v>0.30257186081694404</v>
      </c>
      <c r="E106" s="56">
        <f t="shared" ref="E106:H106" si="66">+IFERROR(E105/$C$105,0)</f>
        <v>0.264750378214826</v>
      </c>
      <c r="F106" s="56">
        <f t="shared" si="66"/>
        <v>0.41603630862329805</v>
      </c>
      <c r="G106" s="56">
        <f t="shared" si="66"/>
        <v>1.1346444780635401E-2</v>
      </c>
      <c r="H106" s="56">
        <f t="shared" si="66"/>
        <v>5.2950075642965201E-3</v>
      </c>
      <c r="I106" s="54"/>
      <c r="J106" s="5"/>
      <c r="K106" s="5"/>
      <c r="L106" s="5"/>
      <c r="M106" s="5"/>
      <c r="N106" s="5"/>
      <c r="O106" s="5"/>
      <c r="P106" s="5"/>
    </row>
    <row r="107" spans="2:16">
      <c r="B107" s="57" t="s">
        <v>358</v>
      </c>
      <c r="C107" s="107">
        <v>2000</v>
      </c>
      <c r="D107" s="58">
        <f>+IFERROR(($C$107*D105)/$C$105,0)</f>
        <v>605.14372163388805</v>
      </c>
      <c r="E107" s="58">
        <f t="shared" ref="E107:H107" si="67">+IFERROR(($C$107*E105)/$C$105,0)</f>
        <v>529.50075642965203</v>
      </c>
      <c r="F107" s="58">
        <f t="shared" si="67"/>
        <v>832.07261724659611</v>
      </c>
      <c r="G107" s="58">
        <f t="shared" si="67"/>
        <v>22.692889561270803</v>
      </c>
      <c r="H107" s="58">
        <f t="shared" si="67"/>
        <v>10.590015128593041</v>
      </c>
      <c r="I107" s="54"/>
      <c r="J107" s="5"/>
      <c r="K107" s="5"/>
      <c r="L107" s="5"/>
      <c r="M107" s="5"/>
      <c r="N107" s="5"/>
      <c r="O107" s="5"/>
      <c r="P107" s="5"/>
    </row>
    <row r="108" spans="2:16">
      <c r="B108" s="233" t="s">
        <v>359</v>
      </c>
      <c r="C108" s="233"/>
      <c r="D108" s="108">
        <v>0.02</v>
      </c>
      <c r="E108" s="108">
        <v>0.01</v>
      </c>
      <c r="F108" s="108">
        <v>0.02</v>
      </c>
      <c r="G108" s="108">
        <v>1.5</v>
      </c>
      <c r="H108" s="108">
        <v>2.25</v>
      </c>
      <c r="I108" s="54"/>
      <c r="J108" s="5"/>
      <c r="K108" s="5"/>
      <c r="L108" s="5"/>
      <c r="M108" s="5"/>
      <c r="N108" s="5"/>
      <c r="O108" s="5"/>
      <c r="P108" s="5"/>
    </row>
    <row r="109" spans="2:16">
      <c r="B109" s="232" t="s">
        <v>360</v>
      </c>
      <c r="C109" s="232"/>
      <c r="D109" s="108">
        <v>0.14000000000000001</v>
      </c>
      <c r="E109" s="108">
        <v>0.08</v>
      </c>
      <c r="F109" s="108">
        <v>0.11</v>
      </c>
      <c r="G109" s="108">
        <v>5.41</v>
      </c>
      <c r="H109" s="108">
        <v>11.02</v>
      </c>
      <c r="I109" s="5"/>
      <c r="J109" s="5"/>
      <c r="K109" s="5"/>
      <c r="L109" s="5"/>
      <c r="M109" s="5"/>
      <c r="N109" s="5"/>
      <c r="O109" s="5"/>
      <c r="P109" s="5"/>
    </row>
    <row r="110" spans="2:16" ht="18.600000000000001">
      <c r="B110" s="59" t="s">
        <v>361</v>
      </c>
      <c r="C110" s="116">
        <f>+IFERROR(C107/((D106*(D109-D108))+(E106*(E109-E108))+(F106*(F109-F108))+(G106*(G109-G108))+(H106*(H109-H108))),0)</f>
        <v>10923.814245579242</v>
      </c>
      <c r="D110" s="117">
        <f>+IFERROR($C$110*D106,0)</f>
        <v>3305.2388035035528</v>
      </c>
      <c r="E110" s="117">
        <f t="shared" ref="E110:G110" si="68">+IFERROR($C$110*E106,0)</f>
        <v>2892.0839530656085</v>
      </c>
      <c r="F110" s="117">
        <f t="shared" si="68"/>
        <v>4544.7033548173849</v>
      </c>
      <c r="G110" s="117">
        <f t="shared" si="68"/>
        <v>123.94645513138323</v>
      </c>
      <c r="H110" s="117">
        <f>+IFERROR($C$110*H106,0)</f>
        <v>57.841679061312171</v>
      </c>
      <c r="I110" s="60"/>
      <c r="J110" s="5"/>
      <c r="K110" s="61"/>
      <c r="L110" s="61"/>
      <c r="M110" s="61"/>
      <c r="N110" s="61"/>
      <c r="O110" s="61"/>
      <c r="P110" s="61"/>
    </row>
    <row r="111" spans="2:16" ht="18.600000000000001">
      <c r="B111" s="62" t="s">
        <v>362</v>
      </c>
      <c r="C111" s="63">
        <f>+SUM(D111:H111)</f>
        <v>2501.983143282102</v>
      </c>
      <c r="D111" s="64">
        <f>+D110*D109</f>
        <v>462.73343249049742</v>
      </c>
      <c r="E111" s="64">
        <f t="shared" ref="E111" si="69">+E110*E109</f>
        <v>231.36671624524868</v>
      </c>
      <c r="F111" s="64">
        <f t="shared" ref="F111" si="70">+F110*F109</f>
        <v>499.91736902991232</v>
      </c>
      <c r="G111" s="64">
        <f t="shared" ref="G111" si="71">+G110*G109</f>
        <v>670.55032226078333</v>
      </c>
      <c r="H111" s="64">
        <f>+H110*H109</f>
        <v>637.41530325566009</v>
      </c>
      <c r="I111" s="65"/>
      <c r="J111" s="5"/>
      <c r="K111" s="61"/>
      <c r="L111" s="61"/>
      <c r="M111" s="61"/>
      <c r="N111" s="61"/>
      <c r="O111" s="61"/>
      <c r="P111" s="61"/>
    </row>
    <row r="112" spans="2:16" ht="15.6">
      <c r="B112" s="234" t="s">
        <v>363</v>
      </c>
      <c r="C112" s="234"/>
      <c r="D112" s="234"/>
      <c r="E112" s="234"/>
      <c r="F112" s="234"/>
      <c r="G112" s="234"/>
      <c r="H112" s="234"/>
      <c r="I112" s="65"/>
      <c r="J112" s="5"/>
      <c r="K112" s="61"/>
      <c r="L112" s="61"/>
      <c r="M112" s="61"/>
      <c r="N112" s="61"/>
      <c r="O112" s="61"/>
      <c r="P112" s="61"/>
    </row>
    <row r="113" spans="2:16" ht="18.600000000000001">
      <c r="B113" s="66" t="s">
        <v>364</v>
      </c>
      <c r="C113" s="63">
        <f>+SUM(D113:H113)</f>
        <v>14150</v>
      </c>
      <c r="D113" s="64">
        <f>+D107+(D108*D105)</f>
        <v>2205.1437216338882</v>
      </c>
      <c r="E113" s="64">
        <f t="shared" ref="E113:H113" si="72">+E107+(E108*E105)</f>
        <v>1229.500756429652</v>
      </c>
      <c r="F113" s="64">
        <f t="shared" si="72"/>
        <v>3032.0726172465961</v>
      </c>
      <c r="G113" s="64">
        <f t="shared" si="72"/>
        <v>4522.6928895612709</v>
      </c>
      <c r="H113" s="64">
        <f t="shared" si="72"/>
        <v>3160.5900151285932</v>
      </c>
      <c r="I113" s="65"/>
      <c r="J113" s="5"/>
      <c r="K113" s="61"/>
      <c r="L113" s="61"/>
      <c r="M113" s="61"/>
      <c r="N113" s="61"/>
      <c r="O113" s="61"/>
      <c r="P113" s="61"/>
    </row>
    <row r="114" spans="2:16" ht="18.600000000000001">
      <c r="B114" s="67" t="s">
        <v>365</v>
      </c>
      <c r="C114" s="63">
        <f>+SUM(D114:H114)</f>
        <v>60558</v>
      </c>
      <c r="D114" s="64">
        <f>+D109*D105</f>
        <v>11200.000000000002</v>
      </c>
      <c r="E114" s="64">
        <f t="shared" ref="E114:H114" si="73">+E109*E105</f>
        <v>5600</v>
      </c>
      <c r="F114" s="64">
        <f t="shared" si="73"/>
        <v>12100</v>
      </c>
      <c r="G114" s="64">
        <f t="shared" si="73"/>
        <v>16230</v>
      </c>
      <c r="H114" s="64">
        <f t="shared" si="73"/>
        <v>15428</v>
      </c>
      <c r="I114" s="60"/>
      <c r="J114" s="5"/>
      <c r="K114" s="61"/>
      <c r="L114" s="61"/>
      <c r="M114" s="61"/>
      <c r="N114" s="61"/>
      <c r="O114" s="61"/>
      <c r="P114" s="61"/>
    </row>
    <row r="115" spans="2:16" ht="18.600000000000001">
      <c r="B115" s="68" t="s">
        <v>366</v>
      </c>
      <c r="C115" s="156">
        <f>+SUM(D115:H115)</f>
        <v>46408</v>
      </c>
      <c r="D115" s="157">
        <f>+D114-D113</f>
        <v>8994.8562783661146</v>
      </c>
      <c r="E115" s="157">
        <f t="shared" ref="E115:H115" si="74">+E114-E113</f>
        <v>4370.499243570348</v>
      </c>
      <c r="F115" s="157">
        <f t="shared" si="74"/>
        <v>9067.9273827534034</v>
      </c>
      <c r="G115" s="157">
        <f t="shared" si="74"/>
        <v>11707.307110438729</v>
      </c>
      <c r="H115" s="157">
        <f t="shared" si="74"/>
        <v>12267.409984871407</v>
      </c>
      <c r="I115" s="60"/>
      <c r="J115" s="5"/>
      <c r="K115" s="61"/>
      <c r="L115" s="61"/>
      <c r="M115" s="61"/>
      <c r="N115" s="61"/>
      <c r="O115" s="61"/>
      <c r="P115" s="61"/>
    </row>
    <row r="116" spans="2:16">
      <c r="B116" s="5"/>
      <c r="C116" s="5"/>
      <c r="D116" s="5"/>
      <c r="E116" s="5"/>
      <c r="F116" s="5"/>
      <c r="G116" s="5"/>
      <c r="H116" s="5"/>
      <c r="I116" s="5"/>
      <c r="J116" s="5"/>
      <c r="K116" s="5"/>
      <c r="L116" s="5"/>
      <c r="M116" s="5"/>
      <c r="N116" s="5"/>
      <c r="O116" s="5"/>
      <c r="P116" s="5"/>
    </row>
    <row r="117" spans="2:16" ht="21">
      <c r="B117" s="223" t="s">
        <v>367</v>
      </c>
      <c r="C117" s="230" t="str">
        <f>+C102</f>
        <v>SecondNote</v>
      </c>
      <c r="D117" s="230"/>
      <c r="E117" s="230"/>
      <c r="F117" s="230"/>
      <c r="G117" s="230"/>
      <c r="H117" s="230"/>
      <c r="I117" s="230"/>
      <c r="J117" s="230"/>
      <c r="K117" s="230"/>
      <c r="L117" s="230"/>
      <c r="M117" s="230"/>
      <c r="N117" s="230"/>
      <c r="O117" s="230"/>
      <c r="P117" s="223" t="s">
        <v>368</v>
      </c>
    </row>
    <row r="118" spans="2:16" ht="21">
      <c r="B118" s="223"/>
      <c r="C118" s="27"/>
      <c r="D118" s="27"/>
      <c r="E118" s="27"/>
      <c r="F118" s="27"/>
      <c r="G118" s="201" t="s">
        <v>369</v>
      </c>
      <c r="H118" s="201"/>
      <c r="I118" s="201"/>
      <c r="J118" s="201"/>
      <c r="K118" s="49">
        <f>+B119</f>
        <v>2026</v>
      </c>
      <c r="L118" s="27"/>
      <c r="M118" s="27"/>
      <c r="N118" s="27"/>
      <c r="O118" s="27"/>
      <c r="P118" s="223"/>
    </row>
    <row r="119" spans="2:16" ht="21">
      <c r="B119" s="69">
        <f>+B104</f>
        <v>2026</v>
      </c>
      <c r="C119" s="32" t="s">
        <v>309</v>
      </c>
      <c r="D119" s="34" t="s">
        <v>310</v>
      </c>
      <c r="E119" s="34" t="s">
        <v>311</v>
      </c>
      <c r="F119" s="34" t="s">
        <v>312</v>
      </c>
      <c r="G119" s="34" t="s">
        <v>313</v>
      </c>
      <c r="H119" s="34" t="s">
        <v>314</v>
      </c>
      <c r="I119" s="34" t="s">
        <v>315</v>
      </c>
      <c r="J119" s="34" t="s">
        <v>316</v>
      </c>
      <c r="K119" s="34" t="s">
        <v>317</v>
      </c>
      <c r="L119" s="34" t="s">
        <v>318</v>
      </c>
      <c r="M119" s="34" t="s">
        <v>319</v>
      </c>
      <c r="N119" s="34" t="s">
        <v>320</v>
      </c>
      <c r="O119" s="34" t="s">
        <v>321</v>
      </c>
      <c r="P119" s="223"/>
    </row>
    <row r="120" spans="2:16" ht="15.6">
      <c r="B120" s="70" t="s">
        <v>370</v>
      </c>
      <c r="C120" s="71">
        <f>+D105</f>
        <v>80000</v>
      </c>
      <c r="D120" s="109">
        <v>4500</v>
      </c>
      <c r="E120" s="109">
        <v>4500</v>
      </c>
      <c r="F120" s="109">
        <v>4500</v>
      </c>
      <c r="G120" s="109">
        <v>4500</v>
      </c>
      <c r="H120" s="109">
        <v>4500</v>
      </c>
      <c r="I120" s="109">
        <v>11500</v>
      </c>
      <c r="J120" s="109">
        <v>10500</v>
      </c>
      <c r="K120" s="109">
        <v>14000</v>
      </c>
      <c r="L120" s="109">
        <v>6500</v>
      </c>
      <c r="M120" s="109">
        <v>4500</v>
      </c>
      <c r="N120" s="109">
        <v>4500</v>
      </c>
      <c r="O120" s="109">
        <v>6000</v>
      </c>
      <c r="P120" s="72">
        <f>+C120-(SUM(D120:O120))</f>
        <v>0</v>
      </c>
    </row>
    <row r="121" spans="2:16" ht="15.6">
      <c r="B121" s="73" t="s">
        <v>371</v>
      </c>
      <c r="C121" s="71">
        <f>+E105</f>
        <v>70000</v>
      </c>
      <c r="D121" s="109">
        <v>5650</v>
      </c>
      <c r="E121" s="109">
        <v>4650</v>
      </c>
      <c r="F121" s="109">
        <v>4250</v>
      </c>
      <c r="G121" s="109">
        <v>3950</v>
      </c>
      <c r="H121" s="109">
        <v>3850</v>
      </c>
      <c r="I121" s="109">
        <v>3750</v>
      </c>
      <c r="J121" s="109">
        <v>3750</v>
      </c>
      <c r="K121" s="109">
        <v>3750</v>
      </c>
      <c r="L121" s="109">
        <v>4750</v>
      </c>
      <c r="M121" s="109">
        <v>7950</v>
      </c>
      <c r="N121" s="109">
        <v>10950</v>
      </c>
      <c r="O121" s="109">
        <v>12750</v>
      </c>
      <c r="P121" s="72">
        <f t="shared" ref="P121:P124" si="75">+C121-(SUM(D121:O121))</f>
        <v>0</v>
      </c>
    </row>
    <row r="122" spans="2:16" ht="15.6">
      <c r="B122" s="70" t="s">
        <v>372</v>
      </c>
      <c r="C122" s="71">
        <f>+F105</f>
        <v>110000</v>
      </c>
      <c r="D122" s="109">
        <v>7250</v>
      </c>
      <c r="E122" s="109">
        <v>8850</v>
      </c>
      <c r="F122" s="109">
        <v>13250</v>
      </c>
      <c r="G122" s="109">
        <v>18250</v>
      </c>
      <c r="H122" s="109">
        <v>14250</v>
      </c>
      <c r="I122" s="109">
        <v>11250</v>
      </c>
      <c r="J122" s="109">
        <v>9250</v>
      </c>
      <c r="K122" s="109">
        <v>7250</v>
      </c>
      <c r="L122" s="109">
        <v>5250</v>
      </c>
      <c r="M122" s="109">
        <v>4750</v>
      </c>
      <c r="N122" s="109">
        <v>5550</v>
      </c>
      <c r="O122" s="109">
        <v>4850</v>
      </c>
      <c r="P122" s="72">
        <f t="shared" si="75"/>
        <v>0</v>
      </c>
    </row>
    <row r="123" spans="2:16" ht="15.6">
      <c r="B123" s="73" t="s">
        <v>373</v>
      </c>
      <c r="C123" s="71">
        <f>+G105</f>
        <v>3000</v>
      </c>
      <c r="D123" s="109">
        <v>195</v>
      </c>
      <c r="E123" s="109">
        <v>215</v>
      </c>
      <c r="F123" s="109">
        <v>255</v>
      </c>
      <c r="G123" s="109">
        <v>235</v>
      </c>
      <c r="H123" s="109">
        <v>225</v>
      </c>
      <c r="I123" s="109">
        <v>165</v>
      </c>
      <c r="J123" s="109">
        <v>195</v>
      </c>
      <c r="K123" s="109">
        <v>275</v>
      </c>
      <c r="L123" s="109">
        <v>295</v>
      </c>
      <c r="M123" s="109">
        <v>345</v>
      </c>
      <c r="N123" s="109">
        <v>285</v>
      </c>
      <c r="O123" s="109">
        <v>315</v>
      </c>
      <c r="P123" s="72">
        <f t="shared" si="75"/>
        <v>0</v>
      </c>
    </row>
    <row r="124" spans="2:16" ht="15.6">
      <c r="B124" s="70" t="s">
        <v>374</v>
      </c>
      <c r="C124" s="71">
        <f>+H105</f>
        <v>1400</v>
      </c>
      <c r="D124" s="109">
        <v>105</v>
      </c>
      <c r="E124" s="109">
        <v>85</v>
      </c>
      <c r="F124" s="109">
        <v>125</v>
      </c>
      <c r="G124" s="109">
        <v>95</v>
      </c>
      <c r="H124" s="109">
        <v>95</v>
      </c>
      <c r="I124" s="109">
        <v>115</v>
      </c>
      <c r="J124" s="109">
        <v>145</v>
      </c>
      <c r="K124" s="109">
        <v>195</v>
      </c>
      <c r="L124" s="109">
        <v>135</v>
      </c>
      <c r="M124" s="109">
        <v>85</v>
      </c>
      <c r="N124" s="109">
        <v>95</v>
      </c>
      <c r="O124" s="109">
        <v>125</v>
      </c>
      <c r="P124" s="72">
        <f t="shared" si="75"/>
        <v>0</v>
      </c>
    </row>
    <row r="125" spans="2:16" ht="18.600000000000001">
      <c r="B125" s="44" t="s">
        <v>375</v>
      </c>
      <c r="C125" s="74">
        <f>SUM(C120:C124)</f>
        <v>264400</v>
      </c>
      <c r="D125" s="75">
        <f t="shared" ref="D125" si="76">SUM(D120:D124)</f>
        <v>17700</v>
      </c>
      <c r="E125" s="75">
        <f>SUM(E120:E124)</f>
        <v>18300</v>
      </c>
      <c r="F125" s="75">
        <f t="shared" ref="F125" si="77">SUM(F120:F124)</f>
        <v>22380</v>
      </c>
      <c r="G125" s="75">
        <f>SUM(G120:G124)</f>
        <v>27030</v>
      </c>
      <c r="H125" s="75">
        <f t="shared" ref="H125:O125" si="78">SUM(H120:H124)</f>
        <v>22920</v>
      </c>
      <c r="I125" s="75">
        <f t="shared" si="78"/>
        <v>26780</v>
      </c>
      <c r="J125" s="75">
        <f t="shared" si="78"/>
        <v>23840</v>
      </c>
      <c r="K125" s="75">
        <f t="shared" si="78"/>
        <v>25470</v>
      </c>
      <c r="L125" s="75">
        <f t="shared" si="78"/>
        <v>16930</v>
      </c>
      <c r="M125" s="75">
        <f t="shared" si="78"/>
        <v>17630</v>
      </c>
      <c r="N125" s="75">
        <f t="shared" si="78"/>
        <v>21380</v>
      </c>
      <c r="O125" s="75">
        <f t="shared" si="78"/>
        <v>24040</v>
      </c>
      <c r="P125" s="5"/>
    </row>
    <row r="126" spans="2:16" ht="15.6">
      <c r="B126" s="70" t="s">
        <v>376</v>
      </c>
      <c r="C126" s="76">
        <f>+D107</f>
        <v>605.14372163388805</v>
      </c>
      <c r="D126" s="77">
        <f>+C126/12</f>
        <v>50.428643469490673</v>
      </c>
      <c r="E126" s="77">
        <f>+D126</f>
        <v>50.428643469490673</v>
      </c>
      <c r="F126" s="77">
        <f t="shared" ref="F126:O126" si="79">+E126</f>
        <v>50.428643469490673</v>
      </c>
      <c r="G126" s="77">
        <f t="shared" si="79"/>
        <v>50.428643469490673</v>
      </c>
      <c r="H126" s="77">
        <f t="shared" si="79"/>
        <v>50.428643469490673</v>
      </c>
      <c r="I126" s="77">
        <f t="shared" si="79"/>
        <v>50.428643469490673</v>
      </c>
      <c r="J126" s="77">
        <f t="shared" si="79"/>
        <v>50.428643469490673</v>
      </c>
      <c r="K126" s="77">
        <f t="shared" si="79"/>
        <v>50.428643469490673</v>
      </c>
      <c r="L126" s="77">
        <f t="shared" si="79"/>
        <v>50.428643469490673</v>
      </c>
      <c r="M126" s="77">
        <f t="shared" si="79"/>
        <v>50.428643469490673</v>
      </c>
      <c r="N126" s="77">
        <f t="shared" si="79"/>
        <v>50.428643469490673</v>
      </c>
      <c r="O126" s="77">
        <f t="shared" si="79"/>
        <v>50.428643469490673</v>
      </c>
      <c r="P126" s="5"/>
    </row>
    <row r="127" spans="2:16" ht="15.6">
      <c r="B127" s="73" t="s">
        <v>377</v>
      </c>
      <c r="C127" s="76">
        <f>+E107</f>
        <v>529.50075642965203</v>
      </c>
      <c r="D127" s="77">
        <f>+C127/12</f>
        <v>44.125063035804338</v>
      </c>
      <c r="E127" s="77">
        <f>+D127</f>
        <v>44.125063035804338</v>
      </c>
      <c r="F127" s="77">
        <f t="shared" ref="F127:O127" si="80">+E127</f>
        <v>44.125063035804338</v>
      </c>
      <c r="G127" s="77">
        <f t="shared" si="80"/>
        <v>44.125063035804338</v>
      </c>
      <c r="H127" s="77">
        <f t="shared" si="80"/>
        <v>44.125063035804338</v>
      </c>
      <c r="I127" s="77">
        <f t="shared" si="80"/>
        <v>44.125063035804338</v>
      </c>
      <c r="J127" s="77">
        <f t="shared" si="80"/>
        <v>44.125063035804338</v>
      </c>
      <c r="K127" s="77">
        <f t="shared" si="80"/>
        <v>44.125063035804338</v>
      </c>
      <c r="L127" s="77">
        <f t="shared" si="80"/>
        <v>44.125063035804338</v>
      </c>
      <c r="M127" s="77">
        <f t="shared" si="80"/>
        <v>44.125063035804338</v>
      </c>
      <c r="N127" s="77">
        <f t="shared" si="80"/>
        <v>44.125063035804338</v>
      </c>
      <c r="O127" s="77">
        <f t="shared" si="80"/>
        <v>44.125063035804338</v>
      </c>
      <c r="P127" s="5"/>
    </row>
    <row r="128" spans="2:16" ht="15.6">
      <c r="B128" s="70" t="s">
        <v>378</v>
      </c>
      <c r="C128" s="76">
        <f>+F107</f>
        <v>832.07261724659611</v>
      </c>
      <c r="D128" s="77">
        <f>+C128/12</f>
        <v>69.339384770549671</v>
      </c>
      <c r="E128" s="77">
        <f t="shared" ref="E128:O128" si="81">+D128</f>
        <v>69.339384770549671</v>
      </c>
      <c r="F128" s="77">
        <f t="shared" si="81"/>
        <v>69.339384770549671</v>
      </c>
      <c r="G128" s="77">
        <f t="shared" si="81"/>
        <v>69.339384770549671</v>
      </c>
      <c r="H128" s="77">
        <f t="shared" si="81"/>
        <v>69.339384770549671</v>
      </c>
      <c r="I128" s="77">
        <f t="shared" si="81"/>
        <v>69.339384770549671</v>
      </c>
      <c r="J128" s="77">
        <f t="shared" si="81"/>
        <v>69.339384770549671</v>
      </c>
      <c r="K128" s="77">
        <f t="shared" si="81"/>
        <v>69.339384770549671</v>
      </c>
      <c r="L128" s="77">
        <f t="shared" si="81"/>
        <v>69.339384770549671</v>
      </c>
      <c r="M128" s="77">
        <f t="shared" si="81"/>
        <v>69.339384770549671</v>
      </c>
      <c r="N128" s="77">
        <f t="shared" si="81"/>
        <v>69.339384770549671</v>
      </c>
      <c r="O128" s="77">
        <f t="shared" si="81"/>
        <v>69.339384770549671</v>
      </c>
      <c r="P128" s="5"/>
    </row>
    <row r="129" spans="2:16" ht="15.6">
      <c r="B129" s="73" t="s">
        <v>379</v>
      </c>
      <c r="C129" s="76">
        <f>+G107</f>
        <v>22.692889561270803</v>
      </c>
      <c r="D129" s="77">
        <f t="shared" ref="D129" si="82">+C129/12</f>
        <v>1.8910741301059002</v>
      </c>
      <c r="E129" s="77">
        <f t="shared" ref="E129:O129" si="83">+D129</f>
        <v>1.8910741301059002</v>
      </c>
      <c r="F129" s="77">
        <f t="shared" si="83"/>
        <v>1.8910741301059002</v>
      </c>
      <c r="G129" s="77">
        <f t="shared" si="83"/>
        <v>1.8910741301059002</v>
      </c>
      <c r="H129" s="77">
        <f t="shared" si="83"/>
        <v>1.8910741301059002</v>
      </c>
      <c r="I129" s="77">
        <f t="shared" si="83"/>
        <v>1.8910741301059002</v>
      </c>
      <c r="J129" s="77">
        <f t="shared" si="83"/>
        <v>1.8910741301059002</v>
      </c>
      <c r="K129" s="77">
        <f t="shared" si="83"/>
        <v>1.8910741301059002</v>
      </c>
      <c r="L129" s="77">
        <f t="shared" si="83"/>
        <v>1.8910741301059002</v>
      </c>
      <c r="M129" s="77">
        <f t="shared" si="83"/>
        <v>1.8910741301059002</v>
      </c>
      <c r="N129" s="77">
        <f t="shared" si="83"/>
        <v>1.8910741301059002</v>
      </c>
      <c r="O129" s="77">
        <f t="shared" si="83"/>
        <v>1.8910741301059002</v>
      </c>
      <c r="P129" s="5"/>
    </row>
    <row r="130" spans="2:16" ht="15.6">
      <c r="B130" s="70" t="s">
        <v>380</v>
      </c>
      <c r="C130" s="76">
        <f>+H107</f>
        <v>10.590015128593041</v>
      </c>
      <c r="D130" s="77">
        <f>+C130/12</f>
        <v>0.88250126071608681</v>
      </c>
      <c r="E130" s="77">
        <f t="shared" ref="E130:N130" si="84">+D130</f>
        <v>0.88250126071608681</v>
      </c>
      <c r="F130" s="77">
        <f t="shared" si="84"/>
        <v>0.88250126071608681</v>
      </c>
      <c r="G130" s="77">
        <f t="shared" si="84"/>
        <v>0.88250126071608681</v>
      </c>
      <c r="H130" s="77">
        <f t="shared" si="84"/>
        <v>0.88250126071608681</v>
      </c>
      <c r="I130" s="77">
        <f t="shared" si="84"/>
        <v>0.88250126071608681</v>
      </c>
      <c r="J130" s="77">
        <f t="shared" si="84"/>
        <v>0.88250126071608681</v>
      </c>
      <c r="K130" s="77">
        <f t="shared" si="84"/>
        <v>0.88250126071608681</v>
      </c>
      <c r="L130" s="77">
        <f t="shared" si="84"/>
        <v>0.88250126071608681</v>
      </c>
      <c r="M130" s="77">
        <f t="shared" si="84"/>
        <v>0.88250126071608681</v>
      </c>
      <c r="N130" s="77">
        <f t="shared" si="84"/>
        <v>0.88250126071608681</v>
      </c>
      <c r="O130" s="77">
        <f>+N130</f>
        <v>0.88250126071608681</v>
      </c>
      <c r="P130" s="5"/>
    </row>
    <row r="131" spans="2:16" ht="18.600000000000001">
      <c r="B131" s="44" t="s">
        <v>381</v>
      </c>
      <c r="C131" s="78">
        <f>SUM(C126:C130)</f>
        <v>2000</v>
      </c>
      <c r="D131" s="79">
        <f t="shared" ref="D131:O131" si="85">SUM(D126:D130)</f>
        <v>166.66666666666666</v>
      </c>
      <c r="E131" s="79">
        <f t="shared" si="85"/>
        <v>166.66666666666666</v>
      </c>
      <c r="F131" s="79">
        <f t="shared" si="85"/>
        <v>166.66666666666666</v>
      </c>
      <c r="G131" s="79">
        <f t="shared" si="85"/>
        <v>166.66666666666666</v>
      </c>
      <c r="H131" s="79">
        <f t="shared" si="85"/>
        <v>166.66666666666666</v>
      </c>
      <c r="I131" s="79">
        <f t="shared" si="85"/>
        <v>166.66666666666666</v>
      </c>
      <c r="J131" s="79">
        <f t="shared" si="85"/>
        <v>166.66666666666666</v>
      </c>
      <c r="K131" s="79">
        <f t="shared" si="85"/>
        <v>166.66666666666666</v>
      </c>
      <c r="L131" s="79">
        <f t="shared" si="85"/>
        <v>166.66666666666666</v>
      </c>
      <c r="M131" s="79">
        <f t="shared" si="85"/>
        <v>166.66666666666666</v>
      </c>
      <c r="N131" s="79">
        <f t="shared" si="85"/>
        <v>166.66666666666666</v>
      </c>
      <c r="O131" s="79">
        <f t="shared" si="85"/>
        <v>166.66666666666666</v>
      </c>
      <c r="P131" s="5"/>
    </row>
    <row r="132" spans="2:16" ht="15.6">
      <c r="B132" s="70" t="s">
        <v>382</v>
      </c>
      <c r="C132" s="76">
        <f>SUM(D132:O132)</f>
        <v>1600</v>
      </c>
      <c r="D132" s="77">
        <f>+D120*$D$108</f>
        <v>90</v>
      </c>
      <c r="E132" s="77">
        <f t="shared" ref="E132:O132" si="86">+E120*$D$108</f>
        <v>90</v>
      </c>
      <c r="F132" s="77">
        <f t="shared" si="86"/>
        <v>90</v>
      </c>
      <c r="G132" s="77">
        <f t="shared" si="86"/>
        <v>90</v>
      </c>
      <c r="H132" s="77">
        <f t="shared" si="86"/>
        <v>90</v>
      </c>
      <c r="I132" s="77">
        <f t="shared" si="86"/>
        <v>230</v>
      </c>
      <c r="J132" s="77">
        <f t="shared" si="86"/>
        <v>210</v>
      </c>
      <c r="K132" s="77">
        <f t="shared" si="86"/>
        <v>280</v>
      </c>
      <c r="L132" s="77">
        <f t="shared" si="86"/>
        <v>130</v>
      </c>
      <c r="M132" s="77">
        <f t="shared" si="86"/>
        <v>90</v>
      </c>
      <c r="N132" s="77">
        <f t="shared" si="86"/>
        <v>90</v>
      </c>
      <c r="O132" s="77">
        <f t="shared" si="86"/>
        <v>120</v>
      </c>
      <c r="P132" s="5"/>
    </row>
    <row r="133" spans="2:16" ht="15.6">
      <c r="B133" s="70" t="s">
        <v>383</v>
      </c>
      <c r="C133" s="76">
        <f t="shared" ref="C133:C136" si="87">SUM(D133:O133)</f>
        <v>700</v>
      </c>
      <c r="D133" s="77">
        <f>+D121*$E$108</f>
        <v>56.5</v>
      </c>
      <c r="E133" s="77">
        <f t="shared" ref="E133:O133" si="88">+E121*$E$108</f>
        <v>46.5</v>
      </c>
      <c r="F133" s="77">
        <f t="shared" si="88"/>
        <v>42.5</v>
      </c>
      <c r="G133" s="77">
        <f t="shared" si="88"/>
        <v>39.5</v>
      </c>
      <c r="H133" s="77">
        <f t="shared" si="88"/>
        <v>38.5</v>
      </c>
      <c r="I133" s="77">
        <f t="shared" si="88"/>
        <v>37.5</v>
      </c>
      <c r="J133" s="77">
        <f t="shared" si="88"/>
        <v>37.5</v>
      </c>
      <c r="K133" s="77">
        <f t="shared" si="88"/>
        <v>37.5</v>
      </c>
      <c r="L133" s="77">
        <f t="shared" si="88"/>
        <v>47.5</v>
      </c>
      <c r="M133" s="77">
        <f t="shared" si="88"/>
        <v>79.5</v>
      </c>
      <c r="N133" s="77">
        <f t="shared" si="88"/>
        <v>109.5</v>
      </c>
      <c r="O133" s="77">
        <f t="shared" si="88"/>
        <v>127.5</v>
      </c>
      <c r="P133" s="5"/>
    </row>
    <row r="134" spans="2:16" ht="15.6">
      <c r="B134" s="70" t="s">
        <v>384</v>
      </c>
      <c r="C134" s="76">
        <f t="shared" si="87"/>
        <v>2200</v>
      </c>
      <c r="D134" s="77">
        <f>+D122*$F$108</f>
        <v>145</v>
      </c>
      <c r="E134" s="77">
        <f t="shared" ref="E134:O134" si="89">+E122*$F$108</f>
        <v>177</v>
      </c>
      <c r="F134" s="77">
        <f t="shared" si="89"/>
        <v>265</v>
      </c>
      <c r="G134" s="77">
        <f t="shared" si="89"/>
        <v>365</v>
      </c>
      <c r="H134" s="77">
        <f t="shared" si="89"/>
        <v>285</v>
      </c>
      <c r="I134" s="77">
        <f t="shared" si="89"/>
        <v>225</v>
      </c>
      <c r="J134" s="77">
        <f t="shared" si="89"/>
        <v>185</v>
      </c>
      <c r="K134" s="77">
        <f t="shared" si="89"/>
        <v>145</v>
      </c>
      <c r="L134" s="77">
        <f t="shared" si="89"/>
        <v>105</v>
      </c>
      <c r="M134" s="77">
        <f t="shared" si="89"/>
        <v>95</v>
      </c>
      <c r="N134" s="77">
        <f t="shared" si="89"/>
        <v>111</v>
      </c>
      <c r="O134" s="77">
        <f t="shared" si="89"/>
        <v>97</v>
      </c>
      <c r="P134" s="5"/>
    </row>
    <row r="135" spans="2:16" ht="15.6">
      <c r="B135" s="70" t="s">
        <v>385</v>
      </c>
      <c r="C135" s="76">
        <f t="shared" si="87"/>
        <v>4500</v>
      </c>
      <c r="D135" s="77">
        <f>+D123*$G$108</f>
        <v>292.5</v>
      </c>
      <c r="E135" s="77">
        <f t="shared" ref="E135:O135" si="90">+E123*$G$108</f>
        <v>322.5</v>
      </c>
      <c r="F135" s="77">
        <f t="shared" si="90"/>
        <v>382.5</v>
      </c>
      <c r="G135" s="77">
        <f t="shared" si="90"/>
        <v>352.5</v>
      </c>
      <c r="H135" s="77">
        <f t="shared" si="90"/>
        <v>337.5</v>
      </c>
      <c r="I135" s="77">
        <f t="shared" si="90"/>
        <v>247.5</v>
      </c>
      <c r="J135" s="77">
        <f t="shared" si="90"/>
        <v>292.5</v>
      </c>
      <c r="K135" s="77">
        <f t="shared" si="90"/>
        <v>412.5</v>
      </c>
      <c r="L135" s="77">
        <f t="shared" si="90"/>
        <v>442.5</v>
      </c>
      <c r="M135" s="77">
        <f t="shared" si="90"/>
        <v>517.5</v>
      </c>
      <c r="N135" s="77">
        <f t="shared" si="90"/>
        <v>427.5</v>
      </c>
      <c r="O135" s="77">
        <f t="shared" si="90"/>
        <v>472.5</v>
      </c>
      <c r="P135" s="5"/>
    </row>
    <row r="136" spans="2:16" ht="15.6">
      <c r="B136" s="70" t="s">
        <v>386</v>
      </c>
      <c r="C136" s="76">
        <f t="shared" si="87"/>
        <v>3150</v>
      </c>
      <c r="D136" s="77">
        <f>+D124*$H$108</f>
        <v>236.25</v>
      </c>
      <c r="E136" s="77">
        <f t="shared" ref="E136:N136" si="91">+E124*$H$108</f>
        <v>191.25</v>
      </c>
      <c r="F136" s="77">
        <f t="shared" si="91"/>
        <v>281.25</v>
      </c>
      <c r="G136" s="77">
        <f t="shared" si="91"/>
        <v>213.75</v>
      </c>
      <c r="H136" s="77">
        <f t="shared" si="91"/>
        <v>213.75</v>
      </c>
      <c r="I136" s="77">
        <f t="shared" si="91"/>
        <v>258.75</v>
      </c>
      <c r="J136" s="77">
        <f t="shared" si="91"/>
        <v>326.25</v>
      </c>
      <c r="K136" s="77">
        <f t="shared" si="91"/>
        <v>438.75</v>
      </c>
      <c r="L136" s="77">
        <f t="shared" si="91"/>
        <v>303.75</v>
      </c>
      <c r="M136" s="77">
        <f t="shared" si="91"/>
        <v>191.25</v>
      </c>
      <c r="N136" s="77">
        <f t="shared" si="91"/>
        <v>213.75</v>
      </c>
      <c r="O136" s="77">
        <f>+O124*$H$108</f>
        <v>281.25</v>
      </c>
      <c r="P136" s="5"/>
    </row>
    <row r="137" spans="2:16" ht="18.600000000000001">
      <c r="B137" s="44" t="s">
        <v>387</v>
      </c>
      <c r="C137" s="78">
        <f>SUM(C132:C136)</f>
        <v>12150</v>
      </c>
      <c r="D137" s="79">
        <f>SUM(D132:D136)</f>
        <v>820.25</v>
      </c>
      <c r="E137" s="79">
        <f t="shared" ref="E137:O137" si="92">+(E132*E120)+(E133*E121)+(E134*E122)</f>
        <v>2187675</v>
      </c>
      <c r="F137" s="79">
        <f t="shared" si="92"/>
        <v>4096875</v>
      </c>
      <c r="G137" s="79">
        <f t="shared" si="92"/>
        <v>7222275</v>
      </c>
      <c r="H137" s="79">
        <f t="shared" si="92"/>
        <v>4614475</v>
      </c>
      <c r="I137" s="79">
        <f t="shared" si="92"/>
        <v>5316875</v>
      </c>
      <c r="J137" s="79">
        <f t="shared" si="92"/>
        <v>4056875</v>
      </c>
      <c r="K137" s="79">
        <f t="shared" si="92"/>
        <v>5111875</v>
      </c>
      <c r="L137" s="79">
        <f t="shared" si="92"/>
        <v>1621875</v>
      </c>
      <c r="M137" s="79">
        <f t="shared" si="92"/>
        <v>1488275</v>
      </c>
      <c r="N137" s="79">
        <f t="shared" si="92"/>
        <v>2220075</v>
      </c>
      <c r="O137" s="79">
        <f t="shared" si="92"/>
        <v>2816075</v>
      </c>
      <c r="P137" s="5"/>
    </row>
    <row r="138" spans="2:16" ht="15.6">
      <c r="B138" s="70" t="s">
        <v>388</v>
      </c>
      <c r="C138" s="76">
        <f>+C132+C126</f>
        <v>2205.1437216338882</v>
      </c>
      <c r="D138" s="77">
        <f>+D132+D126</f>
        <v>140.42864346949068</v>
      </c>
      <c r="E138" s="77">
        <f t="shared" ref="E138:O138" si="93">+E132+E126</f>
        <v>140.42864346949068</v>
      </c>
      <c r="F138" s="77">
        <f t="shared" si="93"/>
        <v>140.42864346949068</v>
      </c>
      <c r="G138" s="77">
        <f t="shared" si="93"/>
        <v>140.42864346949068</v>
      </c>
      <c r="H138" s="77">
        <f t="shared" si="93"/>
        <v>140.42864346949068</v>
      </c>
      <c r="I138" s="77">
        <f t="shared" si="93"/>
        <v>280.42864346949068</v>
      </c>
      <c r="J138" s="77">
        <f t="shared" si="93"/>
        <v>260.42864346949068</v>
      </c>
      <c r="K138" s="77">
        <f t="shared" si="93"/>
        <v>330.42864346949068</v>
      </c>
      <c r="L138" s="77">
        <f t="shared" si="93"/>
        <v>180.42864346949068</v>
      </c>
      <c r="M138" s="77">
        <f>+M132+M126</f>
        <v>140.42864346949068</v>
      </c>
      <c r="N138" s="77">
        <f t="shared" si="93"/>
        <v>140.42864346949068</v>
      </c>
      <c r="O138" s="77">
        <f t="shared" si="93"/>
        <v>170.42864346949068</v>
      </c>
      <c r="P138" s="5"/>
    </row>
    <row r="139" spans="2:16" ht="15.6">
      <c r="B139" s="73" t="s">
        <v>389</v>
      </c>
      <c r="C139" s="76">
        <f>+C133+C127</f>
        <v>1229.500756429652</v>
      </c>
      <c r="D139" s="77">
        <f t="shared" ref="D139:F139" si="94">+D133+D127</f>
        <v>100.62506303580435</v>
      </c>
      <c r="E139" s="77">
        <f t="shared" si="94"/>
        <v>90.625063035804345</v>
      </c>
      <c r="F139" s="77">
        <f t="shared" si="94"/>
        <v>86.625063035804345</v>
      </c>
      <c r="G139" s="77">
        <f>+G133+G127</f>
        <v>83.625063035804345</v>
      </c>
      <c r="H139" s="77">
        <f t="shared" ref="H139:O139" si="95">+H133+H127</f>
        <v>82.625063035804345</v>
      </c>
      <c r="I139" s="77">
        <f t="shared" si="95"/>
        <v>81.625063035804345</v>
      </c>
      <c r="J139" s="77">
        <f t="shared" si="95"/>
        <v>81.625063035804345</v>
      </c>
      <c r="K139" s="77">
        <f t="shared" si="95"/>
        <v>81.625063035804345</v>
      </c>
      <c r="L139" s="77">
        <f t="shared" si="95"/>
        <v>91.625063035804345</v>
      </c>
      <c r="M139" s="77">
        <f t="shared" si="95"/>
        <v>123.62506303580435</v>
      </c>
      <c r="N139" s="77">
        <f t="shared" si="95"/>
        <v>153.62506303580435</v>
      </c>
      <c r="O139" s="77">
        <f t="shared" si="95"/>
        <v>171.62506303580435</v>
      </c>
      <c r="P139" s="5"/>
    </row>
    <row r="140" spans="2:16" ht="15.6">
      <c r="B140" s="70" t="s">
        <v>390</v>
      </c>
      <c r="C140" s="76">
        <f t="shared" ref="C140:O140" si="96">+C134+C128</f>
        <v>3032.0726172465961</v>
      </c>
      <c r="D140" s="77">
        <f t="shared" si="96"/>
        <v>214.33938477054966</v>
      </c>
      <c r="E140" s="77">
        <f t="shared" si="96"/>
        <v>246.33938477054966</v>
      </c>
      <c r="F140" s="77">
        <f t="shared" si="96"/>
        <v>334.33938477054966</v>
      </c>
      <c r="G140" s="77">
        <f t="shared" si="96"/>
        <v>434.33938477054966</v>
      </c>
      <c r="H140" s="77">
        <f t="shared" si="96"/>
        <v>354.33938477054966</v>
      </c>
      <c r="I140" s="77">
        <f t="shared" si="96"/>
        <v>294.33938477054966</v>
      </c>
      <c r="J140" s="77">
        <f t="shared" si="96"/>
        <v>254.33938477054966</v>
      </c>
      <c r="K140" s="77">
        <f t="shared" si="96"/>
        <v>214.33938477054966</v>
      </c>
      <c r="L140" s="77">
        <f t="shared" si="96"/>
        <v>174.33938477054966</v>
      </c>
      <c r="M140" s="77">
        <f t="shared" si="96"/>
        <v>164.33938477054966</v>
      </c>
      <c r="N140" s="77">
        <f t="shared" si="96"/>
        <v>180.33938477054966</v>
      </c>
      <c r="O140" s="77">
        <f t="shared" si="96"/>
        <v>166.33938477054966</v>
      </c>
      <c r="P140" s="5"/>
    </row>
    <row r="141" spans="2:16" ht="15.6">
      <c r="B141" s="73" t="s">
        <v>391</v>
      </c>
      <c r="C141" s="76">
        <f t="shared" ref="C141:O141" si="97">+C135+C129</f>
        <v>4522.6928895612709</v>
      </c>
      <c r="D141" s="77">
        <f t="shared" si="97"/>
        <v>294.39107413010589</v>
      </c>
      <c r="E141" s="77">
        <f t="shared" si="97"/>
        <v>324.39107413010589</v>
      </c>
      <c r="F141" s="77">
        <f t="shared" si="97"/>
        <v>384.39107413010589</v>
      </c>
      <c r="G141" s="77">
        <f t="shared" si="97"/>
        <v>354.39107413010589</v>
      </c>
      <c r="H141" s="77">
        <f t="shared" si="97"/>
        <v>339.39107413010589</v>
      </c>
      <c r="I141" s="77">
        <f t="shared" si="97"/>
        <v>249.39107413010589</v>
      </c>
      <c r="J141" s="77">
        <f t="shared" si="97"/>
        <v>294.39107413010589</v>
      </c>
      <c r="K141" s="77">
        <f t="shared" si="97"/>
        <v>414.39107413010589</v>
      </c>
      <c r="L141" s="77">
        <f t="shared" si="97"/>
        <v>444.39107413010589</v>
      </c>
      <c r="M141" s="77">
        <f t="shared" si="97"/>
        <v>519.39107413010595</v>
      </c>
      <c r="N141" s="77">
        <f t="shared" si="97"/>
        <v>429.39107413010589</v>
      </c>
      <c r="O141" s="77">
        <f t="shared" si="97"/>
        <v>474.39107413010589</v>
      </c>
      <c r="P141" s="5"/>
    </row>
    <row r="142" spans="2:16" ht="15.6">
      <c r="B142" s="70" t="s">
        <v>392</v>
      </c>
      <c r="C142" s="76">
        <f t="shared" ref="C142:O142" si="98">+C136+C130</f>
        <v>3160.5900151285932</v>
      </c>
      <c r="D142" s="77">
        <f t="shared" si="98"/>
        <v>237.13250126071608</v>
      </c>
      <c r="E142" s="77">
        <f t="shared" si="98"/>
        <v>192.13250126071608</v>
      </c>
      <c r="F142" s="77">
        <f t="shared" si="98"/>
        <v>282.13250126071608</v>
      </c>
      <c r="G142" s="77">
        <f t="shared" si="98"/>
        <v>214.63250126071608</v>
      </c>
      <c r="H142" s="77">
        <f t="shared" si="98"/>
        <v>214.63250126071608</v>
      </c>
      <c r="I142" s="77">
        <f t="shared" si="98"/>
        <v>259.63250126071608</v>
      </c>
      <c r="J142" s="77">
        <f t="shared" si="98"/>
        <v>327.13250126071608</v>
      </c>
      <c r="K142" s="77">
        <f t="shared" si="98"/>
        <v>439.63250126071608</v>
      </c>
      <c r="L142" s="77">
        <f t="shared" si="98"/>
        <v>304.63250126071608</v>
      </c>
      <c r="M142" s="77">
        <f>+M136+M130</f>
        <v>192.13250126071608</v>
      </c>
      <c r="N142" s="77">
        <f t="shared" si="98"/>
        <v>214.63250126071608</v>
      </c>
      <c r="O142" s="77">
        <f t="shared" si="98"/>
        <v>282.13250126071608</v>
      </c>
      <c r="P142" s="5"/>
    </row>
    <row r="143" spans="2:16" ht="18.600000000000001">
      <c r="B143" s="44" t="s">
        <v>393</v>
      </c>
      <c r="C143" s="78">
        <f>SUM(C138:C142)</f>
        <v>14150</v>
      </c>
      <c r="D143" s="79">
        <f t="shared" ref="D143:O143" si="99">SUM(D138:D142)</f>
        <v>986.91666666666652</v>
      </c>
      <c r="E143" s="79">
        <f t="shared" si="99"/>
        <v>993.91666666666652</v>
      </c>
      <c r="F143" s="79">
        <f t="shared" si="99"/>
        <v>1227.9166666666665</v>
      </c>
      <c r="G143" s="79">
        <f t="shared" si="99"/>
        <v>1227.4166666666665</v>
      </c>
      <c r="H143" s="79">
        <f t="shared" si="99"/>
        <v>1131.4166666666665</v>
      </c>
      <c r="I143" s="79">
        <f t="shared" si="99"/>
        <v>1165.4166666666665</v>
      </c>
      <c r="J143" s="79">
        <f t="shared" si="99"/>
        <v>1217.9166666666665</v>
      </c>
      <c r="K143" s="79">
        <f t="shared" si="99"/>
        <v>1480.4166666666665</v>
      </c>
      <c r="L143" s="79">
        <f t="shared" si="99"/>
        <v>1195.4166666666667</v>
      </c>
      <c r="M143" s="79">
        <f t="shared" si="99"/>
        <v>1139.9166666666667</v>
      </c>
      <c r="N143" s="79">
        <f t="shared" si="99"/>
        <v>1118.4166666666667</v>
      </c>
      <c r="O143" s="79">
        <f t="shared" si="99"/>
        <v>1264.9166666666667</v>
      </c>
      <c r="P143" s="34" t="s">
        <v>394</v>
      </c>
    </row>
    <row r="144" spans="2:16">
      <c r="B144" s="236" t="s">
        <v>395</v>
      </c>
      <c r="C144" s="236"/>
      <c r="D144" s="110">
        <v>0.13</v>
      </c>
      <c r="E144" s="110">
        <v>0.14000000000000001</v>
      </c>
      <c r="F144" s="110">
        <v>0.14000000000000001</v>
      </c>
      <c r="G144" s="110">
        <v>0.16</v>
      </c>
      <c r="H144" s="110">
        <v>0.14000000000000001</v>
      </c>
      <c r="I144" s="110">
        <v>0.14000000000000001</v>
      </c>
      <c r="J144" s="110">
        <v>0.16</v>
      </c>
      <c r="K144" s="110">
        <v>0.14000000000000001</v>
      </c>
      <c r="L144" s="110">
        <v>0.15</v>
      </c>
      <c r="M144" s="110">
        <v>0.13</v>
      </c>
      <c r="N144" s="110">
        <v>0.14000000000000001</v>
      </c>
      <c r="O144" s="110">
        <v>0.14000000000000001</v>
      </c>
      <c r="P144" s="80">
        <f>+IFERROR(((D144*D120)+(E144*E120)+(F144*F120)+(G144*G120)+(H144*H120)+(I144*I120)+(J144*J120)+(K144*K120)+(L144*L120)+(M144*M120)+(N144*N120)+(O144*O120))/C120,0)</f>
        <v>0.1434375</v>
      </c>
    </row>
    <row r="145" spans="2:16">
      <c r="B145" s="235" t="s">
        <v>396</v>
      </c>
      <c r="C145" s="235"/>
      <c r="D145" s="101">
        <v>0.08</v>
      </c>
      <c r="E145" s="101">
        <v>0.09</v>
      </c>
      <c r="F145" s="101">
        <v>0.09</v>
      </c>
      <c r="G145" s="101">
        <v>0.08</v>
      </c>
      <c r="H145" s="101">
        <v>0.09</v>
      </c>
      <c r="I145" s="101">
        <v>7.0000000000000007E-2</v>
      </c>
      <c r="J145" s="101">
        <v>0.08</v>
      </c>
      <c r="K145" s="101">
        <v>0.09</v>
      </c>
      <c r="L145" s="101">
        <v>0.08</v>
      </c>
      <c r="M145" s="101">
        <v>0.09</v>
      </c>
      <c r="N145" s="101">
        <v>0.08</v>
      </c>
      <c r="O145" s="101">
        <v>7.0000000000000007E-2</v>
      </c>
      <c r="P145" s="80">
        <f t="shared" ref="P145:P147" si="100">+IFERROR(((D145*D121)+(E145*E121)+(F145*F121)+(G145*G121)+(H145*H121)+(I145*I121)+(J145*J121)+(K145*K121)+(L145*L121)+(M145*M121)+(N145*N121)+(O145*O121))/C121,0)</f>
        <v>8.1135714285714283E-2</v>
      </c>
    </row>
    <row r="146" spans="2:16">
      <c r="B146" s="236" t="s">
        <v>397</v>
      </c>
      <c r="C146" s="236"/>
      <c r="D146" s="110">
        <v>0.12</v>
      </c>
      <c r="E146" s="110">
        <v>0.12</v>
      </c>
      <c r="F146" s="110">
        <v>0.12</v>
      </c>
      <c r="G146" s="110">
        <v>0.1</v>
      </c>
      <c r="H146" s="110">
        <v>0.11</v>
      </c>
      <c r="I146" s="110">
        <v>0.1</v>
      </c>
      <c r="J146" s="110">
        <v>0.1</v>
      </c>
      <c r="K146" s="110">
        <v>0.1</v>
      </c>
      <c r="L146" s="110">
        <v>0.12</v>
      </c>
      <c r="M146" s="110">
        <v>0.11</v>
      </c>
      <c r="N146" s="110">
        <v>0.1</v>
      </c>
      <c r="O146" s="110">
        <v>0.12</v>
      </c>
      <c r="P146" s="80">
        <f t="shared" si="100"/>
        <v>0.1089</v>
      </c>
    </row>
    <row r="147" spans="2:16">
      <c r="B147" s="235" t="s">
        <v>398</v>
      </c>
      <c r="C147" s="235"/>
      <c r="D147" s="101">
        <v>5</v>
      </c>
      <c r="E147" s="101">
        <v>5.5</v>
      </c>
      <c r="F147" s="101">
        <v>5</v>
      </c>
      <c r="G147" s="101">
        <v>5</v>
      </c>
      <c r="H147" s="101">
        <v>5</v>
      </c>
      <c r="I147" s="101">
        <v>6</v>
      </c>
      <c r="J147" s="101">
        <v>6</v>
      </c>
      <c r="K147" s="101">
        <v>6</v>
      </c>
      <c r="L147" s="101">
        <v>5</v>
      </c>
      <c r="M147" s="101">
        <v>5.5</v>
      </c>
      <c r="N147" s="101">
        <v>5</v>
      </c>
      <c r="O147" s="101">
        <v>6</v>
      </c>
      <c r="P147" s="80">
        <f t="shared" si="100"/>
        <v>5.41</v>
      </c>
    </row>
    <row r="148" spans="2:16">
      <c r="B148" s="236" t="s">
        <v>399</v>
      </c>
      <c r="C148" s="236"/>
      <c r="D148" s="110">
        <v>10</v>
      </c>
      <c r="E148" s="110">
        <v>11</v>
      </c>
      <c r="F148" s="110">
        <v>10</v>
      </c>
      <c r="G148" s="110">
        <v>10</v>
      </c>
      <c r="H148" s="110">
        <v>10</v>
      </c>
      <c r="I148" s="110">
        <v>12</v>
      </c>
      <c r="J148" s="110">
        <v>12</v>
      </c>
      <c r="K148" s="110">
        <v>12</v>
      </c>
      <c r="L148" s="110">
        <v>10</v>
      </c>
      <c r="M148" s="110">
        <v>11</v>
      </c>
      <c r="N148" s="110">
        <v>11</v>
      </c>
      <c r="O148" s="110">
        <v>12</v>
      </c>
      <c r="P148" s="80">
        <f>+IFERROR(((D148*D124)+(E148*E124)+(F148*F124)+(G148*G124)+(H148*H124)+(I148*I124)+(J148*J124)+(K148*K124)+(L148*L124)+(M148*M124)+(N148*N124)+(O148*O124))/C124,0)</f>
        <v>11.017857142857142</v>
      </c>
    </row>
    <row r="149" spans="2:16" ht="18.600000000000001">
      <c r="B149" s="44" t="s">
        <v>400</v>
      </c>
      <c r="C149" s="78">
        <f>SUM(D149:O149)</f>
        <v>60788.5</v>
      </c>
      <c r="D149" s="79">
        <f t="shared" ref="D149" si="101">+(D144*D120)+(D145*D121)+(D146*D122)+(D147*D123)+(D148*D124)</f>
        <v>3932</v>
      </c>
      <c r="E149" s="79">
        <f>+(E144*E120)+(E145*E121)+(E146*E122)+(E147*E123)+(E148*E124)</f>
        <v>4228</v>
      </c>
      <c r="F149" s="79">
        <f t="shared" ref="F149:H149" si="102">+(F144*F120)+(F145*F121)+(F146*F122)+(F147*F123)+(F148*F124)</f>
        <v>5127.5</v>
      </c>
      <c r="G149" s="79">
        <f t="shared" si="102"/>
        <v>4986</v>
      </c>
      <c r="H149" s="79">
        <f t="shared" si="102"/>
        <v>4619</v>
      </c>
      <c r="I149" s="79">
        <f>+(I144*I120)+(I145*I121)+(I146*I122)+(I147*I123)+(I148*I124)</f>
        <v>5367.5</v>
      </c>
      <c r="J149" s="79">
        <f t="shared" ref="J149:O149" si="103">+(J144*J120)+(J145*J121)+(J146*J122)+(J147*J123)+(J148*J124)</f>
        <v>5815</v>
      </c>
      <c r="K149" s="79">
        <f t="shared" si="103"/>
        <v>7012.5</v>
      </c>
      <c r="L149" s="79">
        <f t="shared" si="103"/>
        <v>4810</v>
      </c>
      <c r="M149" s="79">
        <f t="shared" si="103"/>
        <v>4655.5</v>
      </c>
      <c r="N149" s="79">
        <f t="shared" si="103"/>
        <v>4531</v>
      </c>
      <c r="O149" s="79">
        <f t="shared" si="103"/>
        <v>5704.5</v>
      </c>
      <c r="P149" s="5"/>
    </row>
    <row r="150" spans="2:16" ht="21">
      <c r="B150" s="33" t="s">
        <v>366</v>
      </c>
      <c r="C150" s="159">
        <f>+C149-C143</f>
        <v>46638.5</v>
      </c>
      <c r="D150" s="160">
        <f>+D149-D143</f>
        <v>2945.0833333333335</v>
      </c>
      <c r="E150" s="160">
        <f t="shared" ref="E150:O150" si="104">+E149-E143</f>
        <v>3234.0833333333335</v>
      </c>
      <c r="F150" s="160">
        <f t="shared" si="104"/>
        <v>3899.5833333333335</v>
      </c>
      <c r="G150" s="160">
        <f t="shared" si="104"/>
        <v>3758.5833333333335</v>
      </c>
      <c r="H150" s="160">
        <f t="shared" si="104"/>
        <v>3487.5833333333335</v>
      </c>
      <c r="I150" s="160">
        <f t="shared" si="104"/>
        <v>4202.0833333333339</v>
      </c>
      <c r="J150" s="160">
        <f t="shared" si="104"/>
        <v>4597.0833333333339</v>
      </c>
      <c r="K150" s="160">
        <f t="shared" si="104"/>
        <v>5532.0833333333339</v>
      </c>
      <c r="L150" s="160">
        <f t="shared" si="104"/>
        <v>3614.583333333333</v>
      </c>
      <c r="M150" s="160">
        <f t="shared" si="104"/>
        <v>3515.583333333333</v>
      </c>
      <c r="N150" s="160">
        <f t="shared" si="104"/>
        <v>3412.583333333333</v>
      </c>
      <c r="O150" s="160">
        <f t="shared" si="104"/>
        <v>4439.583333333333</v>
      </c>
      <c r="P150" s="5"/>
    </row>
    <row r="152" spans="2:16" ht="21">
      <c r="B152" s="230" t="s">
        <v>348</v>
      </c>
      <c r="C152" s="230" t="str">
        <f>+C102</f>
        <v>SecondNote</v>
      </c>
      <c r="D152" s="230"/>
      <c r="E152" s="230"/>
      <c r="F152" s="230"/>
      <c r="G152" s="230"/>
      <c r="H152" s="230"/>
      <c r="I152" s="5"/>
      <c r="J152" s="5"/>
      <c r="K152" s="5"/>
      <c r="L152" s="5"/>
      <c r="M152" s="5"/>
      <c r="N152" s="5"/>
      <c r="O152" s="5"/>
      <c r="P152" s="5"/>
    </row>
    <row r="153" spans="2:16" ht="21">
      <c r="B153" s="230"/>
      <c r="C153" s="230" t="s">
        <v>349</v>
      </c>
      <c r="D153" s="230" t="s">
        <v>350</v>
      </c>
      <c r="E153" s="230"/>
      <c r="F153" s="230"/>
      <c r="G153" s="230"/>
      <c r="H153" s="230"/>
      <c r="I153" s="5"/>
      <c r="J153" s="5"/>
      <c r="K153" s="5"/>
      <c r="L153" s="5"/>
      <c r="M153" s="5"/>
      <c r="N153" s="5"/>
      <c r="O153" s="5"/>
      <c r="P153" s="5"/>
    </row>
    <row r="154" spans="2:16" ht="21">
      <c r="B154" s="32">
        <f>+B104+1</f>
        <v>2027</v>
      </c>
      <c r="C154" s="230"/>
      <c r="D154" s="32" t="s">
        <v>351</v>
      </c>
      <c r="E154" s="32" t="s">
        <v>352</v>
      </c>
      <c r="F154" s="32" t="s">
        <v>353</v>
      </c>
      <c r="G154" s="32" t="s">
        <v>354</v>
      </c>
      <c r="H154" s="32" t="s">
        <v>355</v>
      </c>
      <c r="I154" s="5"/>
      <c r="J154" s="5"/>
      <c r="K154" s="5"/>
      <c r="L154" s="5"/>
      <c r="M154" s="5"/>
      <c r="N154" s="5"/>
      <c r="O154" s="5"/>
      <c r="P154" s="5"/>
    </row>
    <row r="155" spans="2:16" ht="26.25" customHeight="1">
      <c r="B155" s="128" t="s">
        <v>356</v>
      </c>
      <c r="C155" s="53">
        <f>+SUM(D155:H155)</f>
        <v>401700</v>
      </c>
      <c r="D155" s="115">
        <v>120000</v>
      </c>
      <c r="E155" s="115">
        <v>110000</v>
      </c>
      <c r="F155" s="115">
        <v>165000</v>
      </c>
      <c r="G155" s="115">
        <v>4500</v>
      </c>
      <c r="H155" s="115">
        <v>2200</v>
      </c>
      <c r="I155" s="54"/>
      <c r="J155" s="5"/>
      <c r="K155" s="5"/>
      <c r="L155" s="5"/>
      <c r="M155" s="5"/>
      <c r="N155" s="5"/>
      <c r="O155" s="5"/>
      <c r="P155" s="5"/>
    </row>
    <row r="156" spans="2:16" ht="26.25" customHeight="1">
      <c r="B156" s="129" t="s">
        <v>357</v>
      </c>
      <c r="C156" s="55">
        <f>+IFERROR(+SUM(D156:H156),0)</f>
        <v>1</v>
      </c>
      <c r="D156" s="56">
        <f>+IFERROR(D155/$C$155,0)</f>
        <v>0.29873039581777444</v>
      </c>
      <c r="E156" s="56">
        <f t="shared" ref="E156:H156" si="105">+IFERROR(E155/$C$155,0)</f>
        <v>0.27383619616629323</v>
      </c>
      <c r="F156" s="56">
        <f t="shared" si="105"/>
        <v>0.41075429424943988</v>
      </c>
      <c r="G156" s="56">
        <f t="shared" si="105"/>
        <v>1.1202389843166542E-2</v>
      </c>
      <c r="H156" s="56">
        <f t="shared" si="105"/>
        <v>5.4767239233258647E-3</v>
      </c>
      <c r="I156" s="54"/>
      <c r="J156" s="5"/>
      <c r="K156" s="5"/>
      <c r="L156" s="5"/>
      <c r="M156" s="5"/>
      <c r="N156" s="5"/>
      <c r="O156" s="5"/>
      <c r="P156" s="5"/>
    </row>
    <row r="157" spans="2:16">
      <c r="B157" s="57" t="s">
        <v>358</v>
      </c>
      <c r="C157" s="107">
        <v>2000</v>
      </c>
      <c r="D157" s="58">
        <f>+IFERROR(($C$157*D155)/$C$155,0)</f>
        <v>597.46079163554896</v>
      </c>
      <c r="E157" s="58">
        <f t="shared" ref="E157:H157" si="106">+IFERROR(($C$157*E155)/$C$155,0)</f>
        <v>547.67239233258647</v>
      </c>
      <c r="F157" s="58">
        <f t="shared" si="106"/>
        <v>821.50858849887982</v>
      </c>
      <c r="G157" s="58">
        <f t="shared" si="106"/>
        <v>22.404779686333086</v>
      </c>
      <c r="H157" s="58">
        <f t="shared" si="106"/>
        <v>10.953447846651731</v>
      </c>
      <c r="I157" s="54"/>
      <c r="J157" s="5"/>
      <c r="K157" s="5"/>
      <c r="L157" s="5"/>
      <c r="M157" s="5"/>
      <c r="N157" s="5"/>
      <c r="O157" s="5"/>
      <c r="P157" s="5"/>
    </row>
    <row r="158" spans="2:16">
      <c r="B158" s="233" t="s">
        <v>359</v>
      </c>
      <c r="C158" s="233"/>
      <c r="D158" s="108">
        <v>0.02</v>
      </c>
      <c r="E158" s="108">
        <v>0.01</v>
      </c>
      <c r="F158" s="108">
        <v>0.02</v>
      </c>
      <c r="G158" s="108">
        <v>1.45</v>
      </c>
      <c r="H158" s="108">
        <v>2.2000000000000002</v>
      </c>
      <c r="I158" s="54"/>
      <c r="J158" s="5"/>
      <c r="K158" s="5"/>
      <c r="L158" s="5"/>
      <c r="M158" s="5"/>
      <c r="N158" s="5"/>
      <c r="O158" s="5"/>
      <c r="P158" s="5"/>
    </row>
    <row r="159" spans="2:16">
      <c r="B159" s="232" t="s">
        <v>360</v>
      </c>
      <c r="C159" s="232"/>
      <c r="D159" s="108">
        <v>0.15</v>
      </c>
      <c r="E159" s="108">
        <v>0.09</v>
      </c>
      <c r="F159" s="108">
        <v>0.13</v>
      </c>
      <c r="G159" s="108">
        <v>5.62</v>
      </c>
      <c r="H159" s="108">
        <v>11.08</v>
      </c>
      <c r="I159" s="5"/>
      <c r="J159" s="5"/>
      <c r="K159" s="5"/>
      <c r="L159" s="5"/>
      <c r="M159" s="5"/>
      <c r="N159" s="5"/>
      <c r="O159" s="5"/>
      <c r="P159" s="5"/>
    </row>
    <row r="160" spans="2:16" ht="18.600000000000001">
      <c r="B160" s="59" t="s">
        <v>361</v>
      </c>
      <c r="C160" s="116">
        <f>+IFERROR(C157/((D156*(D159-D158))+(E156*(E159-E158))+(F156*(F159-F158))+(G156*(G159-G158))+(H156*(H159-H158))),0)</f>
        <v>9936.797318524199</v>
      </c>
      <c r="D160" s="117">
        <f>+IFERROR($C$160*D156,0)</f>
        <v>2968.4233961237337</v>
      </c>
      <c r="E160" s="117">
        <f t="shared" ref="E160:G160" si="107">+IFERROR($C$160*E156,0)</f>
        <v>2721.0547797800891</v>
      </c>
      <c r="F160" s="117">
        <f t="shared" si="107"/>
        <v>4081.5821696701341</v>
      </c>
      <c r="G160" s="117">
        <f t="shared" si="107"/>
        <v>111.31587735464002</v>
      </c>
      <c r="H160" s="117">
        <f>+IFERROR($C$160*H156,0)</f>
        <v>54.421095595601784</v>
      </c>
      <c r="I160" s="60"/>
      <c r="J160" s="5"/>
      <c r="K160" s="61"/>
      <c r="L160" s="61"/>
      <c r="M160" s="61"/>
      <c r="N160" s="61"/>
      <c r="O160" s="61"/>
      <c r="P160" s="61"/>
    </row>
    <row r="161" spans="2:16" ht="18.600000000000001">
      <c r="B161" s="62" t="s">
        <v>362</v>
      </c>
      <c r="C161" s="63">
        <f>+SUM(D161:H161)</f>
        <v>2449.3450915882304</v>
      </c>
      <c r="D161" s="64">
        <f>+D160*D159</f>
        <v>445.26350941856003</v>
      </c>
      <c r="E161" s="64">
        <f t="shared" ref="E161" si="108">+E160*E159</f>
        <v>244.89493018020801</v>
      </c>
      <c r="F161" s="64">
        <f t="shared" ref="F161" si="109">+F160*F159</f>
        <v>530.60568205711741</v>
      </c>
      <c r="G161" s="64">
        <f t="shared" ref="G161" si="110">+G160*G159</f>
        <v>625.59523073307696</v>
      </c>
      <c r="H161" s="64">
        <f>+H160*H159</f>
        <v>602.98573919926775</v>
      </c>
      <c r="I161" s="65"/>
      <c r="J161" s="5"/>
      <c r="K161" s="61"/>
      <c r="L161" s="61"/>
      <c r="M161" s="61"/>
      <c r="N161" s="61"/>
      <c r="O161" s="61"/>
      <c r="P161" s="61"/>
    </row>
    <row r="162" spans="2:16" ht="15.6">
      <c r="B162" s="234" t="s">
        <v>363</v>
      </c>
      <c r="C162" s="234"/>
      <c r="D162" s="234"/>
      <c r="E162" s="234"/>
      <c r="F162" s="234"/>
      <c r="G162" s="234"/>
      <c r="H162" s="234"/>
      <c r="I162" s="65"/>
      <c r="J162" s="5"/>
      <c r="K162" s="61"/>
      <c r="L162" s="61"/>
      <c r="M162" s="61"/>
      <c r="N162" s="61"/>
      <c r="O162" s="61"/>
      <c r="P162" s="61"/>
    </row>
    <row r="163" spans="2:16" ht="18.600000000000001">
      <c r="B163" s="66" t="s">
        <v>364</v>
      </c>
      <c r="C163" s="63">
        <f>+SUM(D163:H163)</f>
        <v>20165</v>
      </c>
      <c r="D163" s="64">
        <f>+D157+(D158*D155)</f>
        <v>2997.460791635549</v>
      </c>
      <c r="E163" s="64">
        <f t="shared" ref="E163:H163" si="111">+E157+(E158*E155)</f>
        <v>1647.6723923325865</v>
      </c>
      <c r="F163" s="64">
        <f t="shared" si="111"/>
        <v>4121.5085884988803</v>
      </c>
      <c r="G163" s="64">
        <f t="shared" si="111"/>
        <v>6547.4047796863333</v>
      </c>
      <c r="H163" s="64">
        <f t="shared" si="111"/>
        <v>4850.9534478466521</v>
      </c>
      <c r="I163" s="65"/>
      <c r="J163" s="5"/>
      <c r="K163" s="61"/>
      <c r="L163" s="61"/>
      <c r="M163" s="61"/>
      <c r="N163" s="61"/>
      <c r="O163" s="61"/>
      <c r="P163" s="61"/>
    </row>
    <row r="164" spans="2:16" ht="18.600000000000001">
      <c r="B164" s="67" t="s">
        <v>365</v>
      </c>
      <c r="C164" s="63">
        <f>+SUM(D164:H164)</f>
        <v>99016</v>
      </c>
      <c r="D164" s="64">
        <f>+D159*D155</f>
        <v>18000</v>
      </c>
      <c r="E164" s="64">
        <f t="shared" ref="E164:H164" si="112">+E159*E155</f>
        <v>9900</v>
      </c>
      <c r="F164" s="64">
        <f t="shared" si="112"/>
        <v>21450</v>
      </c>
      <c r="G164" s="64">
        <f t="shared" si="112"/>
        <v>25290</v>
      </c>
      <c r="H164" s="64">
        <f t="shared" si="112"/>
        <v>24376</v>
      </c>
      <c r="I164" s="60"/>
      <c r="J164" s="5"/>
      <c r="K164" s="61"/>
      <c r="L164" s="61"/>
      <c r="M164" s="61"/>
      <c r="N164" s="61"/>
      <c r="O164" s="61"/>
      <c r="P164" s="61"/>
    </row>
    <row r="165" spans="2:16" ht="18.600000000000001">
      <c r="B165" s="68" t="s">
        <v>366</v>
      </c>
      <c r="C165" s="156">
        <f>+SUM(D165:H165)</f>
        <v>78851</v>
      </c>
      <c r="D165" s="157">
        <f>+D164-D163</f>
        <v>15002.539208364451</v>
      </c>
      <c r="E165" s="157">
        <f t="shared" ref="E165:H165" si="113">+E164-E163</f>
        <v>8252.3276076674138</v>
      </c>
      <c r="F165" s="157">
        <f t="shared" si="113"/>
        <v>17328.49141150112</v>
      </c>
      <c r="G165" s="157">
        <f t="shared" si="113"/>
        <v>18742.595220313666</v>
      </c>
      <c r="H165" s="157">
        <f t="shared" si="113"/>
        <v>19525.046552153348</v>
      </c>
      <c r="I165" s="60"/>
      <c r="J165" s="5"/>
      <c r="K165" s="61"/>
      <c r="L165" s="61"/>
      <c r="M165" s="61"/>
      <c r="N165" s="61"/>
      <c r="O165" s="61"/>
      <c r="P165" s="61"/>
    </row>
    <row r="166" spans="2:16">
      <c r="B166" s="5"/>
      <c r="C166" s="5"/>
      <c r="D166" s="5"/>
      <c r="E166" s="5"/>
      <c r="F166" s="5"/>
      <c r="G166" s="5"/>
      <c r="H166" s="5"/>
      <c r="I166" s="5"/>
      <c r="J166" s="5"/>
      <c r="K166" s="5"/>
      <c r="L166" s="5"/>
      <c r="M166" s="5"/>
      <c r="N166" s="5"/>
      <c r="O166" s="5"/>
      <c r="P166" s="5"/>
    </row>
    <row r="167" spans="2:16" ht="21">
      <c r="B167" s="223" t="s">
        <v>367</v>
      </c>
      <c r="C167" s="230" t="str">
        <f>+C152</f>
        <v>SecondNote</v>
      </c>
      <c r="D167" s="230"/>
      <c r="E167" s="230"/>
      <c r="F167" s="230"/>
      <c r="G167" s="230"/>
      <c r="H167" s="230"/>
      <c r="I167" s="230"/>
      <c r="J167" s="230"/>
      <c r="K167" s="230"/>
      <c r="L167" s="230"/>
      <c r="M167" s="230"/>
      <c r="N167" s="230"/>
      <c r="O167" s="230"/>
      <c r="P167" s="223" t="s">
        <v>368</v>
      </c>
    </row>
    <row r="168" spans="2:16" ht="21">
      <c r="B168" s="223"/>
      <c r="C168" s="27"/>
      <c r="D168" s="27"/>
      <c r="E168" s="27"/>
      <c r="F168" s="27"/>
      <c r="G168" s="201" t="s">
        <v>369</v>
      </c>
      <c r="H168" s="201"/>
      <c r="I168" s="201"/>
      <c r="J168" s="201"/>
      <c r="K168" s="49">
        <f>+B169</f>
        <v>2027</v>
      </c>
      <c r="L168" s="27"/>
      <c r="M168" s="27"/>
      <c r="N168" s="27"/>
      <c r="O168" s="27"/>
      <c r="P168" s="223"/>
    </row>
    <row r="169" spans="2:16" ht="21">
      <c r="B169" s="69">
        <f>+B154</f>
        <v>2027</v>
      </c>
      <c r="C169" s="32" t="s">
        <v>309</v>
      </c>
      <c r="D169" s="34" t="s">
        <v>310</v>
      </c>
      <c r="E169" s="34" t="s">
        <v>311</v>
      </c>
      <c r="F169" s="34" t="s">
        <v>312</v>
      </c>
      <c r="G169" s="34" t="s">
        <v>313</v>
      </c>
      <c r="H169" s="34" t="s">
        <v>314</v>
      </c>
      <c r="I169" s="34" t="s">
        <v>315</v>
      </c>
      <c r="J169" s="34" t="s">
        <v>316</v>
      </c>
      <c r="K169" s="34" t="s">
        <v>317</v>
      </c>
      <c r="L169" s="34" t="s">
        <v>318</v>
      </c>
      <c r="M169" s="34" t="s">
        <v>319</v>
      </c>
      <c r="N169" s="34" t="s">
        <v>320</v>
      </c>
      <c r="O169" s="34" t="s">
        <v>321</v>
      </c>
      <c r="P169" s="223"/>
    </row>
    <row r="170" spans="2:16" ht="15.6">
      <c r="B170" s="70" t="s">
        <v>370</v>
      </c>
      <c r="C170" s="71">
        <f>+D155</f>
        <v>120000</v>
      </c>
      <c r="D170" s="109">
        <v>3800</v>
      </c>
      <c r="E170" s="109">
        <v>8500</v>
      </c>
      <c r="F170" s="109">
        <v>9100</v>
      </c>
      <c r="G170" s="109">
        <v>10200</v>
      </c>
      <c r="H170" s="109">
        <v>8500</v>
      </c>
      <c r="I170" s="109">
        <v>11900</v>
      </c>
      <c r="J170" s="109">
        <v>12500</v>
      </c>
      <c r="K170" s="109">
        <v>13000</v>
      </c>
      <c r="L170" s="109">
        <v>12000</v>
      </c>
      <c r="M170" s="109">
        <v>11000</v>
      </c>
      <c r="N170" s="109">
        <v>9500</v>
      </c>
      <c r="O170" s="109">
        <v>10000</v>
      </c>
      <c r="P170" s="72">
        <f>+C170-(SUM(D170:O170))</f>
        <v>0</v>
      </c>
    </row>
    <row r="171" spans="2:16" ht="15.6">
      <c r="B171" s="73" t="s">
        <v>371</v>
      </c>
      <c r="C171" s="71">
        <f>+E155</f>
        <v>110000</v>
      </c>
      <c r="D171" s="109">
        <v>10150</v>
      </c>
      <c r="E171" s="109">
        <v>7750</v>
      </c>
      <c r="F171" s="109">
        <v>7350</v>
      </c>
      <c r="G171" s="109">
        <v>7350</v>
      </c>
      <c r="H171" s="109">
        <v>6750</v>
      </c>
      <c r="I171" s="109">
        <v>6750</v>
      </c>
      <c r="J171" s="109">
        <v>6250</v>
      </c>
      <c r="K171" s="109">
        <v>7350</v>
      </c>
      <c r="L171" s="109">
        <v>7750</v>
      </c>
      <c r="M171" s="109">
        <v>10150</v>
      </c>
      <c r="N171" s="109">
        <v>10650</v>
      </c>
      <c r="O171" s="109">
        <v>21750</v>
      </c>
      <c r="P171" s="72">
        <f t="shared" ref="P171:P174" si="114">+C171-(SUM(D171:O171))</f>
        <v>0</v>
      </c>
    </row>
    <row r="172" spans="2:16" ht="15.6">
      <c r="B172" s="70" t="s">
        <v>372</v>
      </c>
      <c r="C172" s="71">
        <f>+F155</f>
        <v>165000</v>
      </c>
      <c r="D172" s="109">
        <v>11050</v>
      </c>
      <c r="E172" s="109">
        <v>11850</v>
      </c>
      <c r="F172" s="109">
        <v>14250</v>
      </c>
      <c r="G172" s="109">
        <v>19250</v>
      </c>
      <c r="H172" s="109">
        <v>21750</v>
      </c>
      <c r="I172" s="109">
        <v>14250</v>
      </c>
      <c r="J172" s="109">
        <v>17250</v>
      </c>
      <c r="K172" s="109">
        <v>19550</v>
      </c>
      <c r="L172" s="109">
        <v>9750</v>
      </c>
      <c r="M172" s="109">
        <v>8750</v>
      </c>
      <c r="N172" s="109">
        <v>8250</v>
      </c>
      <c r="O172" s="109">
        <v>9050</v>
      </c>
      <c r="P172" s="72">
        <f t="shared" si="114"/>
        <v>0</v>
      </c>
    </row>
    <row r="173" spans="2:16" ht="15.6">
      <c r="B173" s="73" t="s">
        <v>373</v>
      </c>
      <c r="C173" s="71">
        <f>+G155</f>
        <v>4500</v>
      </c>
      <c r="D173" s="109">
        <v>365</v>
      </c>
      <c r="E173" s="109">
        <v>335</v>
      </c>
      <c r="F173" s="109">
        <v>325</v>
      </c>
      <c r="G173" s="109">
        <v>425</v>
      </c>
      <c r="H173" s="109">
        <v>525</v>
      </c>
      <c r="I173" s="109">
        <v>325</v>
      </c>
      <c r="J173" s="109">
        <v>375</v>
      </c>
      <c r="K173" s="109">
        <v>425</v>
      </c>
      <c r="L173" s="109">
        <v>365</v>
      </c>
      <c r="M173" s="109">
        <v>335</v>
      </c>
      <c r="N173" s="109">
        <v>275</v>
      </c>
      <c r="O173" s="109">
        <v>425</v>
      </c>
      <c r="P173" s="72">
        <f t="shared" si="114"/>
        <v>0</v>
      </c>
    </row>
    <row r="174" spans="2:16" ht="15.6">
      <c r="B174" s="70" t="s">
        <v>374</v>
      </c>
      <c r="C174" s="71">
        <f>+H155</f>
        <v>2200</v>
      </c>
      <c r="D174" s="109">
        <v>270</v>
      </c>
      <c r="E174" s="109">
        <v>210</v>
      </c>
      <c r="F174" s="109">
        <v>190</v>
      </c>
      <c r="G174" s="109">
        <v>170</v>
      </c>
      <c r="H174" s="109">
        <v>140</v>
      </c>
      <c r="I174" s="109">
        <v>140</v>
      </c>
      <c r="J174" s="109">
        <v>130</v>
      </c>
      <c r="K174" s="109">
        <v>130</v>
      </c>
      <c r="L174" s="109">
        <v>150</v>
      </c>
      <c r="M174" s="109">
        <v>200</v>
      </c>
      <c r="N174" s="109">
        <v>240</v>
      </c>
      <c r="O174" s="109">
        <v>230</v>
      </c>
      <c r="P174" s="72">
        <f t="shared" si="114"/>
        <v>0</v>
      </c>
    </row>
    <row r="175" spans="2:16" ht="18.600000000000001">
      <c r="B175" s="44" t="s">
        <v>375</v>
      </c>
      <c r="C175" s="74">
        <f>SUM(C170:C174)</f>
        <v>401700</v>
      </c>
      <c r="D175" s="75">
        <f t="shared" ref="D175" si="115">SUM(D170:D174)</f>
        <v>25635</v>
      </c>
      <c r="E175" s="75">
        <f>SUM(E170:E174)</f>
        <v>28645</v>
      </c>
      <c r="F175" s="75">
        <f t="shared" ref="F175" si="116">SUM(F170:F174)</f>
        <v>31215</v>
      </c>
      <c r="G175" s="75">
        <f>SUM(G170:G174)</f>
        <v>37395</v>
      </c>
      <c r="H175" s="75">
        <f t="shared" ref="H175:O175" si="117">SUM(H170:H174)</f>
        <v>37665</v>
      </c>
      <c r="I175" s="75">
        <f t="shared" si="117"/>
        <v>33365</v>
      </c>
      <c r="J175" s="75">
        <f t="shared" si="117"/>
        <v>36505</v>
      </c>
      <c r="K175" s="75">
        <f t="shared" si="117"/>
        <v>40455</v>
      </c>
      <c r="L175" s="75">
        <f t="shared" si="117"/>
        <v>30015</v>
      </c>
      <c r="M175" s="75">
        <f t="shared" si="117"/>
        <v>30435</v>
      </c>
      <c r="N175" s="75">
        <f t="shared" si="117"/>
        <v>28915</v>
      </c>
      <c r="O175" s="75">
        <f t="shared" si="117"/>
        <v>41455</v>
      </c>
      <c r="P175" s="5"/>
    </row>
    <row r="176" spans="2:16" ht="15.6">
      <c r="B176" s="70" t="s">
        <v>376</v>
      </c>
      <c r="C176" s="76">
        <f>+D157</f>
        <v>597.46079163554896</v>
      </c>
      <c r="D176" s="77">
        <f>+C176/12</f>
        <v>49.788399302962411</v>
      </c>
      <c r="E176" s="77">
        <f>+D176</f>
        <v>49.788399302962411</v>
      </c>
      <c r="F176" s="77">
        <f t="shared" ref="F176:O176" si="118">+E176</f>
        <v>49.788399302962411</v>
      </c>
      <c r="G176" s="77">
        <f t="shared" si="118"/>
        <v>49.788399302962411</v>
      </c>
      <c r="H176" s="77">
        <f t="shared" si="118"/>
        <v>49.788399302962411</v>
      </c>
      <c r="I176" s="77">
        <f t="shared" si="118"/>
        <v>49.788399302962411</v>
      </c>
      <c r="J176" s="77">
        <f t="shared" si="118"/>
        <v>49.788399302962411</v>
      </c>
      <c r="K176" s="77">
        <f t="shared" si="118"/>
        <v>49.788399302962411</v>
      </c>
      <c r="L176" s="77">
        <f t="shared" si="118"/>
        <v>49.788399302962411</v>
      </c>
      <c r="M176" s="77">
        <f t="shared" si="118"/>
        <v>49.788399302962411</v>
      </c>
      <c r="N176" s="77">
        <f t="shared" si="118"/>
        <v>49.788399302962411</v>
      </c>
      <c r="O176" s="77">
        <f t="shared" si="118"/>
        <v>49.788399302962411</v>
      </c>
      <c r="P176" s="5"/>
    </row>
    <row r="177" spans="2:16" ht="15.6">
      <c r="B177" s="73" t="s">
        <v>377</v>
      </c>
      <c r="C177" s="76">
        <f>+E157</f>
        <v>547.67239233258647</v>
      </c>
      <c r="D177" s="77">
        <f>+C177/12</f>
        <v>45.639366027715539</v>
      </c>
      <c r="E177" s="77">
        <f>+D177</f>
        <v>45.639366027715539</v>
      </c>
      <c r="F177" s="77">
        <f t="shared" ref="F177:O177" si="119">+E177</f>
        <v>45.639366027715539</v>
      </c>
      <c r="G177" s="77">
        <f t="shared" si="119"/>
        <v>45.639366027715539</v>
      </c>
      <c r="H177" s="77">
        <f t="shared" si="119"/>
        <v>45.639366027715539</v>
      </c>
      <c r="I177" s="77">
        <f t="shared" si="119"/>
        <v>45.639366027715539</v>
      </c>
      <c r="J177" s="77">
        <f t="shared" si="119"/>
        <v>45.639366027715539</v>
      </c>
      <c r="K177" s="77">
        <f t="shared" si="119"/>
        <v>45.639366027715539</v>
      </c>
      <c r="L177" s="77">
        <f t="shared" si="119"/>
        <v>45.639366027715539</v>
      </c>
      <c r="M177" s="77">
        <f t="shared" si="119"/>
        <v>45.639366027715539</v>
      </c>
      <c r="N177" s="77">
        <f t="shared" si="119"/>
        <v>45.639366027715539</v>
      </c>
      <c r="O177" s="77">
        <f t="shared" si="119"/>
        <v>45.639366027715539</v>
      </c>
      <c r="P177" s="5"/>
    </row>
    <row r="178" spans="2:16" ht="15.6">
      <c r="B178" s="70" t="s">
        <v>378</v>
      </c>
      <c r="C178" s="76">
        <f>+F157</f>
        <v>821.50858849887982</v>
      </c>
      <c r="D178" s="77">
        <f>+C178/12</f>
        <v>68.459049041573323</v>
      </c>
      <c r="E178" s="77">
        <f t="shared" ref="E178:O178" si="120">+D178</f>
        <v>68.459049041573323</v>
      </c>
      <c r="F178" s="77">
        <f t="shared" si="120"/>
        <v>68.459049041573323</v>
      </c>
      <c r="G178" s="77">
        <f t="shared" si="120"/>
        <v>68.459049041573323</v>
      </c>
      <c r="H178" s="77">
        <f t="shared" si="120"/>
        <v>68.459049041573323</v>
      </c>
      <c r="I178" s="77">
        <f t="shared" si="120"/>
        <v>68.459049041573323</v>
      </c>
      <c r="J178" s="77">
        <f t="shared" si="120"/>
        <v>68.459049041573323</v>
      </c>
      <c r="K178" s="77">
        <f t="shared" si="120"/>
        <v>68.459049041573323</v>
      </c>
      <c r="L178" s="77">
        <f t="shared" si="120"/>
        <v>68.459049041573323</v>
      </c>
      <c r="M178" s="77">
        <f t="shared" si="120"/>
        <v>68.459049041573323</v>
      </c>
      <c r="N178" s="77">
        <f t="shared" si="120"/>
        <v>68.459049041573323</v>
      </c>
      <c r="O178" s="77">
        <f t="shared" si="120"/>
        <v>68.459049041573323</v>
      </c>
      <c r="P178" s="5"/>
    </row>
    <row r="179" spans="2:16" ht="15.6">
      <c r="B179" s="73" t="s">
        <v>379</v>
      </c>
      <c r="C179" s="76">
        <f>+G157</f>
        <v>22.404779686333086</v>
      </c>
      <c r="D179" s="77">
        <f t="shared" ref="D179" si="121">+C179/12</f>
        <v>1.8670649738610905</v>
      </c>
      <c r="E179" s="77">
        <f t="shared" ref="E179:O179" si="122">+D179</f>
        <v>1.8670649738610905</v>
      </c>
      <c r="F179" s="77">
        <f t="shared" si="122"/>
        <v>1.8670649738610905</v>
      </c>
      <c r="G179" s="77">
        <f t="shared" si="122"/>
        <v>1.8670649738610905</v>
      </c>
      <c r="H179" s="77">
        <f t="shared" si="122"/>
        <v>1.8670649738610905</v>
      </c>
      <c r="I179" s="77">
        <f t="shared" si="122"/>
        <v>1.8670649738610905</v>
      </c>
      <c r="J179" s="77">
        <f t="shared" si="122"/>
        <v>1.8670649738610905</v>
      </c>
      <c r="K179" s="77">
        <f t="shared" si="122"/>
        <v>1.8670649738610905</v>
      </c>
      <c r="L179" s="77">
        <f t="shared" si="122"/>
        <v>1.8670649738610905</v>
      </c>
      <c r="M179" s="77">
        <f t="shared" si="122"/>
        <v>1.8670649738610905</v>
      </c>
      <c r="N179" s="77">
        <f t="shared" si="122"/>
        <v>1.8670649738610905</v>
      </c>
      <c r="O179" s="77">
        <f t="shared" si="122"/>
        <v>1.8670649738610905</v>
      </c>
      <c r="P179" s="5"/>
    </row>
    <row r="180" spans="2:16" ht="15.6">
      <c r="B180" s="70" t="s">
        <v>380</v>
      </c>
      <c r="C180" s="76">
        <f>+H157</f>
        <v>10.953447846651731</v>
      </c>
      <c r="D180" s="77">
        <f>+C180/12</f>
        <v>0.91278732055431089</v>
      </c>
      <c r="E180" s="77">
        <f t="shared" ref="E180:N180" si="123">+D180</f>
        <v>0.91278732055431089</v>
      </c>
      <c r="F180" s="77">
        <f t="shared" si="123"/>
        <v>0.91278732055431089</v>
      </c>
      <c r="G180" s="77">
        <f t="shared" si="123"/>
        <v>0.91278732055431089</v>
      </c>
      <c r="H180" s="77">
        <f t="shared" si="123"/>
        <v>0.91278732055431089</v>
      </c>
      <c r="I180" s="77">
        <f t="shared" si="123"/>
        <v>0.91278732055431089</v>
      </c>
      <c r="J180" s="77">
        <f t="shared" si="123"/>
        <v>0.91278732055431089</v>
      </c>
      <c r="K180" s="77">
        <f t="shared" si="123"/>
        <v>0.91278732055431089</v>
      </c>
      <c r="L180" s="77">
        <f t="shared" si="123"/>
        <v>0.91278732055431089</v>
      </c>
      <c r="M180" s="77">
        <f t="shared" si="123"/>
        <v>0.91278732055431089</v>
      </c>
      <c r="N180" s="77">
        <f t="shared" si="123"/>
        <v>0.91278732055431089</v>
      </c>
      <c r="O180" s="77">
        <f>+N180</f>
        <v>0.91278732055431089</v>
      </c>
      <c r="P180" s="5"/>
    </row>
    <row r="181" spans="2:16" ht="18.600000000000001">
      <c r="B181" s="44" t="s">
        <v>381</v>
      </c>
      <c r="C181" s="78">
        <f>SUM(C176:C180)</f>
        <v>2000</v>
      </c>
      <c r="D181" s="79">
        <f t="shared" ref="D181:O181" si="124">SUM(D176:D180)</f>
        <v>166.66666666666666</v>
      </c>
      <c r="E181" s="79">
        <f t="shared" si="124"/>
        <v>166.66666666666666</v>
      </c>
      <c r="F181" s="79">
        <f t="shared" si="124"/>
        <v>166.66666666666666</v>
      </c>
      <c r="G181" s="79">
        <f t="shared" si="124"/>
        <v>166.66666666666666</v>
      </c>
      <c r="H181" s="79">
        <f t="shared" si="124"/>
        <v>166.66666666666666</v>
      </c>
      <c r="I181" s="79">
        <f t="shared" si="124"/>
        <v>166.66666666666666</v>
      </c>
      <c r="J181" s="79">
        <f t="shared" si="124"/>
        <v>166.66666666666666</v>
      </c>
      <c r="K181" s="79">
        <f t="shared" si="124"/>
        <v>166.66666666666666</v>
      </c>
      <c r="L181" s="79">
        <f t="shared" si="124"/>
        <v>166.66666666666666</v>
      </c>
      <c r="M181" s="79">
        <f t="shared" si="124"/>
        <v>166.66666666666666</v>
      </c>
      <c r="N181" s="79">
        <f t="shared" si="124"/>
        <v>166.66666666666666</v>
      </c>
      <c r="O181" s="79">
        <f t="shared" si="124"/>
        <v>166.66666666666666</v>
      </c>
      <c r="P181" s="5"/>
    </row>
    <row r="182" spans="2:16" ht="15.6">
      <c r="B182" s="70" t="s">
        <v>382</v>
      </c>
      <c r="C182" s="76">
        <f>SUM(D182:O182)</f>
        <v>2400</v>
      </c>
      <c r="D182" s="77">
        <f>+D170*$D$158</f>
        <v>76</v>
      </c>
      <c r="E182" s="77">
        <f t="shared" ref="E182:O182" si="125">+E170*$D$158</f>
        <v>170</v>
      </c>
      <c r="F182" s="77">
        <f t="shared" si="125"/>
        <v>182</v>
      </c>
      <c r="G182" s="77">
        <f t="shared" si="125"/>
        <v>204</v>
      </c>
      <c r="H182" s="77">
        <f t="shared" si="125"/>
        <v>170</v>
      </c>
      <c r="I182" s="77">
        <f t="shared" si="125"/>
        <v>238</v>
      </c>
      <c r="J182" s="77">
        <f t="shared" si="125"/>
        <v>250</v>
      </c>
      <c r="K182" s="77">
        <f t="shared" si="125"/>
        <v>260</v>
      </c>
      <c r="L182" s="77">
        <f t="shared" si="125"/>
        <v>240</v>
      </c>
      <c r="M182" s="77">
        <f t="shared" si="125"/>
        <v>220</v>
      </c>
      <c r="N182" s="77">
        <f t="shared" si="125"/>
        <v>190</v>
      </c>
      <c r="O182" s="77">
        <f t="shared" si="125"/>
        <v>200</v>
      </c>
      <c r="P182" s="5"/>
    </row>
    <row r="183" spans="2:16" ht="15.6">
      <c r="B183" s="70" t="s">
        <v>383</v>
      </c>
      <c r="C183" s="76">
        <f t="shared" ref="C183:C186" si="126">SUM(D183:O183)</f>
        <v>1100</v>
      </c>
      <c r="D183" s="77">
        <f>+D171*$E$158</f>
        <v>101.5</v>
      </c>
      <c r="E183" s="77">
        <f t="shared" ref="E183:O183" si="127">+E171*$E$158</f>
        <v>77.5</v>
      </c>
      <c r="F183" s="77">
        <f t="shared" si="127"/>
        <v>73.5</v>
      </c>
      <c r="G183" s="77">
        <f t="shared" si="127"/>
        <v>73.5</v>
      </c>
      <c r="H183" s="77">
        <f t="shared" si="127"/>
        <v>67.5</v>
      </c>
      <c r="I183" s="77">
        <f t="shared" si="127"/>
        <v>67.5</v>
      </c>
      <c r="J183" s="77">
        <f t="shared" si="127"/>
        <v>62.5</v>
      </c>
      <c r="K183" s="77">
        <f t="shared" si="127"/>
        <v>73.5</v>
      </c>
      <c r="L183" s="77">
        <f t="shared" si="127"/>
        <v>77.5</v>
      </c>
      <c r="M183" s="77">
        <f t="shared" si="127"/>
        <v>101.5</v>
      </c>
      <c r="N183" s="77">
        <f t="shared" si="127"/>
        <v>106.5</v>
      </c>
      <c r="O183" s="77">
        <f t="shared" si="127"/>
        <v>217.5</v>
      </c>
      <c r="P183" s="5"/>
    </row>
    <row r="184" spans="2:16" ht="15.6">
      <c r="B184" s="70" t="s">
        <v>384</v>
      </c>
      <c r="C184" s="76">
        <f t="shared" si="126"/>
        <v>3300</v>
      </c>
      <c r="D184" s="77">
        <f>+D172*$F$158</f>
        <v>221</v>
      </c>
      <c r="E184" s="77">
        <f t="shared" ref="E184:O184" si="128">+E172*$F$158</f>
        <v>237</v>
      </c>
      <c r="F184" s="77">
        <f t="shared" si="128"/>
        <v>285</v>
      </c>
      <c r="G184" s="77">
        <f t="shared" si="128"/>
        <v>385</v>
      </c>
      <c r="H184" s="77">
        <f t="shared" si="128"/>
        <v>435</v>
      </c>
      <c r="I184" s="77">
        <f t="shared" si="128"/>
        <v>285</v>
      </c>
      <c r="J184" s="77">
        <f t="shared" si="128"/>
        <v>345</v>
      </c>
      <c r="K184" s="77">
        <f t="shared" si="128"/>
        <v>391</v>
      </c>
      <c r="L184" s="77">
        <f t="shared" si="128"/>
        <v>195</v>
      </c>
      <c r="M184" s="77">
        <f>+M172*$F$158</f>
        <v>175</v>
      </c>
      <c r="N184" s="77">
        <f t="shared" si="128"/>
        <v>165</v>
      </c>
      <c r="O184" s="77">
        <f t="shared" si="128"/>
        <v>181</v>
      </c>
      <c r="P184" s="5"/>
    </row>
    <row r="185" spans="2:16" ht="15.6">
      <c r="B185" s="70" t="s">
        <v>385</v>
      </c>
      <c r="C185" s="76">
        <f t="shared" si="126"/>
        <v>6525</v>
      </c>
      <c r="D185" s="77">
        <f>+D173*$G$158</f>
        <v>529.25</v>
      </c>
      <c r="E185" s="77">
        <f t="shared" ref="E185:O185" si="129">+E173*$G$158</f>
        <v>485.75</v>
      </c>
      <c r="F185" s="77">
        <f t="shared" si="129"/>
        <v>471.25</v>
      </c>
      <c r="G185" s="77">
        <f t="shared" si="129"/>
        <v>616.25</v>
      </c>
      <c r="H185" s="77">
        <f t="shared" si="129"/>
        <v>761.25</v>
      </c>
      <c r="I185" s="77">
        <f t="shared" si="129"/>
        <v>471.25</v>
      </c>
      <c r="J185" s="77">
        <f t="shared" si="129"/>
        <v>543.75</v>
      </c>
      <c r="K185" s="77">
        <f t="shared" si="129"/>
        <v>616.25</v>
      </c>
      <c r="L185" s="77">
        <f t="shared" si="129"/>
        <v>529.25</v>
      </c>
      <c r="M185" s="77">
        <f t="shared" si="129"/>
        <v>485.75</v>
      </c>
      <c r="N185" s="77">
        <f t="shared" si="129"/>
        <v>398.75</v>
      </c>
      <c r="O185" s="77">
        <f t="shared" si="129"/>
        <v>616.25</v>
      </c>
      <c r="P185" s="5"/>
    </row>
    <row r="186" spans="2:16" ht="15.6">
      <c r="B186" s="70" t="s">
        <v>386</v>
      </c>
      <c r="C186" s="76">
        <f t="shared" si="126"/>
        <v>4840</v>
      </c>
      <c r="D186" s="77">
        <f>+D174*$H$158</f>
        <v>594</v>
      </c>
      <c r="E186" s="77">
        <f t="shared" ref="E186:N186" si="130">+E174*$H$158</f>
        <v>462.00000000000006</v>
      </c>
      <c r="F186" s="77">
        <f t="shared" si="130"/>
        <v>418.00000000000006</v>
      </c>
      <c r="G186" s="77">
        <f t="shared" si="130"/>
        <v>374.00000000000006</v>
      </c>
      <c r="H186" s="77">
        <f t="shared" si="130"/>
        <v>308</v>
      </c>
      <c r="I186" s="77">
        <f t="shared" si="130"/>
        <v>308</v>
      </c>
      <c r="J186" s="77">
        <f t="shared" si="130"/>
        <v>286</v>
      </c>
      <c r="K186" s="77">
        <f t="shared" si="130"/>
        <v>286</v>
      </c>
      <c r="L186" s="77">
        <f t="shared" si="130"/>
        <v>330</v>
      </c>
      <c r="M186" s="77">
        <f t="shared" si="130"/>
        <v>440.00000000000006</v>
      </c>
      <c r="N186" s="77">
        <f t="shared" si="130"/>
        <v>528</v>
      </c>
      <c r="O186" s="77">
        <f>+O174*$H$158</f>
        <v>506.00000000000006</v>
      </c>
      <c r="P186" s="5"/>
    </row>
    <row r="187" spans="2:16" ht="18.600000000000001">
      <c r="B187" s="44" t="s">
        <v>387</v>
      </c>
      <c r="C187" s="78">
        <f>SUM(C182:C186)</f>
        <v>18165</v>
      </c>
      <c r="D187" s="79">
        <f>SUM(D182:D186)</f>
        <v>1521.75</v>
      </c>
      <c r="E187" s="79">
        <f t="shared" ref="E187:O187" si="131">+(E182*E170)+(E183*E171)+(E184*E172)</f>
        <v>4854075</v>
      </c>
      <c r="F187" s="79">
        <f t="shared" si="131"/>
        <v>6257675</v>
      </c>
      <c r="G187" s="79">
        <f t="shared" si="131"/>
        <v>10032275</v>
      </c>
      <c r="H187" s="79">
        <f t="shared" si="131"/>
        <v>11361875</v>
      </c>
      <c r="I187" s="79">
        <f t="shared" si="131"/>
        <v>7349075</v>
      </c>
      <c r="J187" s="79">
        <f t="shared" si="131"/>
        <v>9466875</v>
      </c>
      <c r="K187" s="79">
        <f t="shared" si="131"/>
        <v>11564275</v>
      </c>
      <c r="L187" s="79">
        <f t="shared" si="131"/>
        <v>5381875</v>
      </c>
      <c r="M187" s="79">
        <f t="shared" si="131"/>
        <v>4981475</v>
      </c>
      <c r="N187" s="79">
        <f t="shared" si="131"/>
        <v>4300475</v>
      </c>
      <c r="O187" s="79">
        <f t="shared" si="131"/>
        <v>8368675</v>
      </c>
      <c r="P187" s="5"/>
    </row>
    <row r="188" spans="2:16" ht="15.6">
      <c r="B188" s="70" t="s">
        <v>388</v>
      </c>
      <c r="C188" s="76">
        <f>+C182+C176</f>
        <v>2997.460791635549</v>
      </c>
      <c r="D188" s="77">
        <f>+D182+D176</f>
        <v>125.7883993029624</v>
      </c>
      <c r="E188" s="77">
        <f t="shared" ref="E188:O188" si="132">+E182+E176</f>
        <v>219.7883993029624</v>
      </c>
      <c r="F188" s="77">
        <f t="shared" si="132"/>
        <v>231.7883993029624</v>
      </c>
      <c r="G188" s="77">
        <f t="shared" si="132"/>
        <v>253.7883993029624</v>
      </c>
      <c r="H188" s="77">
        <f t="shared" si="132"/>
        <v>219.7883993029624</v>
      </c>
      <c r="I188" s="77">
        <f t="shared" si="132"/>
        <v>287.78839930296243</v>
      </c>
      <c r="J188" s="77">
        <f t="shared" si="132"/>
        <v>299.78839930296243</v>
      </c>
      <c r="K188" s="77">
        <f t="shared" si="132"/>
        <v>309.78839930296243</v>
      </c>
      <c r="L188" s="77">
        <f t="shared" si="132"/>
        <v>289.78839930296243</v>
      </c>
      <c r="M188" s="77">
        <f t="shared" si="132"/>
        <v>269.78839930296243</v>
      </c>
      <c r="N188" s="77">
        <f t="shared" si="132"/>
        <v>239.7883993029624</v>
      </c>
      <c r="O188" s="77">
        <f t="shared" si="132"/>
        <v>249.7883993029624</v>
      </c>
      <c r="P188" s="5"/>
    </row>
    <row r="189" spans="2:16" ht="15.6">
      <c r="B189" s="73" t="s">
        <v>389</v>
      </c>
      <c r="C189" s="76">
        <f>+C183+C177</f>
        <v>1647.6723923325865</v>
      </c>
      <c r="D189" s="77">
        <f t="shared" ref="D189:F189" si="133">+D183+D177</f>
        <v>147.13936602771554</v>
      </c>
      <c r="E189" s="77">
        <f t="shared" si="133"/>
        <v>123.13936602771554</v>
      </c>
      <c r="F189" s="77">
        <f t="shared" si="133"/>
        <v>119.13936602771554</v>
      </c>
      <c r="G189" s="77">
        <f>+G183+G177</f>
        <v>119.13936602771554</v>
      </c>
      <c r="H189" s="77">
        <f t="shared" ref="H189:O189" si="134">+H183+H177</f>
        <v>113.13936602771554</v>
      </c>
      <c r="I189" s="77">
        <f t="shared" si="134"/>
        <v>113.13936602771554</v>
      </c>
      <c r="J189" s="77">
        <f t="shared" si="134"/>
        <v>108.13936602771554</v>
      </c>
      <c r="K189" s="77">
        <f t="shared" si="134"/>
        <v>119.13936602771554</v>
      </c>
      <c r="L189" s="77">
        <f t="shared" si="134"/>
        <v>123.13936602771554</v>
      </c>
      <c r="M189" s="77">
        <f t="shared" si="134"/>
        <v>147.13936602771554</v>
      </c>
      <c r="N189" s="77">
        <f t="shared" si="134"/>
        <v>152.13936602771554</v>
      </c>
      <c r="O189" s="77">
        <f t="shared" si="134"/>
        <v>263.13936602771554</v>
      </c>
      <c r="P189" s="5"/>
    </row>
    <row r="190" spans="2:16" ht="15.6">
      <c r="B190" s="70" t="s">
        <v>390</v>
      </c>
      <c r="C190" s="76">
        <f t="shared" ref="C190:O190" si="135">+C184+C178</f>
        <v>4121.5085884988803</v>
      </c>
      <c r="D190" s="77">
        <f t="shared" si="135"/>
        <v>289.45904904157334</v>
      </c>
      <c r="E190" s="77">
        <f t="shared" si="135"/>
        <v>305.45904904157334</v>
      </c>
      <c r="F190" s="77">
        <f t="shared" si="135"/>
        <v>353.45904904157334</v>
      </c>
      <c r="G190" s="77">
        <f t="shared" si="135"/>
        <v>453.45904904157334</v>
      </c>
      <c r="H190" s="77">
        <f t="shared" si="135"/>
        <v>503.45904904157334</v>
      </c>
      <c r="I190" s="77">
        <f t="shared" si="135"/>
        <v>353.45904904157334</v>
      </c>
      <c r="J190" s="77">
        <f t="shared" si="135"/>
        <v>413.45904904157334</v>
      </c>
      <c r="K190" s="77">
        <f t="shared" si="135"/>
        <v>459.45904904157334</v>
      </c>
      <c r="L190" s="77">
        <f t="shared" si="135"/>
        <v>263.45904904157334</v>
      </c>
      <c r="M190" s="77">
        <f t="shared" si="135"/>
        <v>243.45904904157334</v>
      </c>
      <c r="N190" s="77">
        <f t="shared" si="135"/>
        <v>233.45904904157334</v>
      </c>
      <c r="O190" s="77">
        <f t="shared" si="135"/>
        <v>249.45904904157334</v>
      </c>
      <c r="P190" s="5"/>
    </row>
    <row r="191" spans="2:16" ht="15.6">
      <c r="B191" s="73" t="s">
        <v>391</v>
      </c>
      <c r="C191" s="76">
        <f t="shared" ref="C191:O191" si="136">+C185+C179</f>
        <v>6547.4047796863333</v>
      </c>
      <c r="D191" s="77">
        <f t="shared" si="136"/>
        <v>531.11706497386103</v>
      </c>
      <c r="E191" s="77">
        <f t="shared" si="136"/>
        <v>487.61706497386109</v>
      </c>
      <c r="F191" s="77">
        <f t="shared" si="136"/>
        <v>473.11706497386109</v>
      </c>
      <c r="G191" s="77">
        <f t="shared" si="136"/>
        <v>618.11706497386103</v>
      </c>
      <c r="H191" s="77">
        <f t="shared" si="136"/>
        <v>763.11706497386103</v>
      </c>
      <c r="I191" s="77">
        <f t="shared" si="136"/>
        <v>473.11706497386109</v>
      </c>
      <c r="J191" s="77">
        <f t="shared" si="136"/>
        <v>545.61706497386103</v>
      </c>
      <c r="K191" s="77">
        <f t="shared" si="136"/>
        <v>618.11706497386103</v>
      </c>
      <c r="L191" s="77">
        <f t="shared" si="136"/>
        <v>531.11706497386103</v>
      </c>
      <c r="M191" s="77">
        <f t="shared" si="136"/>
        <v>487.61706497386109</v>
      </c>
      <c r="N191" s="77">
        <f t="shared" si="136"/>
        <v>400.61706497386109</v>
      </c>
      <c r="O191" s="77">
        <f t="shared" si="136"/>
        <v>618.11706497386103</v>
      </c>
      <c r="P191" s="5"/>
    </row>
    <row r="192" spans="2:16" ht="15.6">
      <c r="B192" s="70" t="s">
        <v>392</v>
      </c>
      <c r="C192" s="76">
        <f t="shared" ref="C192:O192" si="137">+C186+C180</f>
        <v>4850.9534478466521</v>
      </c>
      <c r="D192" s="77">
        <f t="shared" si="137"/>
        <v>594.91278732055434</v>
      </c>
      <c r="E192" s="77">
        <f t="shared" si="137"/>
        <v>462.91278732055434</v>
      </c>
      <c r="F192" s="77">
        <f t="shared" si="137"/>
        <v>418.91278732055434</v>
      </c>
      <c r="G192" s="77">
        <f t="shared" si="137"/>
        <v>374.91278732055434</v>
      </c>
      <c r="H192" s="77">
        <f t="shared" si="137"/>
        <v>308.91278732055429</v>
      </c>
      <c r="I192" s="77">
        <f t="shared" si="137"/>
        <v>308.91278732055429</v>
      </c>
      <c r="J192" s="77">
        <f t="shared" si="137"/>
        <v>286.91278732055429</v>
      </c>
      <c r="K192" s="77">
        <f t="shared" si="137"/>
        <v>286.91278732055429</v>
      </c>
      <c r="L192" s="77">
        <f t="shared" si="137"/>
        <v>330.91278732055429</v>
      </c>
      <c r="M192" s="77">
        <f t="shared" si="137"/>
        <v>440.91278732055434</v>
      </c>
      <c r="N192" s="77">
        <f t="shared" si="137"/>
        <v>528.91278732055434</v>
      </c>
      <c r="O192" s="77">
        <f t="shared" si="137"/>
        <v>506.91278732055434</v>
      </c>
      <c r="P192" s="5"/>
    </row>
    <row r="193" spans="2:16" ht="18.600000000000001">
      <c r="B193" s="44" t="s">
        <v>393</v>
      </c>
      <c r="C193" s="78">
        <f>SUM(C188:C192)</f>
        <v>20165</v>
      </c>
      <c r="D193" s="79">
        <f t="shared" ref="D193:O193" si="138">SUM(D188:D192)</f>
        <v>1688.4166666666667</v>
      </c>
      <c r="E193" s="79">
        <f t="shared" si="138"/>
        <v>1598.9166666666667</v>
      </c>
      <c r="F193" s="79">
        <f t="shared" si="138"/>
        <v>1596.4166666666667</v>
      </c>
      <c r="G193" s="79">
        <f t="shared" si="138"/>
        <v>1819.4166666666667</v>
      </c>
      <c r="H193" s="79">
        <f t="shared" si="138"/>
        <v>1908.4166666666667</v>
      </c>
      <c r="I193" s="79">
        <f t="shared" si="138"/>
        <v>1536.4166666666667</v>
      </c>
      <c r="J193" s="79">
        <f t="shared" si="138"/>
        <v>1653.9166666666667</v>
      </c>
      <c r="K193" s="79">
        <f t="shared" si="138"/>
        <v>1793.4166666666667</v>
      </c>
      <c r="L193" s="79">
        <f t="shared" si="138"/>
        <v>1538.4166666666667</v>
      </c>
      <c r="M193" s="79">
        <f t="shared" si="138"/>
        <v>1588.9166666666667</v>
      </c>
      <c r="N193" s="79">
        <f t="shared" si="138"/>
        <v>1554.9166666666667</v>
      </c>
      <c r="O193" s="79">
        <f t="shared" si="138"/>
        <v>1887.4166666666667</v>
      </c>
      <c r="P193" s="34" t="s">
        <v>394</v>
      </c>
    </row>
    <row r="194" spans="2:16">
      <c r="B194" s="236" t="s">
        <v>395</v>
      </c>
      <c r="C194" s="236"/>
      <c r="D194" s="110">
        <v>0.15</v>
      </c>
      <c r="E194" s="110">
        <v>0.14000000000000001</v>
      </c>
      <c r="F194" s="110">
        <v>0.14000000000000001</v>
      </c>
      <c r="G194" s="110">
        <v>0.15</v>
      </c>
      <c r="H194" s="110">
        <v>0.15</v>
      </c>
      <c r="I194" s="110">
        <v>0.16</v>
      </c>
      <c r="J194" s="110">
        <v>0.16</v>
      </c>
      <c r="K194" s="110">
        <v>0.14000000000000001</v>
      </c>
      <c r="L194" s="110">
        <v>0.15</v>
      </c>
      <c r="M194" s="110">
        <v>0.15</v>
      </c>
      <c r="N194" s="110">
        <v>0.15</v>
      </c>
      <c r="O194" s="110">
        <v>0.16</v>
      </c>
      <c r="P194" s="80">
        <f>+IFERROR(((D194*D170)+(E194*E170)+(F194*F170)+(G194*G170)+(H194*H170)+(I194*I170)+(J194*J170)+(K194*K170)+(L194*L170)+(M194*M170)+(N194*N170)+(O194*O170))/C170,0)</f>
        <v>0.15031666666666665</v>
      </c>
    </row>
    <row r="195" spans="2:16">
      <c r="B195" s="235" t="s">
        <v>396</v>
      </c>
      <c r="C195" s="235"/>
      <c r="D195" s="101">
        <v>0.08</v>
      </c>
      <c r="E195" s="101">
        <v>0.09</v>
      </c>
      <c r="F195" s="101">
        <v>0.09</v>
      </c>
      <c r="G195" s="101">
        <v>0.08</v>
      </c>
      <c r="H195" s="101">
        <v>0.09</v>
      </c>
      <c r="I195" s="101">
        <v>0.09</v>
      </c>
      <c r="J195" s="101">
        <v>0.09</v>
      </c>
      <c r="K195" s="101">
        <v>0.1</v>
      </c>
      <c r="L195" s="101">
        <v>0.09</v>
      </c>
      <c r="M195" s="101">
        <v>0.09</v>
      </c>
      <c r="N195" s="101">
        <v>0.09</v>
      </c>
      <c r="O195" s="101">
        <v>0.08</v>
      </c>
      <c r="P195" s="80">
        <f t="shared" ref="P195:P197" si="139">+IFERROR(((D195*D171)+(E195*E171)+(F195*F171)+(G195*G171)+(H195*H171)+(I195*I171)+(J195*J171)+(K195*K171)+(L195*L171)+(M195*M171)+(N195*N171)+(O195*O171))/C171,0)</f>
        <v>8.7099999999999997E-2</v>
      </c>
    </row>
    <row r="196" spans="2:16">
      <c r="B196" s="236" t="s">
        <v>397</v>
      </c>
      <c r="C196" s="236"/>
      <c r="D196" s="110">
        <v>0.11</v>
      </c>
      <c r="E196" s="110">
        <v>0.13</v>
      </c>
      <c r="F196" s="110">
        <v>0.12</v>
      </c>
      <c r="G196" s="110">
        <v>0.13</v>
      </c>
      <c r="H196" s="110">
        <v>0.15</v>
      </c>
      <c r="I196" s="110">
        <v>0.13</v>
      </c>
      <c r="J196" s="110">
        <v>0.14000000000000001</v>
      </c>
      <c r="K196" s="110">
        <v>0.13</v>
      </c>
      <c r="L196" s="110">
        <v>0.13</v>
      </c>
      <c r="M196" s="110">
        <v>0.12</v>
      </c>
      <c r="N196" s="110">
        <v>0.13</v>
      </c>
      <c r="O196" s="110">
        <v>0.14000000000000001</v>
      </c>
      <c r="P196" s="80">
        <f t="shared" si="139"/>
        <v>0.1314969696969697</v>
      </c>
    </row>
    <row r="197" spans="2:16">
      <c r="B197" s="235" t="s">
        <v>398</v>
      </c>
      <c r="C197" s="235"/>
      <c r="D197" s="101">
        <v>6</v>
      </c>
      <c r="E197" s="101">
        <v>5</v>
      </c>
      <c r="F197" s="101">
        <v>5</v>
      </c>
      <c r="G197" s="101">
        <v>5</v>
      </c>
      <c r="H197" s="101">
        <v>6</v>
      </c>
      <c r="I197" s="101">
        <v>6</v>
      </c>
      <c r="J197" s="101">
        <v>6</v>
      </c>
      <c r="K197" s="101">
        <v>6</v>
      </c>
      <c r="L197" s="101">
        <v>6</v>
      </c>
      <c r="M197" s="101">
        <v>5</v>
      </c>
      <c r="N197" s="101">
        <v>5</v>
      </c>
      <c r="O197" s="101">
        <v>6</v>
      </c>
      <c r="P197" s="80">
        <f t="shared" si="139"/>
        <v>5.6233333333333331</v>
      </c>
    </row>
    <row r="198" spans="2:16">
      <c r="B198" s="236" t="s">
        <v>399</v>
      </c>
      <c r="C198" s="236"/>
      <c r="D198" s="110">
        <v>12</v>
      </c>
      <c r="E198" s="110">
        <v>10</v>
      </c>
      <c r="F198" s="110">
        <v>10</v>
      </c>
      <c r="G198" s="110">
        <v>10</v>
      </c>
      <c r="H198" s="110">
        <v>12</v>
      </c>
      <c r="I198" s="110">
        <v>12</v>
      </c>
      <c r="J198" s="110">
        <v>12</v>
      </c>
      <c r="K198" s="110">
        <v>12</v>
      </c>
      <c r="L198" s="110">
        <v>12</v>
      </c>
      <c r="M198" s="110">
        <v>10</v>
      </c>
      <c r="N198" s="110">
        <v>10</v>
      </c>
      <c r="O198" s="110">
        <v>12</v>
      </c>
      <c r="P198" s="80">
        <f>+IFERROR(((D198*D174)+(E198*E174)+(F198*F174)+(G198*G174)+(H198*H174)+(I198*I174)+(J198*J174)+(K198*K174)+(L198*L174)+(M198*M174)+(N198*N174)+(O198*O174))/C174,0)</f>
        <v>11.081818181818182</v>
      </c>
    </row>
    <row r="199" spans="2:16" ht="18.600000000000001">
      <c r="B199" s="44" t="s">
        <v>400</v>
      </c>
      <c r="C199" s="78">
        <f>SUM(D199:O199)</f>
        <v>99001</v>
      </c>
      <c r="D199" s="79">
        <f t="shared" ref="D199" si="140">+(D194*D170)+(D195*D171)+(D196*D172)+(D197*D173)+(D198*D174)</f>
        <v>8027.5</v>
      </c>
      <c r="E199" s="79">
        <f>+(E194*E170)+(E195*E171)+(E196*E172)+(E197*E173)+(E198*E174)</f>
        <v>7203</v>
      </c>
      <c r="F199" s="79">
        <f t="shared" ref="F199:H199" si="141">+(F194*F170)+(F195*F171)+(F196*F172)+(F197*F173)+(F198*F174)</f>
        <v>7170.5</v>
      </c>
      <c r="G199" s="79">
        <f t="shared" si="141"/>
        <v>8445.5</v>
      </c>
      <c r="H199" s="79">
        <f t="shared" si="141"/>
        <v>9975</v>
      </c>
      <c r="I199" s="79">
        <f>+(I194*I170)+(I195*I171)+(I196*I172)+(I197*I173)+(I198*I174)</f>
        <v>7994</v>
      </c>
      <c r="J199" s="79">
        <f t="shared" ref="J199:O199" si="142">+(J194*J170)+(J195*J171)+(J196*J172)+(J197*J173)+(J198*J174)</f>
        <v>8787.5</v>
      </c>
      <c r="K199" s="79">
        <f t="shared" si="142"/>
        <v>9206.5</v>
      </c>
      <c r="L199" s="79">
        <f t="shared" si="142"/>
        <v>7755</v>
      </c>
      <c r="M199" s="79">
        <f t="shared" si="142"/>
        <v>7288.5</v>
      </c>
      <c r="N199" s="79">
        <f t="shared" si="142"/>
        <v>7231</v>
      </c>
      <c r="O199" s="79">
        <f t="shared" si="142"/>
        <v>9917</v>
      </c>
      <c r="P199" s="5"/>
    </row>
    <row r="200" spans="2:16" ht="21">
      <c r="B200" s="33" t="s">
        <v>366</v>
      </c>
      <c r="C200" s="159">
        <f>+C199-C193</f>
        <v>78836</v>
      </c>
      <c r="D200" s="160">
        <f>+D199-D193</f>
        <v>6339.083333333333</v>
      </c>
      <c r="E200" s="160">
        <f t="shared" ref="E200:O200" si="143">+E199-E193</f>
        <v>5604.083333333333</v>
      </c>
      <c r="F200" s="160">
        <f t="shared" si="143"/>
        <v>5574.083333333333</v>
      </c>
      <c r="G200" s="160">
        <f t="shared" si="143"/>
        <v>6626.083333333333</v>
      </c>
      <c r="H200" s="160">
        <f t="shared" si="143"/>
        <v>8066.583333333333</v>
      </c>
      <c r="I200" s="160">
        <f t="shared" si="143"/>
        <v>6457.583333333333</v>
      </c>
      <c r="J200" s="160">
        <f t="shared" si="143"/>
        <v>7133.583333333333</v>
      </c>
      <c r="K200" s="160">
        <f t="shared" si="143"/>
        <v>7413.083333333333</v>
      </c>
      <c r="L200" s="160">
        <f t="shared" si="143"/>
        <v>6216.583333333333</v>
      </c>
      <c r="M200" s="160">
        <f t="shared" si="143"/>
        <v>5699.583333333333</v>
      </c>
      <c r="N200" s="160">
        <f t="shared" si="143"/>
        <v>5676.083333333333</v>
      </c>
      <c r="O200" s="160">
        <f t="shared" si="143"/>
        <v>8029.583333333333</v>
      </c>
      <c r="P200" s="5"/>
    </row>
    <row r="202" spans="2:16" ht="21">
      <c r="B202" s="230" t="s">
        <v>348</v>
      </c>
      <c r="C202" s="230" t="str">
        <f>+C152</f>
        <v>SecondNote</v>
      </c>
      <c r="D202" s="230"/>
      <c r="E202" s="230"/>
      <c r="F202" s="230"/>
      <c r="G202" s="230"/>
      <c r="H202" s="230"/>
      <c r="I202" s="5"/>
      <c r="J202" s="5"/>
      <c r="K202" s="5"/>
      <c r="L202" s="5"/>
      <c r="M202" s="5"/>
      <c r="N202" s="5"/>
      <c r="O202" s="5"/>
      <c r="P202" s="5"/>
    </row>
    <row r="203" spans="2:16" ht="21">
      <c r="B203" s="230"/>
      <c r="C203" s="230" t="s">
        <v>349</v>
      </c>
      <c r="D203" s="230" t="s">
        <v>350</v>
      </c>
      <c r="E203" s="230"/>
      <c r="F203" s="230"/>
      <c r="G203" s="230"/>
      <c r="H203" s="230"/>
      <c r="I203" s="5"/>
      <c r="J203" s="5"/>
      <c r="K203" s="5"/>
      <c r="L203" s="5"/>
      <c r="M203" s="5"/>
      <c r="N203" s="5"/>
      <c r="O203" s="5"/>
      <c r="P203" s="5"/>
    </row>
    <row r="204" spans="2:16" ht="21">
      <c r="B204" s="32">
        <f>+B154+1</f>
        <v>2028</v>
      </c>
      <c r="C204" s="230"/>
      <c r="D204" s="32" t="s">
        <v>351</v>
      </c>
      <c r="E204" s="32" t="s">
        <v>352</v>
      </c>
      <c r="F204" s="32" t="s">
        <v>353</v>
      </c>
      <c r="G204" s="32" t="s">
        <v>354</v>
      </c>
      <c r="H204" s="32" t="s">
        <v>355</v>
      </c>
      <c r="I204" s="5"/>
      <c r="J204" s="5"/>
      <c r="K204" s="5"/>
      <c r="L204" s="5"/>
      <c r="M204" s="5"/>
      <c r="N204" s="5"/>
      <c r="O204" s="5"/>
      <c r="P204" s="5"/>
    </row>
    <row r="205" spans="2:16" ht="26.25" customHeight="1">
      <c r="B205" s="128" t="s">
        <v>356</v>
      </c>
      <c r="C205" s="53">
        <f>+SUM(D205:H205)</f>
        <v>582000</v>
      </c>
      <c r="D205" s="115">
        <v>180000</v>
      </c>
      <c r="E205" s="115">
        <v>150000</v>
      </c>
      <c r="F205" s="115">
        <v>242000</v>
      </c>
      <c r="G205" s="115">
        <v>6500</v>
      </c>
      <c r="H205" s="115">
        <v>3500</v>
      </c>
      <c r="I205" s="54"/>
      <c r="J205" s="5"/>
      <c r="K205" s="5"/>
      <c r="L205" s="5"/>
      <c r="M205" s="5"/>
      <c r="N205" s="5"/>
      <c r="O205" s="5"/>
      <c r="P205" s="5"/>
    </row>
    <row r="206" spans="2:16" ht="26.25" customHeight="1">
      <c r="B206" s="129" t="s">
        <v>357</v>
      </c>
      <c r="C206" s="55">
        <f>+IFERROR(+SUM(D206:H206),0)</f>
        <v>1</v>
      </c>
      <c r="D206" s="56">
        <f>+IFERROR(D205/$C$205,0)</f>
        <v>0.30927835051546393</v>
      </c>
      <c r="E206" s="56">
        <f t="shared" ref="E206:H206" si="144">+IFERROR(E205/$C$205,0)</f>
        <v>0.25773195876288657</v>
      </c>
      <c r="F206" s="56">
        <f t="shared" si="144"/>
        <v>0.41580756013745707</v>
      </c>
      <c r="G206" s="56">
        <f t="shared" si="144"/>
        <v>1.1168384879725086E-2</v>
      </c>
      <c r="H206" s="56">
        <f t="shared" si="144"/>
        <v>6.0137457044673543E-3</v>
      </c>
      <c r="I206" s="54"/>
      <c r="J206" s="5"/>
      <c r="K206" s="5"/>
      <c r="L206" s="5"/>
      <c r="M206" s="5"/>
      <c r="N206" s="5"/>
      <c r="O206" s="5"/>
      <c r="P206" s="5"/>
    </row>
    <row r="207" spans="2:16">
      <c r="B207" s="57" t="s">
        <v>358</v>
      </c>
      <c r="C207" s="107">
        <v>2000</v>
      </c>
      <c r="D207" s="58">
        <f>+IFERROR(($C$207*D205)/$C$205,0)</f>
        <v>618.5567010309278</v>
      </c>
      <c r="E207" s="58">
        <f t="shared" ref="E207:H207" si="145">+IFERROR(($C$207*E205)/$C$205,0)</f>
        <v>515.46391752577324</v>
      </c>
      <c r="F207" s="58">
        <f t="shared" si="145"/>
        <v>831.61512027491403</v>
      </c>
      <c r="G207" s="58">
        <f t="shared" si="145"/>
        <v>22.336769759450171</v>
      </c>
      <c r="H207" s="58">
        <f t="shared" si="145"/>
        <v>12.027491408934708</v>
      </c>
      <c r="I207" s="54"/>
      <c r="J207" s="5"/>
      <c r="K207" s="5"/>
      <c r="L207" s="5"/>
      <c r="M207" s="5"/>
      <c r="N207" s="5"/>
      <c r="O207" s="5"/>
      <c r="P207" s="5"/>
    </row>
    <row r="208" spans="2:16">
      <c r="B208" s="233" t="s">
        <v>359</v>
      </c>
      <c r="C208" s="233"/>
      <c r="D208" s="108">
        <v>0.02</v>
      </c>
      <c r="E208" s="108">
        <v>0.01</v>
      </c>
      <c r="F208" s="108">
        <v>0.01</v>
      </c>
      <c r="G208" s="108">
        <v>1.4</v>
      </c>
      <c r="H208" s="108">
        <v>2.15</v>
      </c>
      <c r="I208" s="54"/>
      <c r="J208" s="5"/>
      <c r="K208" s="5"/>
      <c r="L208" s="5"/>
      <c r="M208" s="5"/>
      <c r="N208" s="5"/>
      <c r="O208" s="5"/>
      <c r="P208" s="5"/>
    </row>
    <row r="209" spans="2:16">
      <c r="B209" s="232" t="s">
        <v>360</v>
      </c>
      <c r="C209" s="232"/>
      <c r="D209" s="108">
        <v>0.15</v>
      </c>
      <c r="E209" s="108">
        <v>0.1</v>
      </c>
      <c r="F209" s="108">
        <v>0.14000000000000001</v>
      </c>
      <c r="G209" s="108">
        <v>5.79</v>
      </c>
      <c r="H209" s="108">
        <v>11.55</v>
      </c>
      <c r="I209" s="5"/>
      <c r="J209" s="5"/>
      <c r="K209" s="5"/>
      <c r="L209" s="5"/>
      <c r="M209" s="5"/>
      <c r="N209" s="5"/>
      <c r="O209" s="5"/>
      <c r="P209" s="5"/>
    </row>
    <row r="210" spans="2:16" ht="18.600000000000001">
      <c r="B210" s="59" t="s">
        <v>361</v>
      </c>
      <c r="C210" s="116">
        <f>+IFERROR(C207/((D206*(D209-D208))+(E206*(E209-E208))+(F206*(F209-F208))+(G206*(G209-G208))+(H206*(H209-H208))),0)</f>
        <v>8967.9879810470338</v>
      </c>
      <c r="D210" s="117">
        <f>+IFERROR($C$210*D206,0)</f>
        <v>2773.6045302207322</v>
      </c>
      <c r="E210" s="117">
        <f t="shared" ref="E210:G210" si="146">+IFERROR($C$210*E206,0)</f>
        <v>2311.3371085172766</v>
      </c>
      <c r="F210" s="117">
        <f t="shared" si="146"/>
        <v>3728.9572017412065</v>
      </c>
      <c r="G210" s="117">
        <f t="shared" si="146"/>
        <v>100.157941369082</v>
      </c>
      <c r="H210" s="117">
        <f>+IFERROR($C$210*H206,0)</f>
        <v>53.931199198736458</v>
      </c>
      <c r="I210" s="60"/>
      <c r="J210" s="5"/>
      <c r="K210" s="61"/>
      <c r="L210" s="61"/>
      <c r="M210" s="61"/>
      <c r="N210" s="61"/>
      <c r="O210" s="61"/>
      <c r="P210" s="61"/>
    </row>
    <row r="211" spans="2:16" ht="18.600000000000001">
      <c r="B211" s="62" t="s">
        <v>362</v>
      </c>
      <c r="C211" s="63">
        <f>+SUM(D211:H211)</f>
        <v>2372.0482299009973</v>
      </c>
      <c r="D211" s="64">
        <f>+D210*D209</f>
        <v>416.04067953310982</v>
      </c>
      <c r="E211" s="64">
        <f t="shared" ref="E211" si="147">+E210*E209</f>
        <v>231.13371085172767</v>
      </c>
      <c r="F211" s="64">
        <f t="shared" ref="F211" si="148">+F210*F209</f>
        <v>522.05400824376898</v>
      </c>
      <c r="G211" s="64">
        <f t="shared" ref="G211" si="149">+G210*G209</f>
        <v>579.91448052698479</v>
      </c>
      <c r="H211" s="64">
        <f>+H210*H209</f>
        <v>622.90535074540617</v>
      </c>
      <c r="I211" s="65"/>
      <c r="J211" s="5"/>
      <c r="K211" s="61"/>
      <c r="L211" s="61"/>
      <c r="M211" s="61"/>
      <c r="N211" s="61"/>
      <c r="O211" s="61"/>
      <c r="P211" s="61"/>
    </row>
    <row r="212" spans="2:16" ht="15.6">
      <c r="B212" s="234" t="s">
        <v>363</v>
      </c>
      <c r="C212" s="234"/>
      <c r="D212" s="234"/>
      <c r="E212" s="234"/>
      <c r="F212" s="234"/>
      <c r="G212" s="234"/>
      <c r="H212" s="234"/>
      <c r="I212" s="65"/>
      <c r="J212" s="5"/>
      <c r="K212" s="61"/>
      <c r="L212" s="61"/>
      <c r="M212" s="61"/>
      <c r="N212" s="61"/>
      <c r="O212" s="61"/>
      <c r="P212" s="61"/>
    </row>
    <row r="213" spans="2:16" ht="18.600000000000001">
      <c r="B213" s="66" t="s">
        <v>364</v>
      </c>
      <c r="C213" s="63">
        <f>+SUM(D213:H213)</f>
        <v>26145</v>
      </c>
      <c r="D213" s="64">
        <f>+D207+(D208*D205)</f>
        <v>4218.5567010309278</v>
      </c>
      <c r="E213" s="64">
        <f t="shared" ref="E213:H213" si="150">+E207+(E208*E205)</f>
        <v>2015.4639175257732</v>
      </c>
      <c r="F213" s="64">
        <f t="shared" si="150"/>
        <v>3251.6151202749143</v>
      </c>
      <c r="G213" s="64">
        <f t="shared" si="150"/>
        <v>9122.3367697594495</v>
      </c>
      <c r="H213" s="64">
        <f t="shared" si="150"/>
        <v>7537.027491408935</v>
      </c>
      <c r="I213" s="65"/>
      <c r="J213" s="5"/>
      <c r="K213" s="61"/>
      <c r="L213" s="61"/>
      <c r="M213" s="61"/>
      <c r="N213" s="61"/>
      <c r="O213" s="61"/>
      <c r="P213" s="61"/>
    </row>
    <row r="214" spans="2:16" ht="18.600000000000001">
      <c r="B214" s="67" t="s">
        <v>365</v>
      </c>
      <c r="C214" s="63">
        <f>+SUM(D214:H214)</f>
        <v>153940</v>
      </c>
      <c r="D214" s="64">
        <f>+D209*D205</f>
        <v>27000</v>
      </c>
      <c r="E214" s="64">
        <f t="shared" ref="E214:H214" si="151">+E209*E205</f>
        <v>15000</v>
      </c>
      <c r="F214" s="64">
        <f t="shared" si="151"/>
        <v>33880</v>
      </c>
      <c r="G214" s="64">
        <f t="shared" si="151"/>
        <v>37635</v>
      </c>
      <c r="H214" s="64">
        <f t="shared" si="151"/>
        <v>40425</v>
      </c>
      <c r="I214" s="60"/>
      <c r="J214" s="5"/>
      <c r="K214" s="61"/>
      <c r="L214" s="61"/>
      <c r="M214" s="61"/>
      <c r="N214" s="61"/>
      <c r="O214" s="61"/>
      <c r="P214" s="61"/>
    </row>
    <row r="215" spans="2:16" ht="18.600000000000001">
      <c r="B215" s="68" t="s">
        <v>366</v>
      </c>
      <c r="C215" s="156">
        <f>+SUM(D215:H215)</f>
        <v>127795</v>
      </c>
      <c r="D215" s="157">
        <f>+D214-D213</f>
        <v>22781.443298969072</v>
      </c>
      <c r="E215" s="157">
        <f t="shared" ref="E215:H215" si="152">+E214-E213</f>
        <v>12984.536082474227</v>
      </c>
      <c r="F215" s="157">
        <f t="shared" si="152"/>
        <v>30628.384879725087</v>
      </c>
      <c r="G215" s="157">
        <f t="shared" si="152"/>
        <v>28512.663230240549</v>
      </c>
      <c r="H215" s="157">
        <f t="shared" si="152"/>
        <v>32887.972508591061</v>
      </c>
      <c r="I215" s="60"/>
      <c r="J215" s="5"/>
      <c r="K215" s="61"/>
      <c r="L215" s="61"/>
      <c r="M215" s="61"/>
      <c r="N215" s="61"/>
      <c r="O215" s="61"/>
      <c r="P215" s="61"/>
    </row>
    <row r="216" spans="2:16">
      <c r="B216" s="5"/>
      <c r="C216" s="5"/>
      <c r="D216" s="5"/>
      <c r="E216" s="5"/>
      <c r="F216" s="5"/>
      <c r="G216" s="5"/>
      <c r="H216" s="5"/>
      <c r="I216" s="5"/>
      <c r="J216" s="5"/>
      <c r="K216" s="5"/>
      <c r="L216" s="5"/>
      <c r="M216" s="5"/>
      <c r="N216" s="5"/>
      <c r="O216" s="5"/>
      <c r="P216" s="5"/>
    </row>
    <row r="217" spans="2:16" ht="21">
      <c r="B217" s="223" t="s">
        <v>367</v>
      </c>
      <c r="C217" s="230" t="str">
        <f>+C202</f>
        <v>SecondNote</v>
      </c>
      <c r="D217" s="230"/>
      <c r="E217" s="230"/>
      <c r="F217" s="230"/>
      <c r="G217" s="230"/>
      <c r="H217" s="230"/>
      <c r="I217" s="230"/>
      <c r="J217" s="230"/>
      <c r="K217" s="230"/>
      <c r="L217" s="230"/>
      <c r="M217" s="230"/>
      <c r="N217" s="230"/>
      <c r="O217" s="230"/>
      <c r="P217" s="223" t="s">
        <v>368</v>
      </c>
    </row>
    <row r="218" spans="2:16" ht="21">
      <c r="B218" s="223"/>
      <c r="C218" s="27"/>
      <c r="D218" s="27"/>
      <c r="E218" s="27"/>
      <c r="F218" s="27"/>
      <c r="G218" s="201" t="s">
        <v>369</v>
      </c>
      <c r="H218" s="201"/>
      <c r="I218" s="201"/>
      <c r="J218" s="201"/>
      <c r="K218" s="49">
        <f>+B219</f>
        <v>2028</v>
      </c>
      <c r="L218" s="27"/>
      <c r="M218" s="27"/>
      <c r="N218" s="27"/>
      <c r="O218" s="27"/>
      <c r="P218" s="223"/>
    </row>
    <row r="219" spans="2:16" ht="21">
      <c r="B219" s="69">
        <f>+B204</f>
        <v>2028</v>
      </c>
      <c r="C219" s="32" t="s">
        <v>309</v>
      </c>
      <c r="D219" s="34" t="s">
        <v>310</v>
      </c>
      <c r="E219" s="34" t="s">
        <v>311</v>
      </c>
      <c r="F219" s="34" t="s">
        <v>312</v>
      </c>
      <c r="G219" s="34" t="s">
        <v>313</v>
      </c>
      <c r="H219" s="34" t="s">
        <v>314</v>
      </c>
      <c r="I219" s="34" t="s">
        <v>315</v>
      </c>
      <c r="J219" s="34" t="s">
        <v>316</v>
      </c>
      <c r="K219" s="34" t="s">
        <v>317</v>
      </c>
      <c r="L219" s="34" t="s">
        <v>318</v>
      </c>
      <c r="M219" s="34" t="s">
        <v>319</v>
      </c>
      <c r="N219" s="34" t="s">
        <v>320</v>
      </c>
      <c r="O219" s="34" t="s">
        <v>321</v>
      </c>
      <c r="P219" s="223"/>
    </row>
    <row r="220" spans="2:16" ht="15.6">
      <c r="B220" s="70" t="s">
        <v>370</v>
      </c>
      <c r="C220" s="71">
        <f>+D205</f>
        <v>180000</v>
      </c>
      <c r="D220" s="109">
        <v>8750</v>
      </c>
      <c r="E220" s="109">
        <v>11250</v>
      </c>
      <c r="F220" s="109">
        <v>10350</v>
      </c>
      <c r="G220" s="109">
        <v>13750</v>
      </c>
      <c r="H220" s="109">
        <v>18050</v>
      </c>
      <c r="I220" s="109">
        <v>21750</v>
      </c>
      <c r="J220" s="109">
        <v>20750</v>
      </c>
      <c r="K220" s="109">
        <v>23450</v>
      </c>
      <c r="L220" s="109">
        <v>17750</v>
      </c>
      <c r="M220" s="109">
        <v>12450</v>
      </c>
      <c r="N220" s="109">
        <v>11750</v>
      </c>
      <c r="O220" s="109">
        <v>9950</v>
      </c>
      <c r="P220" s="72">
        <f>+C220-(SUM(D220:O220))</f>
        <v>0</v>
      </c>
    </row>
    <row r="221" spans="2:16" ht="15.6">
      <c r="B221" s="73" t="s">
        <v>371</v>
      </c>
      <c r="C221" s="71">
        <f>+E205</f>
        <v>150000</v>
      </c>
      <c r="D221" s="109">
        <v>15500</v>
      </c>
      <c r="E221" s="109">
        <v>10500</v>
      </c>
      <c r="F221" s="109">
        <v>10300</v>
      </c>
      <c r="G221" s="109">
        <v>9500</v>
      </c>
      <c r="H221" s="109">
        <v>8900</v>
      </c>
      <c r="I221" s="109">
        <v>8500</v>
      </c>
      <c r="J221" s="109">
        <v>8900</v>
      </c>
      <c r="K221" s="109">
        <v>9500</v>
      </c>
      <c r="L221" s="109">
        <v>10900</v>
      </c>
      <c r="M221" s="109">
        <v>12500</v>
      </c>
      <c r="N221" s="109">
        <v>17500</v>
      </c>
      <c r="O221" s="109">
        <v>27500</v>
      </c>
      <c r="P221" s="72">
        <f t="shared" ref="P221:P224" si="153">+C221-(SUM(D221:O221))</f>
        <v>0</v>
      </c>
    </row>
    <row r="222" spans="2:16" ht="15.6">
      <c r="B222" s="70" t="s">
        <v>372</v>
      </c>
      <c r="C222" s="71">
        <f>+F205</f>
        <v>242000</v>
      </c>
      <c r="D222" s="109">
        <v>17250</v>
      </c>
      <c r="E222" s="109">
        <v>17250</v>
      </c>
      <c r="F222" s="109">
        <v>28250</v>
      </c>
      <c r="G222" s="109">
        <v>24250</v>
      </c>
      <c r="H222" s="109">
        <v>22250</v>
      </c>
      <c r="I222" s="109">
        <v>19250</v>
      </c>
      <c r="J222" s="109">
        <v>22750</v>
      </c>
      <c r="K222" s="109">
        <v>22750</v>
      </c>
      <c r="L222" s="109">
        <v>18250</v>
      </c>
      <c r="M222" s="109">
        <v>17250</v>
      </c>
      <c r="N222" s="109">
        <v>16650</v>
      </c>
      <c r="O222" s="109">
        <v>15850</v>
      </c>
      <c r="P222" s="72">
        <f t="shared" si="153"/>
        <v>0</v>
      </c>
    </row>
    <row r="223" spans="2:16" ht="15.6">
      <c r="B223" s="73" t="s">
        <v>373</v>
      </c>
      <c r="C223" s="71">
        <f>+G205</f>
        <v>6500</v>
      </c>
      <c r="D223" s="109">
        <v>555</v>
      </c>
      <c r="E223" s="109">
        <v>465</v>
      </c>
      <c r="F223" s="109">
        <v>535</v>
      </c>
      <c r="G223" s="109">
        <v>575</v>
      </c>
      <c r="H223" s="109">
        <v>545</v>
      </c>
      <c r="I223" s="109">
        <v>595</v>
      </c>
      <c r="J223" s="109">
        <v>725</v>
      </c>
      <c r="K223" s="109">
        <v>655</v>
      </c>
      <c r="L223" s="109">
        <v>495</v>
      </c>
      <c r="M223" s="109">
        <v>425</v>
      </c>
      <c r="N223" s="109">
        <v>395</v>
      </c>
      <c r="O223" s="109">
        <v>535</v>
      </c>
      <c r="P223" s="72">
        <f t="shared" si="153"/>
        <v>0</v>
      </c>
    </row>
    <row r="224" spans="2:16" ht="15.6">
      <c r="B224" s="70" t="s">
        <v>374</v>
      </c>
      <c r="C224" s="71">
        <f>+H205</f>
        <v>3500</v>
      </c>
      <c r="D224" s="109">
        <v>280</v>
      </c>
      <c r="E224" s="109">
        <v>350</v>
      </c>
      <c r="F224" s="109">
        <v>230</v>
      </c>
      <c r="G224" s="109">
        <v>370</v>
      </c>
      <c r="H224" s="109">
        <v>240</v>
      </c>
      <c r="I224" s="109">
        <v>270</v>
      </c>
      <c r="J224" s="109">
        <v>250</v>
      </c>
      <c r="K224" s="109">
        <v>310</v>
      </c>
      <c r="L224" s="109">
        <v>350</v>
      </c>
      <c r="M224" s="109">
        <v>320</v>
      </c>
      <c r="N224" s="109">
        <v>360</v>
      </c>
      <c r="O224" s="109">
        <v>170</v>
      </c>
      <c r="P224" s="72">
        <f t="shared" si="153"/>
        <v>0</v>
      </c>
    </row>
    <row r="225" spans="2:16" ht="18.600000000000001">
      <c r="B225" s="44" t="s">
        <v>375</v>
      </c>
      <c r="C225" s="74">
        <f>SUM(C220:C224)</f>
        <v>582000</v>
      </c>
      <c r="D225" s="75">
        <f t="shared" ref="D225" si="154">SUM(D220:D224)</f>
        <v>42335</v>
      </c>
      <c r="E225" s="75">
        <f>SUM(E220:E224)</f>
        <v>39815</v>
      </c>
      <c r="F225" s="75">
        <f t="shared" ref="F225" si="155">SUM(F220:F224)</f>
        <v>49665</v>
      </c>
      <c r="G225" s="75">
        <f>SUM(G220:G224)</f>
        <v>48445</v>
      </c>
      <c r="H225" s="75">
        <f t="shared" ref="H225:O225" si="156">SUM(H220:H224)</f>
        <v>49985</v>
      </c>
      <c r="I225" s="75">
        <f t="shared" si="156"/>
        <v>50365</v>
      </c>
      <c r="J225" s="75">
        <f t="shared" si="156"/>
        <v>53375</v>
      </c>
      <c r="K225" s="75">
        <f t="shared" si="156"/>
        <v>56665</v>
      </c>
      <c r="L225" s="75">
        <f t="shared" si="156"/>
        <v>47745</v>
      </c>
      <c r="M225" s="75">
        <f t="shared" si="156"/>
        <v>42945</v>
      </c>
      <c r="N225" s="75">
        <f t="shared" si="156"/>
        <v>46655</v>
      </c>
      <c r="O225" s="75">
        <f t="shared" si="156"/>
        <v>54005</v>
      </c>
      <c r="P225" s="5"/>
    </row>
    <row r="226" spans="2:16" ht="15.6">
      <c r="B226" s="70" t="s">
        <v>376</v>
      </c>
      <c r="C226" s="76">
        <f>+D207</f>
        <v>618.5567010309278</v>
      </c>
      <c r="D226" s="77">
        <f>+C226/12</f>
        <v>51.546391752577314</v>
      </c>
      <c r="E226" s="77">
        <f>+D226</f>
        <v>51.546391752577314</v>
      </c>
      <c r="F226" s="77">
        <f t="shared" ref="F226:O226" si="157">+E226</f>
        <v>51.546391752577314</v>
      </c>
      <c r="G226" s="77">
        <f t="shared" si="157"/>
        <v>51.546391752577314</v>
      </c>
      <c r="H226" s="77">
        <f t="shared" si="157"/>
        <v>51.546391752577314</v>
      </c>
      <c r="I226" s="77">
        <f t="shared" si="157"/>
        <v>51.546391752577314</v>
      </c>
      <c r="J226" s="77">
        <f t="shared" si="157"/>
        <v>51.546391752577314</v>
      </c>
      <c r="K226" s="77">
        <f t="shared" si="157"/>
        <v>51.546391752577314</v>
      </c>
      <c r="L226" s="77">
        <f t="shared" si="157"/>
        <v>51.546391752577314</v>
      </c>
      <c r="M226" s="77">
        <f t="shared" si="157"/>
        <v>51.546391752577314</v>
      </c>
      <c r="N226" s="77">
        <f t="shared" si="157"/>
        <v>51.546391752577314</v>
      </c>
      <c r="O226" s="77">
        <f t="shared" si="157"/>
        <v>51.546391752577314</v>
      </c>
      <c r="P226" s="5"/>
    </row>
    <row r="227" spans="2:16" ht="15.6">
      <c r="B227" s="73" t="s">
        <v>377</v>
      </c>
      <c r="C227" s="76">
        <f>+E207</f>
        <v>515.46391752577324</v>
      </c>
      <c r="D227" s="77">
        <f>+C227/12</f>
        <v>42.955326460481103</v>
      </c>
      <c r="E227" s="77">
        <f>+D227</f>
        <v>42.955326460481103</v>
      </c>
      <c r="F227" s="77">
        <f t="shared" ref="F227:O227" si="158">+E227</f>
        <v>42.955326460481103</v>
      </c>
      <c r="G227" s="77">
        <f t="shared" si="158"/>
        <v>42.955326460481103</v>
      </c>
      <c r="H227" s="77">
        <f t="shared" si="158"/>
        <v>42.955326460481103</v>
      </c>
      <c r="I227" s="77">
        <f t="shared" si="158"/>
        <v>42.955326460481103</v>
      </c>
      <c r="J227" s="77">
        <f t="shared" si="158"/>
        <v>42.955326460481103</v>
      </c>
      <c r="K227" s="77">
        <f t="shared" si="158"/>
        <v>42.955326460481103</v>
      </c>
      <c r="L227" s="77">
        <f t="shared" si="158"/>
        <v>42.955326460481103</v>
      </c>
      <c r="M227" s="77">
        <f t="shared" si="158"/>
        <v>42.955326460481103</v>
      </c>
      <c r="N227" s="77">
        <f t="shared" si="158"/>
        <v>42.955326460481103</v>
      </c>
      <c r="O227" s="77">
        <f t="shared" si="158"/>
        <v>42.955326460481103</v>
      </c>
      <c r="P227" s="5"/>
    </row>
    <row r="228" spans="2:16" ht="15.6">
      <c r="B228" s="70" t="s">
        <v>378</v>
      </c>
      <c r="C228" s="76">
        <f>+F207</f>
        <v>831.61512027491403</v>
      </c>
      <c r="D228" s="77">
        <f>+C228/12</f>
        <v>69.301260022909503</v>
      </c>
      <c r="E228" s="77">
        <f t="shared" ref="E228:O228" si="159">+D228</f>
        <v>69.301260022909503</v>
      </c>
      <c r="F228" s="77">
        <f t="shared" si="159"/>
        <v>69.301260022909503</v>
      </c>
      <c r="G228" s="77">
        <f t="shared" si="159"/>
        <v>69.301260022909503</v>
      </c>
      <c r="H228" s="77">
        <f t="shared" si="159"/>
        <v>69.301260022909503</v>
      </c>
      <c r="I228" s="77">
        <f t="shared" si="159"/>
        <v>69.301260022909503</v>
      </c>
      <c r="J228" s="77">
        <f t="shared" si="159"/>
        <v>69.301260022909503</v>
      </c>
      <c r="K228" s="77">
        <f t="shared" si="159"/>
        <v>69.301260022909503</v>
      </c>
      <c r="L228" s="77">
        <f t="shared" si="159"/>
        <v>69.301260022909503</v>
      </c>
      <c r="M228" s="77">
        <f t="shared" si="159"/>
        <v>69.301260022909503</v>
      </c>
      <c r="N228" s="77">
        <f t="shared" si="159"/>
        <v>69.301260022909503</v>
      </c>
      <c r="O228" s="77">
        <f t="shared" si="159"/>
        <v>69.301260022909503</v>
      </c>
      <c r="P228" s="5"/>
    </row>
    <row r="229" spans="2:16" ht="15.6">
      <c r="B229" s="73" t="s">
        <v>379</v>
      </c>
      <c r="C229" s="76">
        <f>+G207</f>
        <v>22.336769759450171</v>
      </c>
      <c r="D229" s="77">
        <f t="shared" ref="D229" si="160">+C229/12</f>
        <v>1.8613974799541808</v>
      </c>
      <c r="E229" s="77">
        <f t="shared" ref="E229:O229" si="161">+D229</f>
        <v>1.8613974799541808</v>
      </c>
      <c r="F229" s="77">
        <f t="shared" si="161"/>
        <v>1.8613974799541808</v>
      </c>
      <c r="G229" s="77">
        <f t="shared" si="161"/>
        <v>1.8613974799541808</v>
      </c>
      <c r="H229" s="77">
        <f t="shared" si="161"/>
        <v>1.8613974799541808</v>
      </c>
      <c r="I229" s="77">
        <f t="shared" si="161"/>
        <v>1.8613974799541808</v>
      </c>
      <c r="J229" s="77">
        <f t="shared" si="161"/>
        <v>1.8613974799541808</v>
      </c>
      <c r="K229" s="77">
        <f t="shared" si="161"/>
        <v>1.8613974799541808</v>
      </c>
      <c r="L229" s="77">
        <f t="shared" si="161"/>
        <v>1.8613974799541808</v>
      </c>
      <c r="M229" s="77">
        <f t="shared" si="161"/>
        <v>1.8613974799541808</v>
      </c>
      <c r="N229" s="77">
        <f t="shared" si="161"/>
        <v>1.8613974799541808</v>
      </c>
      <c r="O229" s="77">
        <f t="shared" si="161"/>
        <v>1.8613974799541808</v>
      </c>
      <c r="P229" s="5"/>
    </row>
    <row r="230" spans="2:16" ht="15.6">
      <c r="B230" s="70" t="s">
        <v>380</v>
      </c>
      <c r="C230" s="76">
        <f>+H207</f>
        <v>12.027491408934708</v>
      </c>
      <c r="D230" s="77">
        <f>+C230/12</f>
        <v>1.002290950744559</v>
      </c>
      <c r="E230" s="77">
        <f>+D230</f>
        <v>1.002290950744559</v>
      </c>
      <c r="F230" s="77">
        <f t="shared" ref="F230:N230" si="162">+E230</f>
        <v>1.002290950744559</v>
      </c>
      <c r="G230" s="77">
        <f t="shared" si="162"/>
        <v>1.002290950744559</v>
      </c>
      <c r="H230" s="77">
        <f t="shared" si="162"/>
        <v>1.002290950744559</v>
      </c>
      <c r="I230" s="77">
        <f t="shared" si="162"/>
        <v>1.002290950744559</v>
      </c>
      <c r="J230" s="77">
        <f t="shared" si="162"/>
        <v>1.002290950744559</v>
      </c>
      <c r="K230" s="77">
        <f t="shared" si="162"/>
        <v>1.002290950744559</v>
      </c>
      <c r="L230" s="77">
        <f t="shared" si="162"/>
        <v>1.002290950744559</v>
      </c>
      <c r="M230" s="77">
        <f t="shared" si="162"/>
        <v>1.002290950744559</v>
      </c>
      <c r="N230" s="77">
        <f t="shared" si="162"/>
        <v>1.002290950744559</v>
      </c>
      <c r="O230" s="77">
        <f>+N230</f>
        <v>1.002290950744559</v>
      </c>
      <c r="P230" s="5"/>
    </row>
    <row r="231" spans="2:16" ht="18.600000000000001">
      <c r="B231" s="44" t="s">
        <v>381</v>
      </c>
      <c r="C231" s="78">
        <f>SUM(C226:C230)</f>
        <v>2000</v>
      </c>
      <c r="D231" s="79">
        <f t="shared" ref="D231:O231" si="163">SUM(D226:D230)</f>
        <v>166.66666666666666</v>
      </c>
      <c r="E231" s="79">
        <f t="shared" si="163"/>
        <v>166.66666666666666</v>
      </c>
      <c r="F231" s="79">
        <f t="shared" si="163"/>
        <v>166.66666666666666</v>
      </c>
      <c r="G231" s="79">
        <f t="shared" si="163"/>
        <v>166.66666666666666</v>
      </c>
      <c r="H231" s="79">
        <f t="shared" si="163"/>
        <v>166.66666666666666</v>
      </c>
      <c r="I231" s="79">
        <f t="shared" si="163"/>
        <v>166.66666666666666</v>
      </c>
      <c r="J231" s="79">
        <f t="shared" si="163"/>
        <v>166.66666666666666</v>
      </c>
      <c r="K231" s="79">
        <f t="shared" si="163"/>
        <v>166.66666666666666</v>
      </c>
      <c r="L231" s="79">
        <f t="shared" si="163"/>
        <v>166.66666666666666</v>
      </c>
      <c r="M231" s="79">
        <f t="shared" si="163"/>
        <v>166.66666666666666</v>
      </c>
      <c r="N231" s="79">
        <f t="shared" si="163"/>
        <v>166.66666666666666</v>
      </c>
      <c r="O231" s="79">
        <f t="shared" si="163"/>
        <v>166.66666666666666</v>
      </c>
      <c r="P231" s="5"/>
    </row>
    <row r="232" spans="2:16" ht="15.6">
      <c r="B232" s="70" t="s">
        <v>382</v>
      </c>
      <c r="C232" s="76">
        <f>SUM(D232:O232)</f>
        <v>3600</v>
      </c>
      <c r="D232" s="77">
        <f>+D220*$D$208</f>
        <v>175</v>
      </c>
      <c r="E232" s="77">
        <f t="shared" ref="E232:O232" si="164">+E220*$D$208</f>
        <v>225</v>
      </c>
      <c r="F232" s="77">
        <f t="shared" si="164"/>
        <v>207</v>
      </c>
      <c r="G232" s="77">
        <f t="shared" si="164"/>
        <v>275</v>
      </c>
      <c r="H232" s="77">
        <f t="shared" si="164"/>
        <v>361</v>
      </c>
      <c r="I232" s="77">
        <f t="shared" si="164"/>
        <v>435</v>
      </c>
      <c r="J232" s="77">
        <f t="shared" si="164"/>
        <v>415</v>
      </c>
      <c r="K232" s="77">
        <f t="shared" si="164"/>
        <v>469</v>
      </c>
      <c r="L232" s="77">
        <f t="shared" si="164"/>
        <v>355</v>
      </c>
      <c r="M232" s="77">
        <f t="shared" si="164"/>
        <v>249</v>
      </c>
      <c r="N232" s="77">
        <f t="shared" si="164"/>
        <v>235</v>
      </c>
      <c r="O232" s="77">
        <f t="shared" si="164"/>
        <v>199</v>
      </c>
      <c r="P232" s="5"/>
    </row>
    <row r="233" spans="2:16" ht="15.6">
      <c r="B233" s="70" t="s">
        <v>383</v>
      </c>
      <c r="C233" s="76">
        <f t="shared" ref="C233:C236" si="165">SUM(D233:O233)</f>
        <v>1500</v>
      </c>
      <c r="D233" s="77">
        <f>+D221*$E$208</f>
        <v>155</v>
      </c>
      <c r="E233" s="77">
        <f t="shared" ref="E233:O233" si="166">+E221*$E$208</f>
        <v>105</v>
      </c>
      <c r="F233" s="77">
        <f t="shared" si="166"/>
        <v>103</v>
      </c>
      <c r="G233" s="77">
        <f t="shared" si="166"/>
        <v>95</v>
      </c>
      <c r="H233" s="77">
        <f t="shared" si="166"/>
        <v>89</v>
      </c>
      <c r="I233" s="77">
        <f t="shared" si="166"/>
        <v>85</v>
      </c>
      <c r="J233" s="77">
        <f t="shared" si="166"/>
        <v>89</v>
      </c>
      <c r="K233" s="77">
        <f t="shared" si="166"/>
        <v>95</v>
      </c>
      <c r="L233" s="77">
        <f t="shared" si="166"/>
        <v>109</v>
      </c>
      <c r="M233" s="77">
        <f t="shared" si="166"/>
        <v>125</v>
      </c>
      <c r="N233" s="77">
        <f t="shared" si="166"/>
        <v>175</v>
      </c>
      <c r="O233" s="77">
        <f t="shared" si="166"/>
        <v>275</v>
      </c>
      <c r="P233" s="5"/>
    </row>
    <row r="234" spans="2:16" ht="15.6">
      <c r="B234" s="70" t="s">
        <v>384</v>
      </c>
      <c r="C234" s="76">
        <f t="shared" si="165"/>
        <v>2420</v>
      </c>
      <c r="D234" s="77">
        <f>+D222*$F$208</f>
        <v>172.5</v>
      </c>
      <c r="E234" s="77">
        <f t="shared" ref="E234:O234" si="167">+E222*$F$208</f>
        <v>172.5</v>
      </c>
      <c r="F234" s="77">
        <f t="shared" si="167"/>
        <v>282.5</v>
      </c>
      <c r="G234" s="77">
        <f t="shared" si="167"/>
        <v>242.5</v>
      </c>
      <c r="H234" s="77">
        <f t="shared" si="167"/>
        <v>222.5</v>
      </c>
      <c r="I234" s="77">
        <f t="shared" si="167"/>
        <v>192.5</v>
      </c>
      <c r="J234" s="77">
        <f t="shared" si="167"/>
        <v>227.5</v>
      </c>
      <c r="K234" s="77">
        <f t="shared" si="167"/>
        <v>227.5</v>
      </c>
      <c r="L234" s="77">
        <f t="shared" si="167"/>
        <v>182.5</v>
      </c>
      <c r="M234" s="77">
        <f>+M222*$F$208</f>
        <v>172.5</v>
      </c>
      <c r="N234" s="77">
        <f t="shared" si="167"/>
        <v>166.5</v>
      </c>
      <c r="O234" s="77">
        <f t="shared" si="167"/>
        <v>158.5</v>
      </c>
      <c r="P234" s="5"/>
    </row>
    <row r="235" spans="2:16" ht="15.6">
      <c r="B235" s="70" t="s">
        <v>385</v>
      </c>
      <c r="C235" s="76">
        <f t="shared" si="165"/>
        <v>9100</v>
      </c>
      <c r="D235" s="77">
        <f>+D223*$G$208</f>
        <v>777</v>
      </c>
      <c r="E235" s="77">
        <f t="shared" ref="E235:O235" si="168">+E223*$G$208</f>
        <v>651</v>
      </c>
      <c r="F235" s="77">
        <f t="shared" si="168"/>
        <v>749</v>
      </c>
      <c r="G235" s="77">
        <f t="shared" si="168"/>
        <v>805</v>
      </c>
      <c r="H235" s="77">
        <f t="shared" si="168"/>
        <v>763</v>
      </c>
      <c r="I235" s="77">
        <f t="shared" si="168"/>
        <v>833</v>
      </c>
      <c r="J235" s="77">
        <f t="shared" si="168"/>
        <v>1014.9999999999999</v>
      </c>
      <c r="K235" s="77">
        <f t="shared" si="168"/>
        <v>916.99999999999989</v>
      </c>
      <c r="L235" s="77">
        <f t="shared" si="168"/>
        <v>693</v>
      </c>
      <c r="M235" s="77">
        <f t="shared" si="168"/>
        <v>595</v>
      </c>
      <c r="N235" s="77">
        <f t="shared" si="168"/>
        <v>553</v>
      </c>
      <c r="O235" s="77">
        <f t="shared" si="168"/>
        <v>749</v>
      </c>
      <c r="P235" s="5"/>
    </row>
    <row r="236" spans="2:16" ht="15.6">
      <c r="B236" s="70" t="s">
        <v>386</v>
      </c>
      <c r="C236" s="76">
        <f t="shared" si="165"/>
        <v>7525</v>
      </c>
      <c r="D236" s="77">
        <f>+D224*$H$208</f>
        <v>602</v>
      </c>
      <c r="E236" s="77">
        <f t="shared" ref="E236:N236" si="169">+E224*$H$208</f>
        <v>752.5</v>
      </c>
      <c r="F236" s="77">
        <f t="shared" si="169"/>
        <v>494.5</v>
      </c>
      <c r="G236" s="77">
        <f t="shared" si="169"/>
        <v>795.5</v>
      </c>
      <c r="H236" s="77">
        <f t="shared" si="169"/>
        <v>516</v>
      </c>
      <c r="I236" s="77">
        <f t="shared" si="169"/>
        <v>580.5</v>
      </c>
      <c r="J236" s="77">
        <f t="shared" si="169"/>
        <v>537.5</v>
      </c>
      <c r="K236" s="77">
        <f t="shared" si="169"/>
        <v>666.5</v>
      </c>
      <c r="L236" s="77">
        <f t="shared" si="169"/>
        <v>752.5</v>
      </c>
      <c r="M236" s="77">
        <f t="shared" si="169"/>
        <v>688</v>
      </c>
      <c r="N236" s="77">
        <f t="shared" si="169"/>
        <v>774</v>
      </c>
      <c r="O236" s="77">
        <f>+O224*$H$208</f>
        <v>365.5</v>
      </c>
      <c r="P236" s="5"/>
    </row>
    <row r="237" spans="2:16" ht="18.600000000000001">
      <c r="B237" s="44" t="s">
        <v>387</v>
      </c>
      <c r="C237" s="78">
        <f>SUM(C232:C236)</f>
        <v>24145</v>
      </c>
      <c r="D237" s="79">
        <f>SUM(D232:D236)</f>
        <v>1881.5</v>
      </c>
      <c r="E237" s="79">
        <f t="shared" ref="E237:O237" si="170">+(E232*E220)+(E233*E221)+(E234*E222)</f>
        <v>6609375</v>
      </c>
      <c r="F237" s="79">
        <f t="shared" si="170"/>
        <v>11183975</v>
      </c>
      <c r="G237" s="79">
        <f t="shared" si="170"/>
        <v>10564375</v>
      </c>
      <c r="H237" s="79">
        <f t="shared" si="170"/>
        <v>12258775</v>
      </c>
      <c r="I237" s="79">
        <f t="shared" si="170"/>
        <v>13889375</v>
      </c>
      <c r="J237" s="79">
        <f t="shared" si="170"/>
        <v>14578975</v>
      </c>
      <c r="K237" s="79">
        <f t="shared" si="170"/>
        <v>17076175</v>
      </c>
      <c r="L237" s="79">
        <f t="shared" si="170"/>
        <v>10819975</v>
      </c>
      <c r="M237" s="79">
        <f t="shared" si="170"/>
        <v>7638175</v>
      </c>
      <c r="N237" s="79">
        <f t="shared" si="170"/>
        <v>8595975</v>
      </c>
      <c r="O237" s="79">
        <f t="shared" si="170"/>
        <v>12054775</v>
      </c>
      <c r="P237" s="5"/>
    </row>
    <row r="238" spans="2:16" ht="15.6">
      <c r="B238" s="70" t="s">
        <v>388</v>
      </c>
      <c r="C238" s="76">
        <f>+C232+C226</f>
        <v>4218.5567010309278</v>
      </c>
      <c r="D238" s="77">
        <f>+D232+D226</f>
        <v>226.54639175257731</v>
      </c>
      <c r="E238" s="77">
        <f t="shared" ref="E238:O238" si="171">+E232+E226</f>
        <v>276.54639175257734</v>
      </c>
      <c r="F238" s="77">
        <f t="shared" si="171"/>
        <v>258.54639175257734</v>
      </c>
      <c r="G238" s="77">
        <f>+G232+G226</f>
        <v>326.54639175257734</v>
      </c>
      <c r="H238" s="77">
        <f t="shared" si="171"/>
        <v>412.54639175257734</v>
      </c>
      <c r="I238" s="77">
        <f t="shared" si="171"/>
        <v>486.54639175257734</v>
      </c>
      <c r="J238" s="77">
        <f t="shared" si="171"/>
        <v>466.54639175257734</v>
      </c>
      <c r="K238" s="77">
        <f t="shared" si="171"/>
        <v>520.54639175257728</v>
      </c>
      <c r="L238" s="77">
        <f t="shared" si="171"/>
        <v>406.54639175257734</v>
      </c>
      <c r="M238" s="77">
        <f t="shared" si="171"/>
        <v>300.54639175257734</v>
      </c>
      <c r="N238" s="77">
        <f t="shared" si="171"/>
        <v>286.54639175257734</v>
      </c>
      <c r="O238" s="77">
        <f t="shared" si="171"/>
        <v>250.54639175257731</v>
      </c>
      <c r="P238" s="5"/>
    </row>
    <row r="239" spans="2:16" ht="15.6">
      <c r="B239" s="73" t="s">
        <v>389</v>
      </c>
      <c r="C239" s="76">
        <f>+C233+C227</f>
        <v>2015.4639175257732</v>
      </c>
      <c r="D239" s="77">
        <f t="shared" ref="D239:F239" si="172">+D233+D227</f>
        <v>197.9553264604811</v>
      </c>
      <c r="E239" s="77">
        <f t="shared" si="172"/>
        <v>147.9553264604811</v>
      </c>
      <c r="F239" s="77">
        <f t="shared" si="172"/>
        <v>145.9553264604811</v>
      </c>
      <c r="G239" s="77">
        <f>+G233+G227</f>
        <v>137.9553264604811</v>
      </c>
      <c r="H239" s="77">
        <f t="shared" ref="H239:O239" si="173">+H233+H227</f>
        <v>131.9553264604811</v>
      </c>
      <c r="I239" s="77">
        <f t="shared" si="173"/>
        <v>127.9553264604811</v>
      </c>
      <c r="J239" s="77">
        <f t="shared" si="173"/>
        <v>131.9553264604811</v>
      </c>
      <c r="K239" s="77">
        <f t="shared" si="173"/>
        <v>137.9553264604811</v>
      </c>
      <c r="L239" s="77">
        <f t="shared" si="173"/>
        <v>151.9553264604811</v>
      </c>
      <c r="M239" s="77">
        <f t="shared" si="173"/>
        <v>167.9553264604811</v>
      </c>
      <c r="N239" s="77">
        <f t="shared" si="173"/>
        <v>217.9553264604811</v>
      </c>
      <c r="O239" s="77">
        <f t="shared" si="173"/>
        <v>317.9553264604811</v>
      </c>
      <c r="P239" s="5"/>
    </row>
    <row r="240" spans="2:16" ht="15.6">
      <c r="B240" s="70" t="s">
        <v>390</v>
      </c>
      <c r="C240" s="76">
        <f t="shared" ref="C240:O240" si="174">+C234+C228</f>
        <v>3251.6151202749143</v>
      </c>
      <c r="D240" s="77">
        <f t="shared" si="174"/>
        <v>241.8012600229095</v>
      </c>
      <c r="E240" s="77">
        <f t="shared" si="174"/>
        <v>241.8012600229095</v>
      </c>
      <c r="F240" s="77">
        <f t="shared" si="174"/>
        <v>351.8012600229095</v>
      </c>
      <c r="G240" s="77">
        <f t="shared" si="174"/>
        <v>311.8012600229095</v>
      </c>
      <c r="H240" s="77">
        <f t="shared" si="174"/>
        <v>291.8012600229095</v>
      </c>
      <c r="I240" s="77">
        <f t="shared" si="174"/>
        <v>261.8012600229095</v>
      </c>
      <c r="J240" s="77">
        <f t="shared" si="174"/>
        <v>296.8012600229095</v>
      </c>
      <c r="K240" s="77">
        <f t="shared" si="174"/>
        <v>296.8012600229095</v>
      </c>
      <c r="L240" s="77">
        <f t="shared" si="174"/>
        <v>251.8012600229095</v>
      </c>
      <c r="M240" s="77">
        <f t="shared" si="174"/>
        <v>241.8012600229095</v>
      </c>
      <c r="N240" s="77">
        <f t="shared" si="174"/>
        <v>235.8012600229095</v>
      </c>
      <c r="O240" s="77">
        <f t="shared" si="174"/>
        <v>227.8012600229095</v>
      </c>
      <c r="P240" s="5"/>
    </row>
    <row r="241" spans="2:16" ht="15.6">
      <c r="B241" s="73" t="s">
        <v>391</v>
      </c>
      <c r="C241" s="76">
        <f t="shared" ref="C241:O241" si="175">+C235+C229</f>
        <v>9122.3367697594495</v>
      </c>
      <c r="D241" s="77">
        <f t="shared" si="175"/>
        <v>778.86139747995423</v>
      </c>
      <c r="E241" s="77">
        <f t="shared" si="175"/>
        <v>652.86139747995423</v>
      </c>
      <c r="F241" s="77">
        <f t="shared" si="175"/>
        <v>750.86139747995423</v>
      </c>
      <c r="G241" s="77">
        <f t="shared" si="175"/>
        <v>806.86139747995423</v>
      </c>
      <c r="H241" s="77">
        <f t="shared" si="175"/>
        <v>764.86139747995423</v>
      </c>
      <c r="I241" s="77">
        <f t="shared" si="175"/>
        <v>834.86139747995423</v>
      </c>
      <c r="J241" s="77">
        <f t="shared" si="175"/>
        <v>1016.8613974799541</v>
      </c>
      <c r="K241" s="77">
        <f t="shared" si="175"/>
        <v>918.86139747995412</v>
      </c>
      <c r="L241" s="77">
        <f t="shared" si="175"/>
        <v>694.86139747995423</v>
      </c>
      <c r="M241" s="77">
        <f t="shared" si="175"/>
        <v>596.86139747995423</v>
      </c>
      <c r="N241" s="77">
        <f t="shared" si="175"/>
        <v>554.86139747995423</v>
      </c>
      <c r="O241" s="77">
        <f t="shared" si="175"/>
        <v>750.86139747995423</v>
      </c>
      <c r="P241" s="5"/>
    </row>
    <row r="242" spans="2:16" ht="15.6">
      <c r="B242" s="70" t="s">
        <v>392</v>
      </c>
      <c r="C242" s="76">
        <f t="shared" ref="C242:O242" si="176">+C236+C230</f>
        <v>7537.027491408935</v>
      </c>
      <c r="D242" s="77">
        <f t="shared" si="176"/>
        <v>603.00229095074451</v>
      </c>
      <c r="E242" s="77">
        <f t="shared" si="176"/>
        <v>753.50229095074451</v>
      </c>
      <c r="F242" s="77">
        <f t="shared" si="176"/>
        <v>495.50229095074457</v>
      </c>
      <c r="G242" s="77">
        <f t="shared" si="176"/>
        <v>796.50229095074451</v>
      </c>
      <c r="H242" s="77">
        <f t="shared" si="176"/>
        <v>517.00229095074451</v>
      </c>
      <c r="I242" s="77">
        <f t="shared" si="176"/>
        <v>581.50229095074451</v>
      </c>
      <c r="J242" s="77">
        <f t="shared" si="176"/>
        <v>538.50229095074451</v>
      </c>
      <c r="K242" s="77">
        <f t="shared" si="176"/>
        <v>667.50229095074451</v>
      </c>
      <c r="L242" s="77">
        <f t="shared" si="176"/>
        <v>753.50229095074451</v>
      </c>
      <c r="M242" s="77">
        <f t="shared" si="176"/>
        <v>689.00229095074451</v>
      </c>
      <c r="N242" s="77">
        <f t="shared" si="176"/>
        <v>775.00229095074451</v>
      </c>
      <c r="O242" s="77">
        <f t="shared" si="176"/>
        <v>366.50229095074457</v>
      </c>
      <c r="P242" s="5"/>
    </row>
    <row r="243" spans="2:16" ht="18.600000000000001">
      <c r="B243" s="44" t="s">
        <v>393</v>
      </c>
      <c r="C243" s="78">
        <f>SUM(C238:C242)</f>
        <v>26145</v>
      </c>
      <c r="D243" s="79">
        <f t="shared" ref="D243:O243" si="177">SUM(D238:D242)</f>
        <v>2048.166666666667</v>
      </c>
      <c r="E243" s="79">
        <f t="shared" si="177"/>
        <v>2072.666666666667</v>
      </c>
      <c r="F243" s="79">
        <f t="shared" si="177"/>
        <v>2002.6666666666667</v>
      </c>
      <c r="G243" s="79">
        <f t="shared" si="177"/>
        <v>2379.666666666667</v>
      </c>
      <c r="H243" s="79">
        <f t="shared" si="177"/>
        <v>2118.166666666667</v>
      </c>
      <c r="I243" s="79">
        <f t="shared" si="177"/>
        <v>2292.666666666667</v>
      </c>
      <c r="J243" s="79">
        <f t="shared" si="177"/>
        <v>2450.6666666666665</v>
      </c>
      <c r="K243" s="79">
        <f t="shared" si="177"/>
        <v>2541.6666666666665</v>
      </c>
      <c r="L243" s="79">
        <f t="shared" si="177"/>
        <v>2258.666666666667</v>
      </c>
      <c r="M243" s="79">
        <f t="shared" si="177"/>
        <v>1996.1666666666667</v>
      </c>
      <c r="N243" s="79">
        <f t="shared" si="177"/>
        <v>2070.166666666667</v>
      </c>
      <c r="O243" s="79">
        <f t="shared" si="177"/>
        <v>1913.6666666666667</v>
      </c>
      <c r="P243" s="34" t="s">
        <v>394</v>
      </c>
    </row>
    <row r="244" spans="2:16">
      <c r="B244" s="236" t="s">
        <v>395</v>
      </c>
      <c r="C244" s="236"/>
      <c r="D244" s="110">
        <v>0.15</v>
      </c>
      <c r="E244" s="110">
        <v>0.15</v>
      </c>
      <c r="F244" s="110">
        <v>0.16</v>
      </c>
      <c r="G244" s="110">
        <v>0.16</v>
      </c>
      <c r="H244" s="110">
        <v>0.15</v>
      </c>
      <c r="I244" s="110">
        <v>0.15</v>
      </c>
      <c r="J244" s="110">
        <v>0.14000000000000001</v>
      </c>
      <c r="K244" s="110">
        <v>0.14000000000000001</v>
      </c>
      <c r="L244" s="110">
        <v>0.15</v>
      </c>
      <c r="M244" s="110">
        <v>0.15</v>
      </c>
      <c r="N244" s="110">
        <v>0.16</v>
      </c>
      <c r="O244" s="110">
        <v>0.15</v>
      </c>
      <c r="P244" s="80">
        <f>+IFERROR(((D244*D220)+(E244*E220)+(F244*F220)+(G244*G220)+(H244*H220)+(I244*I220)+(J244*J220)+(K244*K220)+(L244*L220)+(M244*M220)+(N244*N220)+(O244*O220))/C220,0)</f>
        <v>0.14953611111111112</v>
      </c>
    </row>
    <row r="245" spans="2:16">
      <c r="B245" s="235" t="s">
        <v>396</v>
      </c>
      <c r="C245" s="235"/>
      <c r="D245" s="101">
        <v>0.09</v>
      </c>
      <c r="E245" s="101">
        <v>0.1</v>
      </c>
      <c r="F245" s="101">
        <v>0.1</v>
      </c>
      <c r="G245" s="101">
        <v>0.1</v>
      </c>
      <c r="H245" s="101">
        <v>0.11</v>
      </c>
      <c r="I245" s="101">
        <v>0.11</v>
      </c>
      <c r="J245" s="101">
        <v>0.1</v>
      </c>
      <c r="K245" s="101">
        <v>0.09</v>
      </c>
      <c r="L245" s="101">
        <v>0.1</v>
      </c>
      <c r="M245" s="101">
        <v>0.1</v>
      </c>
      <c r="N245" s="101">
        <v>0.11</v>
      </c>
      <c r="O245" s="101">
        <v>0.1</v>
      </c>
      <c r="P245" s="80">
        <f t="shared" ref="P245:P247" si="178">+IFERROR(((D245*D221)+(E245*E221)+(F245*F221)+(G245*G221)+(H245*H221)+(I245*I221)+(J245*J221)+(K245*K221)+(L245*L221)+(M245*M221)+(N245*N221)+(O245*O221))/C221,0)</f>
        <v>0.10066</v>
      </c>
    </row>
    <row r="246" spans="2:16">
      <c r="B246" s="236" t="s">
        <v>397</v>
      </c>
      <c r="C246" s="236"/>
      <c r="D246" s="110">
        <v>0.12</v>
      </c>
      <c r="E246" s="110">
        <v>0.14000000000000001</v>
      </c>
      <c r="F246" s="110">
        <v>0.14000000000000001</v>
      </c>
      <c r="G246" s="110">
        <v>0.14000000000000001</v>
      </c>
      <c r="H246" s="110">
        <v>0.14000000000000001</v>
      </c>
      <c r="I246" s="110">
        <v>0.16</v>
      </c>
      <c r="J246" s="110">
        <v>0.14000000000000001</v>
      </c>
      <c r="K246" s="110">
        <v>0.13</v>
      </c>
      <c r="L246" s="110">
        <v>0.14000000000000001</v>
      </c>
      <c r="M246" s="110">
        <v>0.14000000000000001</v>
      </c>
      <c r="N246" s="110">
        <v>0.15</v>
      </c>
      <c r="O246" s="110">
        <v>0.15</v>
      </c>
      <c r="P246" s="80">
        <f t="shared" si="178"/>
        <v>0.14056818181818181</v>
      </c>
    </row>
    <row r="247" spans="2:16">
      <c r="B247" s="235" t="s">
        <v>398</v>
      </c>
      <c r="C247" s="235"/>
      <c r="D247" s="101">
        <v>5.5</v>
      </c>
      <c r="E247" s="101">
        <v>6</v>
      </c>
      <c r="F247" s="101">
        <v>5.5</v>
      </c>
      <c r="G247" s="101">
        <v>5.5</v>
      </c>
      <c r="H247" s="101">
        <v>6</v>
      </c>
      <c r="I247" s="101">
        <v>5.5</v>
      </c>
      <c r="J247" s="101">
        <v>6</v>
      </c>
      <c r="K247" s="101">
        <v>6</v>
      </c>
      <c r="L247" s="101">
        <v>6</v>
      </c>
      <c r="M247" s="101">
        <v>5.5</v>
      </c>
      <c r="N247" s="101">
        <v>6</v>
      </c>
      <c r="O247" s="101">
        <v>6</v>
      </c>
      <c r="P247" s="80">
        <f t="shared" si="178"/>
        <v>5.7934615384615382</v>
      </c>
    </row>
    <row r="248" spans="2:16">
      <c r="B248" s="236" t="s">
        <v>399</v>
      </c>
      <c r="C248" s="236"/>
      <c r="D248" s="110">
        <v>11</v>
      </c>
      <c r="E248" s="110">
        <v>12</v>
      </c>
      <c r="F248" s="110">
        <v>11</v>
      </c>
      <c r="G248" s="110">
        <v>11</v>
      </c>
      <c r="H248" s="110">
        <v>12</v>
      </c>
      <c r="I248" s="110">
        <v>12</v>
      </c>
      <c r="J248" s="110">
        <v>12</v>
      </c>
      <c r="K248" s="110">
        <v>12</v>
      </c>
      <c r="L248" s="110">
        <v>12</v>
      </c>
      <c r="M248" s="110">
        <v>11</v>
      </c>
      <c r="N248" s="110">
        <v>11</v>
      </c>
      <c r="O248" s="110">
        <v>12</v>
      </c>
      <c r="P248" s="80">
        <f>+IFERROR(((D248*D224)+(E248*E224)+(F248*F224)+(G248*G224)+(H248*H224)+(I248*I224)+(J248*J224)+(K248*K224)+(L248*L224)+(M248*M224)+(N248*N224)+(O248*O224))/C224,0)</f>
        <v>11.554285714285715</v>
      </c>
    </row>
    <row r="249" spans="2:16" ht="18.600000000000001">
      <c r="B249" s="44" t="s">
        <v>400</v>
      </c>
      <c r="C249" s="78">
        <f>SUM(D249:O249)</f>
        <v>154130.5</v>
      </c>
      <c r="D249" s="79">
        <f t="shared" ref="D249" si="179">+(D244*D220)+(D245*D221)+(D246*D222)+(D247*D223)+(D248*D224)</f>
        <v>10910</v>
      </c>
      <c r="E249" s="79">
        <f>+(E244*E220)+(E245*E221)+(E246*E222)+(E247*E223)+(E248*E224)</f>
        <v>12142.5</v>
      </c>
      <c r="F249" s="79">
        <f t="shared" ref="F249:H249" si="180">+(F244*F220)+(F245*F221)+(F246*F222)+(F247*F223)+(F248*F224)</f>
        <v>12113.5</v>
      </c>
      <c r="G249" s="79">
        <f t="shared" si="180"/>
        <v>13777.5</v>
      </c>
      <c r="H249" s="79">
        <f t="shared" si="180"/>
        <v>12951.5</v>
      </c>
      <c r="I249" s="79">
        <f>+(I244*I220)+(I245*I221)+(I246*I222)+(I247*I223)+(I248*I224)</f>
        <v>13790</v>
      </c>
      <c r="J249" s="79">
        <f t="shared" ref="J249:O249" si="181">+(J244*J220)+(J245*J221)+(J246*J222)+(J247*J223)+(J248*J224)</f>
        <v>14330</v>
      </c>
      <c r="K249" s="79">
        <f t="shared" si="181"/>
        <v>14745.5</v>
      </c>
      <c r="L249" s="79">
        <f t="shared" si="181"/>
        <v>13477.5</v>
      </c>
      <c r="M249" s="79">
        <f t="shared" si="181"/>
        <v>11390</v>
      </c>
      <c r="N249" s="79">
        <f t="shared" si="181"/>
        <v>12632.5</v>
      </c>
      <c r="O249" s="79">
        <f t="shared" si="181"/>
        <v>11870</v>
      </c>
      <c r="P249" s="5"/>
    </row>
    <row r="250" spans="2:16" ht="21">
      <c r="B250" s="33" t="s">
        <v>366</v>
      </c>
      <c r="C250" s="159">
        <f>+C249-C243</f>
        <v>127985.5</v>
      </c>
      <c r="D250" s="160">
        <f>+D249-D243</f>
        <v>8861.8333333333321</v>
      </c>
      <c r="E250" s="160">
        <f t="shared" ref="E250:O250" si="182">+E249-E243</f>
        <v>10069.833333333332</v>
      </c>
      <c r="F250" s="160">
        <f t="shared" si="182"/>
        <v>10110.833333333334</v>
      </c>
      <c r="G250" s="160">
        <f t="shared" si="182"/>
        <v>11397.833333333332</v>
      </c>
      <c r="H250" s="160">
        <f t="shared" si="182"/>
        <v>10833.333333333332</v>
      </c>
      <c r="I250" s="160">
        <f t="shared" si="182"/>
        <v>11497.333333333332</v>
      </c>
      <c r="J250" s="160">
        <f t="shared" si="182"/>
        <v>11879.333333333334</v>
      </c>
      <c r="K250" s="160">
        <f t="shared" si="182"/>
        <v>12203.833333333334</v>
      </c>
      <c r="L250" s="160">
        <f t="shared" si="182"/>
        <v>11218.833333333332</v>
      </c>
      <c r="M250" s="160">
        <f t="shared" si="182"/>
        <v>9393.8333333333339</v>
      </c>
      <c r="N250" s="160">
        <f t="shared" si="182"/>
        <v>10562.333333333332</v>
      </c>
      <c r="O250" s="160">
        <f t="shared" si="182"/>
        <v>9956.3333333333339</v>
      </c>
      <c r="P250" s="5"/>
    </row>
  </sheetData>
  <sheetProtection algorithmName="SHA-512" hashValue="Dxs7LalcK6MbKI/iMY9oeuQ7N9N7t0Z/6Q1H5juxHjjE2SFTOEnhDQTmUxN5RSLaksQiD+3FCzrW/U2lZqtcxg==" saltValue="9s339BnQG9YTjC4qr4O2IA==" spinCount="100000" sheet="1" objects="1" scenarios="1"/>
  <mergeCells count="81">
    <mergeCell ref="B244:C244"/>
    <mergeCell ref="B245:C245"/>
    <mergeCell ref="B246:C246"/>
    <mergeCell ref="B247:C247"/>
    <mergeCell ref="B248:C248"/>
    <mergeCell ref="B209:C209"/>
    <mergeCell ref="B212:H212"/>
    <mergeCell ref="B217:B218"/>
    <mergeCell ref="C217:O217"/>
    <mergeCell ref="P217:P219"/>
    <mergeCell ref="G218:J218"/>
    <mergeCell ref="B202:B203"/>
    <mergeCell ref="C202:H202"/>
    <mergeCell ref="C203:C204"/>
    <mergeCell ref="D203:H203"/>
    <mergeCell ref="B208:C208"/>
    <mergeCell ref="B194:C194"/>
    <mergeCell ref="B195:C195"/>
    <mergeCell ref="B196:C196"/>
    <mergeCell ref="B197:C197"/>
    <mergeCell ref="B198:C198"/>
    <mergeCell ref="B159:C159"/>
    <mergeCell ref="B162:H162"/>
    <mergeCell ref="B167:B168"/>
    <mergeCell ref="C167:O167"/>
    <mergeCell ref="P167:P169"/>
    <mergeCell ref="G168:J168"/>
    <mergeCell ref="B152:B153"/>
    <mergeCell ref="C152:H152"/>
    <mergeCell ref="C153:C154"/>
    <mergeCell ref="D153:H153"/>
    <mergeCell ref="B158:C158"/>
    <mergeCell ref="B144:C144"/>
    <mergeCell ref="B145:C145"/>
    <mergeCell ref="B146:C146"/>
    <mergeCell ref="B147:C147"/>
    <mergeCell ref="B148:C148"/>
    <mergeCell ref="B109:C109"/>
    <mergeCell ref="B112:H112"/>
    <mergeCell ref="B117:B118"/>
    <mergeCell ref="C117:O117"/>
    <mergeCell ref="P117:P119"/>
    <mergeCell ref="G118:J118"/>
    <mergeCell ref="B102:B103"/>
    <mergeCell ref="C102:H102"/>
    <mergeCell ref="C103:C104"/>
    <mergeCell ref="D103:H103"/>
    <mergeCell ref="B108:C108"/>
    <mergeCell ref="B94:C94"/>
    <mergeCell ref="B95:C95"/>
    <mergeCell ref="B96:C96"/>
    <mergeCell ref="B97:C97"/>
    <mergeCell ref="B98:C98"/>
    <mergeCell ref="B59:C59"/>
    <mergeCell ref="B62:H62"/>
    <mergeCell ref="B67:B68"/>
    <mergeCell ref="C67:O67"/>
    <mergeCell ref="P67:P69"/>
    <mergeCell ref="G68:J68"/>
    <mergeCell ref="B52:B53"/>
    <mergeCell ref="C52:H52"/>
    <mergeCell ref="C53:C54"/>
    <mergeCell ref="D53:H53"/>
    <mergeCell ref="B58:C58"/>
    <mergeCell ref="P17:P19"/>
    <mergeCell ref="B47:C47"/>
    <mergeCell ref="B48:C48"/>
    <mergeCell ref="B44:C44"/>
    <mergeCell ref="B45:C45"/>
    <mergeCell ref="B46:C46"/>
    <mergeCell ref="B17:B18"/>
    <mergeCell ref="G18:J18"/>
    <mergeCell ref="B9:C9"/>
    <mergeCell ref="C17:O17"/>
    <mergeCell ref="C2:H2"/>
    <mergeCell ref="C3:C4"/>
    <mergeCell ref="D3:H3"/>
    <mergeCell ref="B8:C8"/>
    <mergeCell ref="B12:H12"/>
    <mergeCell ref="B2:B3"/>
    <mergeCell ref="I4:L14"/>
  </mergeCells>
  <phoneticPr fontId="4" type="noConversion"/>
  <pageMargins left="0.28999999999999998" right="0.16" top="0.75" bottom="0.75" header="0.3" footer="0.3"/>
  <pageSetup paperSize="9" scale="48" fitToHeight="0" orientation="landscape" r:id="rId1"/>
  <ignoredErrors>
    <ignoredError sqref="E6 E10 E13" formula="1"/>
  </ignoredErrors>
  <legacyDrawing r:id="rId2"/>
  <extLst>
    <ext xmlns:x14="http://schemas.microsoft.com/office/spreadsheetml/2009/9/main" uri="{78C0D931-6437-407d-A8EE-F0AAD7539E65}">
      <x14:conditionalFormattings>
        <x14:conditionalFormatting xmlns:xm="http://schemas.microsoft.com/office/excel/2006/main">
          <x14:cfRule type="cellIs" priority="20" operator="lessThan" id="{88BC84DF-7D9A-4B36-BB69-AB667E647646}">
            <xm:f>KAIZEN!$L$10</xm:f>
            <x14:dxf>
              <font>
                <b/>
                <i val="0"/>
                <color theme="0"/>
              </font>
              <fill>
                <patternFill>
                  <bgColor rgb="FFFF0000"/>
                </patternFill>
              </fill>
            </x14:dxf>
          </x14:cfRule>
          <xm:sqref>C15:H15</xm:sqref>
        </x14:conditionalFormatting>
        <x14:conditionalFormatting xmlns:xm="http://schemas.microsoft.com/office/excel/2006/main">
          <x14:cfRule type="cellIs" priority="11" operator="lessThan" id="{066525EF-F08E-488B-B91E-AFB3ADB0319F}">
            <xm:f>KAIZEN!$L$10</xm:f>
            <x14:dxf>
              <font>
                <b/>
                <i val="0"/>
                <color theme="0"/>
              </font>
              <fill>
                <patternFill>
                  <bgColor rgb="FFFF0000"/>
                </patternFill>
              </fill>
            </x14:dxf>
          </x14:cfRule>
          <xm:sqref>C65:H65</xm:sqref>
        </x14:conditionalFormatting>
        <x14:conditionalFormatting xmlns:xm="http://schemas.microsoft.com/office/excel/2006/main">
          <x14:cfRule type="cellIs" priority="10" operator="lessThan" id="{40A06A0E-81A7-4FAD-B0EB-5D8931E0FAFD}">
            <xm:f>KAIZEN!$L$10</xm:f>
            <x14:dxf>
              <font>
                <b/>
                <i val="0"/>
                <color theme="0"/>
              </font>
              <fill>
                <patternFill>
                  <bgColor rgb="FFFF0000"/>
                </patternFill>
              </fill>
            </x14:dxf>
          </x14:cfRule>
          <xm:sqref>C115:H115</xm:sqref>
        </x14:conditionalFormatting>
        <x14:conditionalFormatting xmlns:xm="http://schemas.microsoft.com/office/excel/2006/main">
          <x14:cfRule type="cellIs" priority="7" operator="lessThan" id="{0A19EB8B-0040-4375-9FE8-DE46B0D9D79F}">
            <xm:f>KAIZEN!$L$10</xm:f>
            <x14:dxf>
              <font>
                <b/>
                <i val="0"/>
                <color theme="0"/>
              </font>
              <fill>
                <patternFill>
                  <bgColor rgb="FFFF0000"/>
                </patternFill>
              </fill>
            </x14:dxf>
          </x14:cfRule>
          <xm:sqref>C165:H165</xm:sqref>
        </x14:conditionalFormatting>
        <x14:conditionalFormatting xmlns:xm="http://schemas.microsoft.com/office/excel/2006/main">
          <x14:cfRule type="cellIs" priority="8" operator="lessThan" id="{5E514D7D-85EA-4F34-8E9E-5A24FE7B66FD}">
            <xm:f>KAIZEN!$L$10</xm:f>
            <x14:dxf>
              <font>
                <b/>
                <i val="0"/>
                <color theme="0"/>
              </font>
              <fill>
                <patternFill>
                  <bgColor rgb="FFFF0000"/>
                </patternFill>
              </fill>
            </x14:dxf>
          </x14:cfRule>
          <xm:sqref>C215:H215</xm:sqref>
        </x14:conditionalFormatting>
        <x14:conditionalFormatting xmlns:xm="http://schemas.microsoft.com/office/excel/2006/main">
          <x14:cfRule type="cellIs" priority="12" operator="lessThan" id="{F8CAD585-87C6-4355-B2E5-608324EE628C}">
            <xm:f>KAIZEN!$L$10</xm:f>
            <x14:dxf>
              <font>
                <b/>
                <i val="0"/>
                <color theme="0"/>
              </font>
              <fill>
                <patternFill>
                  <bgColor rgb="FFFF0000"/>
                </patternFill>
              </fill>
            </x14:dxf>
          </x14:cfRule>
          <xm:sqref>C50:O50</xm:sqref>
        </x14:conditionalFormatting>
        <x14:conditionalFormatting xmlns:xm="http://schemas.microsoft.com/office/excel/2006/main">
          <x14:cfRule type="cellIs" priority="6" operator="lessThan" id="{54F2012B-81EC-407E-B504-5D2701E7DAEC}">
            <xm:f>KAIZEN!$L$10</xm:f>
            <x14:dxf>
              <font>
                <b/>
                <i val="0"/>
                <color theme="0"/>
              </font>
              <fill>
                <patternFill>
                  <bgColor rgb="FFFF0000"/>
                </patternFill>
              </fill>
            </x14:dxf>
          </x14:cfRule>
          <xm:sqref>C100:O100</xm:sqref>
        </x14:conditionalFormatting>
        <x14:conditionalFormatting xmlns:xm="http://schemas.microsoft.com/office/excel/2006/main">
          <x14:cfRule type="cellIs" priority="5" operator="lessThan" id="{2AA3BECB-9571-499C-80ED-D2D55946A2C7}">
            <xm:f>KAIZEN!$L$10</xm:f>
            <x14:dxf>
              <font>
                <b/>
                <i val="0"/>
                <color theme="0"/>
              </font>
              <fill>
                <patternFill>
                  <bgColor rgb="FFFF0000"/>
                </patternFill>
              </fill>
            </x14:dxf>
          </x14:cfRule>
          <xm:sqref>C150:O150</xm:sqref>
        </x14:conditionalFormatting>
        <x14:conditionalFormatting xmlns:xm="http://schemas.microsoft.com/office/excel/2006/main">
          <x14:cfRule type="cellIs" priority="4" operator="lessThan" id="{68C037E1-0E2B-427B-ACFA-640481E87D83}">
            <xm:f>KAIZEN!$L$10</xm:f>
            <x14:dxf>
              <font>
                <b/>
                <i val="0"/>
                <color theme="0"/>
              </font>
              <fill>
                <patternFill>
                  <bgColor rgb="FFFF0000"/>
                </patternFill>
              </fill>
            </x14:dxf>
          </x14:cfRule>
          <xm:sqref>C200:O200</xm:sqref>
        </x14:conditionalFormatting>
        <x14:conditionalFormatting xmlns:xm="http://schemas.microsoft.com/office/excel/2006/main">
          <x14:cfRule type="cellIs" priority="3" operator="lessThan" id="{3CD5EAF3-8610-47B3-A0AE-F4E2C8FDD6A2}">
            <xm:f>KAIZEN!$L$10</xm:f>
            <x14:dxf>
              <font>
                <b/>
                <i val="0"/>
                <color theme="0"/>
              </font>
              <fill>
                <patternFill>
                  <bgColor rgb="FFFF0000"/>
                </patternFill>
              </fill>
            </x14:dxf>
          </x14:cfRule>
          <xm:sqref>C250:O250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Antonio</dc:creator>
  <cp:keywords/>
  <dc:description/>
  <cp:lastModifiedBy>Usuario invitado</cp:lastModifiedBy>
  <cp:revision/>
  <dcterms:created xsi:type="dcterms:W3CDTF">2022-05-27T16:25:18Z</dcterms:created>
  <dcterms:modified xsi:type="dcterms:W3CDTF">2023-12-04T22:12:20Z</dcterms:modified>
  <cp:category/>
  <cp:contentStatus/>
</cp:coreProperties>
</file>