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stairleith/Documents/1. masters economics of sustainabilty/01 assessments for all subjects/501 Data Analysis/Assessment 1/02 Data sets/"/>
    </mc:Choice>
  </mc:AlternateContent>
  <xr:revisionPtr revIDLastSave="0" documentId="13_ncr:1_{F050802D-A9FB-9046-99A6-04A9A251F073}" xr6:coauthVersionLast="47" xr6:coauthVersionMax="47" xr10:uidLastSave="{00000000-0000-0000-0000-000000000000}"/>
  <bookViews>
    <workbookView xWindow="77820" yWindow="2100" windowWidth="70280" windowHeight="36500" activeTab="2" xr2:uid="{00000000-000D-0000-FFFF-FFFF00000000}"/>
  </bookViews>
  <sheets>
    <sheet name="description" sheetId="4" r:id="rId1"/>
    <sheet name="data" sheetId="1" r:id="rId2"/>
    <sheet name="Gain and loss parameters " sheetId="8" r:id="rId3"/>
    <sheet name="summary for all countries" sheetId="7" r:id="rId4"/>
    <sheet name="data (2)" sheetId="6" r:id="rId5"/>
    <sheet name="Learning Lambda again" sheetId="5" r:id="rId6"/>
  </sheets>
  <definedNames>
    <definedName name="_xlnm._FilterDatabase" localSheetId="1" hidden="1">data!$A$8:$AG$246</definedName>
    <definedName name="_xlnm._FilterDatabase" localSheetId="4" hidden="1">'data (2)'!$A$1:$AF$239</definedName>
    <definedName name="All_gain_nations_minus_China">'Gain and loss parameters '!$B$5:$B$140</definedName>
    <definedName name="Displacement" comment="𝙎 = 𝙎₀ + 𝙑︤𝙩" localSheetId="5">_xlfn.LAMBDA(_xlpm.s0,_xlpm.v,_xlpm.t, _xlpm.s0 + _xlpm.v * _xlpm.t )</definedName>
    <definedName name="NFALOSS_except_Brazil">'Gain and loss parameters '!$I$5:$J$102</definedName>
    <definedName name="_xlnm.Print_Area" localSheetId="1">data!$X$26:$AR$252</definedName>
    <definedName name="_xlnm.Print_Area" localSheetId="4">'data (2)'!$X$19:$AQ$245</definedName>
    <definedName name="SEL_GAIN_EXCEPT_CHINA">'Gain and loss parameters '!$R$7:$R$28</definedName>
    <definedName name="SEL_LOSS_EXCEPT_BRAZIL">'Gain and loss parameters '!$Y$7:$Z$19</definedName>
    <definedName name="Velocity" comment="𝘝 = 𝘝₀ + 𝑎.𝘵">_xlfn.LAMBDA(_xlpm.v0,_xlpm.a,_xlpm.t, _xlpm.v0 + _xlpm.a * _xlpm.t)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8" l="1"/>
  <c r="F18" i="8"/>
  <c r="F17" i="8"/>
  <c r="N17" i="8"/>
  <c r="N10" i="8"/>
  <c r="AH6" i="8"/>
  <c r="V17" i="8"/>
  <c r="V16" i="8"/>
  <c r="M24" i="1"/>
  <c r="I24" i="1"/>
  <c r="F14" i="8"/>
  <c r="F13" i="8"/>
  <c r="H247" i="1"/>
  <c r="H254" i="1" s="1"/>
  <c r="C143" i="8"/>
  <c r="E7" i="8"/>
  <c r="E5" i="8"/>
  <c r="E4" i="8"/>
  <c r="K104" i="8"/>
  <c r="K103" i="8"/>
  <c r="C142" i="8"/>
  <c r="I4" i="5"/>
  <c r="W7" i="5"/>
  <c r="AD9" i="8"/>
  <c r="V7" i="8"/>
  <c r="F5" i="8"/>
  <c r="M4" i="8"/>
  <c r="AC10" i="8"/>
  <c r="AD12" i="8" s="1"/>
  <c r="AD10" i="8"/>
  <c r="AC7" i="8"/>
  <c r="AC9" i="8"/>
  <c r="AC8" i="8"/>
  <c r="AD8" i="8"/>
  <c r="AD7" i="8"/>
  <c r="AD6" i="8"/>
  <c r="AC6" i="8"/>
  <c r="V10" i="8"/>
  <c r="V9" i="8"/>
  <c r="V8" i="8"/>
  <c r="U10" i="8"/>
  <c r="V12" i="8" s="1"/>
  <c r="U9" i="8"/>
  <c r="U8" i="8"/>
  <c r="U7" i="8"/>
  <c r="V6" i="8"/>
  <c r="U6" i="8"/>
  <c r="N8" i="8"/>
  <c r="N7" i="8"/>
  <c r="N5" i="8"/>
  <c r="N6" i="8"/>
  <c r="N4" i="8"/>
  <c r="M8" i="8"/>
  <c r="M7" i="8"/>
  <c r="M5" i="8"/>
  <c r="M6" i="8"/>
  <c r="F8" i="8"/>
  <c r="E8" i="8"/>
  <c r="F10" i="8" s="1"/>
  <c r="F6" i="8"/>
  <c r="F7" i="8"/>
  <c r="F4" i="8"/>
  <c r="E6" i="8"/>
  <c r="H449" i="1"/>
  <c r="H448" i="1"/>
  <c r="H446" i="1"/>
  <c r="H445" i="1"/>
  <c r="B262" i="1"/>
  <c r="F453" i="1"/>
  <c r="F452" i="1"/>
  <c r="G452" i="1"/>
  <c r="J42" i="1"/>
  <c r="G456" i="1"/>
  <c r="G455" i="1"/>
  <c r="G453" i="1"/>
  <c r="C288" i="1" a="1"/>
  <c r="C288" i="1" s="1"/>
  <c r="C287" i="1"/>
  <c r="C282" i="1"/>
  <c r="C281" i="1"/>
  <c r="R253" i="1"/>
  <c r="P254" i="1"/>
  <c r="P253" i="1"/>
  <c r="O254" i="1"/>
  <c r="O253" i="1"/>
  <c r="B247" i="1"/>
  <c r="C247" i="1"/>
  <c r="F3" i="1"/>
  <c r="D3" i="1"/>
  <c r="P24" i="1" l="1"/>
  <c r="N9" i="8"/>
  <c r="V11" i="8"/>
  <c r="F9" i="8"/>
  <c r="AH3" i="8"/>
  <c r="AD11" i="8"/>
  <c r="AH4" i="8"/>
  <c r="AH8" i="8"/>
  <c r="I3" i="1"/>
  <c r="J3" i="1" s="1"/>
  <c r="S266" i="6"/>
  <c r="B244" i="6"/>
  <c r="H243" i="6"/>
  <c r="G243" i="6"/>
  <c r="G244" i="6" s="1"/>
  <c r="F243" i="6"/>
  <c r="F244" i="6" s="1"/>
  <c r="E243" i="6"/>
  <c r="E244" i="6" s="1"/>
  <c r="D243" i="6"/>
  <c r="D244" i="6" s="1"/>
  <c r="C243" i="6"/>
  <c r="C244" i="6" s="1"/>
  <c r="B243" i="6"/>
  <c r="AG242" i="6"/>
  <c r="E241" i="6"/>
  <c r="C241" i="6"/>
  <c r="H240" i="6"/>
  <c r="G240" i="6"/>
  <c r="G241" i="6" s="1"/>
  <c r="F240" i="6"/>
  <c r="F241" i="6" s="1"/>
  <c r="E240" i="6"/>
  <c r="D240" i="6"/>
  <c r="D241" i="6" s="1"/>
  <c r="C240" i="6"/>
  <c r="B240" i="6"/>
  <c r="AF239" i="6"/>
  <c r="AE239" i="6"/>
  <c r="AD239" i="6"/>
  <c r="AC239" i="6"/>
  <c r="AA239" i="6"/>
  <c r="AB239" i="6" s="1"/>
  <c r="Z239" i="6"/>
  <c r="Y239" i="6"/>
  <c r="X239" i="6"/>
  <c r="Q239" i="6"/>
  <c r="S239" i="6" s="1"/>
  <c r="N239" i="6"/>
  <c r="O239" i="6" s="1"/>
  <c r="M239" i="6"/>
  <c r="L239" i="6"/>
  <c r="K239" i="6"/>
  <c r="J239" i="6"/>
  <c r="I239" i="6"/>
  <c r="P239" i="6" s="1"/>
  <c r="AF238" i="6"/>
  <c r="AE238" i="6"/>
  <c r="AD238" i="6"/>
  <c r="AC238" i="6"/>
  <c r="AA238" i="6"/>
  <c r="Z238" i="6"/>
  <c r="AB238" i="6" s="1"/>
  <c r="Y238" i="6"/>
  <c r="X238" i="6"/>
  <c r="S238" i="6"/>
  <c r="R238" i="6"/>
  <c r="Q238" i="6"/>
  <c r="O238" i="6"/>
  <c r="N238" i="6"/>
  <c r="M238" i="6"/>
  <c r="P238" i="6" s="1"/>
  <c r="L238" i="6"/>
  <c r="K238" i="6"/>
  <c r="J238" i="6"/>
  <c r="T238" i="6" s="1"/>
  <c r="I238" i="6"/>
  <c r="AF237" i="6"/>
  <c r="AE237" i="6"/>
  <c r="AD237" i="6"/>
  <c r="AC237" i="6"/>
  <c r="AA237" i="6"/>
  <c r="AB237" i="6" s="1"/>
  <c r="Z237" i="6"/>
  <c r="Y237" i="6"/>
  <c r="X237" i="6"/>
  <c r="S237" i="6"/>
  <c r="R237" i="6"/>
  <c r="Q237" i="6"/>
  <c r="N237" i="6"/>
  <c r="O237" i="6" s="1"/>
  <c r="M237" i="6"/>
  <c r="L237" i="6"/>
  <c r="K237" i="6"/>
  <c r="J237" i="6"/>
  <c r="I237" i="6"/>
  <c r="P237" i="6" s="1"/>
  <c r="AF236" i="6"/>
  <c r="AE236" i="6"/>
  <c r="AD236" i="6"/>
  <c r="AC236" i="6"/>
  <c r="AB236" i="6"/>
  <c r="AA236" i="6"/>
  <c r="Z236" i="6"/>
  <c r="Y236" i="6"/>
  <c r="X236" i="6"/>
  <c r="S236" i="6"/>
  <c r="R236" i="6"/>
  <c r="Q236" i="6"/>
  <c r="O236" i="6"/>
  <c r="N236" i="6"/>
  <c r="M236" i="6"/>
  <c r="L236" i="6"/>
  <c r="K236" i="6"/>
  <c r="J236" i="6"/>
  <c r="I236" i="6"/>
  <c r="P236" i="6" s="1"/>
  <c r="AF235" i="6"/>
  <c r="AE235" i="6"/>
  <c r="AD235" i="6"/>
  <c r="AC235" i="6"/>
  <c r="AA235" i="6"/>
  <c r="Z235" i="6"/>
  <c r="AB235" i="6" s="1"/>
  <c r="Y235" i="6"/>
  <c r="X235" i="6"/>
  <c r="S235" i="6"/>
  <c r="R235" i="6"/>
  <c r="Q235" i="6"/>
  <c r="N235" i="6"/>
  <c r="O235" i="6" s="1"/>
  <c r="M235" i="6"/>
  <c r="P235" i="6" s="1"/>
  <c r="L235" i="6"/>
  <c r="K235" i="6"/>
  <c r="J235" i="6"/>
  <c r="T235" i="6" s="1"/>
  <c r="I235" i="6"/>
  <c r="AF234" i="6"/>
  <c r="AE234" i="6"/>
  <c r="AD234" i="6"/>
  <c r="AC234" i="6"/>
  <c r="AA234" i="6"/>
  <c r="Z234" i="6"/>
  <c r="Y234" i="6"/>
  <c r="X234" i="6"/>
  <c r="Q234" i="6"/>
  <c r="R234" i="6" s="1"/>
  <c r="N234" i="6"/>
  <c r="O234" i="6" s="1"/>
  <c r="M234" i="6"/>
  <c r="P234" i="6" s="1"/>
  <c r="L234" i="6"/>
  <c r="K234" i="6"/>
  <c r="J234" i="6"/>
  <c r="T234" i="6" s="1"/>
  <c r="I234" i="6"/>
  <c r="AF233" i="6"/>
  <c r="AE233" i="6"/>
  <c r="AD233" i="6"/>
  <c r="AC233" i="6"/>
  <c r="AB233" i="6"/>
  <c r="AA233" i="6"/>
  <c r="Z233" i="6"/>
  <c r="Y233" i="6"/>
  <c r="X233" i="6"/>
  <c r="S233" i="6"/>
  <c r="R233" i="6"/>
  <c r="Q233" i="6"/>
  <c r="N233" i="6"/>
  <c r="O233" i="6" s="1"/>
  <c r="M233" i="6"/>
  <c r="P233" i="6" s="1"/>
  <c r="L233" i="6"/>
  <c r="K233" i="6"/>
  <c r="J233" i="6"/>
  <c r="T233" i="6" s="1"/>
  <c r="I233" i="6"/>
  <c r="AF232" i="6"/>
  <c r="AE232" i="6"/>
  <c r="AD232" i="6"/>
  <c r="AC232" i="6"/>
  <c r="AB232" i="6"/>
  <c r="AA232" i="6"/>
  <c r="Z232" i="6"/>
  <c r="Y232" i="6"/>
  <c r="X232" i="6"/>
  <c r="S232" i="6"/>
  <c r="Q232" i="6"/>
  <c r="R232" i="6" s="1"/>
  <c r="N232" i="6"/>
  <c r="O232" i="6" s="1"/>
  <c r="M232" i="6"/>
  <c r="L232" i="6"/>
  <c r="K232" i="6"/>
  <c r="J232" i="6"/>
  <c r="I232" i="6"/>
  <c r="AF231" i="6"/>
  <c r="AE231" i="6"/>
  <c r="AD231" i="6"/>
  <c r="AC231" i="6"/>
  <c r="AA231" i="6"/>
  <c r="Z231" i="6"/>
  <c r="Y231" i="6"/>
  <c r="X231" i="6"/>
  <c r="Q231" i="6"/>
  <c r="O231" i="6"/>
  <c r="N231" i="6"/>
  <c r="M231" i="6"/>
  <c r="P231" i="6" s="1"/>
  <c r="L231" i="6"/>
  <c r="T231" i="6" s="1"/>
  <c r="K231" i="6"/>
  <c r="J231" i="6"/>
  <c r="I231" i="6"/>
  <c r="AF230" i="6"/>
  <c r="AE230" i="6"/>
  <c r="AD230" i="6"/>
  <c r="AC230" i="6"/>
  <c r="AA230" i="6"/>
  <c r="Z230" i="6"/>
  <c r="AB230" i="6" s="1"/>
  <c r="Y230" i="6"/>
  <c r="X230" i="6"/>
  <c r="R230" i="6"/>
  <c r="Q230" i="6"/>
  <c r="S230" i="6" s="1"/>
  <c r="N230" i="6"/>
  <c r="O230" i="6" s="1"/>
  <c r="M230" i="6"/>
  <c r="P230" i="6" s="1"/>
  <c r="L230" i="6"/>
  <c r="K230" i="6"/>
  <c r="J230" i="6"/>
  <c r="I230" i="6"/>
  <c r="AF229" i="6"/>
  <c r="AE229" i="6"/>
  <c r="AD229" i="6"/>
  <c r="AC229" i="6"/>
  <c r="AB229" i="6"/>
  <c r="AA229" i="6"/>
  <c r="Z229" i="6"/>
  <c r="Y229" i="6"/>
  <c r="X229" i="6"/>
  <c r="Q229" i="6"/>
  <c r="S229" i="6" s="1"/>
  <c r="P229" i="6"/>
  <c r="N229" i="6"/>
  <c r="O229" i="6" s="1"/>
  <c r="M229" i="6"/>
  <c r="L229" i="6"/>
  <c r="K229" i="6"/>
  <c r="J229" i="6"/>
  <c r="T229" i="6" s="1"/>
  <c r="I229" i="6"/>
  <c r="AF228" i="6"/>
  <c r="AE228" i="6"/>
  <c r="AD228" i="6"/>
  <c r="AC228" i="6"/>
  <c r="AB228" i="6"/>
  <c r="AA228" i="6"/>
  <c r="Z228" i="6"/>
  <c r="Y228" i="6"/>
  <c r="X228" i="6"/>
  <c r="S228" i="6"/>
  <c r="R228" i="6"/>
  <c r="Q228" i="6"/>
  <c r="O228" i="6"/>
  <c r="N228" i="6"/>
  <c r="M228" i="6"/>
  <c r="L228" i="6"/>
  <c r="K228" i="6"/>
  <c r="J228" i="6"/>
  <c r="I228" i="6"/>
  <c r="AF227" i="6"/>
  <c r="AE227" i="6"/>
  <c r="AD227" i="6"/>
  <c r="AC227" i="6"/>
  <c r="AA227" i="6"/>
  <c r="AB227" i="6" s="1"/>
  <c r="Z227" i="6"/>
  <c r="Y227" i="6"/>
  <c r="X227" i="6"/>
  <c r="S227" i="6"/>
  <c r="R227" i="6"/>
  <c r="Q227" i="6"/>
  <c r="P227" i="6"/>
  <c r="N227" i="6"/>
  <c r="O227" i="6" s="1"/>
  <c r="M227" i="6"/>
  <c r="L227" i="6"/>
  <c r="K227" i="6"/>
  <c r="J227" i="6"/>
  <c r="I227" i="6"/>
  <c r="AF226" i="6"/>
  <c r="AE226" i="6"/>
  <c r="AD226" i="6"/>
  <c r="AC226" i="6"/>
  <c r="AB226" i="6"/>
  <c r="AA226" i="6"/>
  <c r="Z226" i="6"/>
  <c r="Y226" i="6"/>
  <c r="X226" i="6"/>
  <c r="S226" i="6"/>
  <c r="R226" i="6"/>
  <c r="Q226" i="6"/>
  <c r="O226" i="6"/>
  <c r="N226" i="6"/>
  <c r="M226" i="6"/>
  <c r="L226" i="6"/>
  <c r="K226" i="6"/>
  <c r="J226" i="6"/>
  <c r="I226" i="6"/>
  <c r="P226" i="6" s="1"/>
  <c r="AF225" i="6"/>
  <c r="AE225" i="6"/>
  <c r="AD225" i="6"/>
  <c r="AC225" i="6"/>
  <c r="AA225" i="6"/>
  <c r="Z225" i="6"/>
  <c r="AB225" i="6" s="1"/>
  <c r="Y225" i="6"/>
  <c r="X225" i="6"/>
  <c r="S225" i="6"/>
  <c r="R225" i="6"/>
  <c r="Q225" i="6"/>
  <c r="N225" i="6"/>
  <c r="O225" i="6" s="1"/>
  <c r="M225" i="6"/>
  <c r="P225" i="6" s="1"/>
  <c r="L225" i="6"/>
  <c r="K225" i="6"/>
  <c r="J225" i="6"/>
  <c r="T225" i="6" s="1"/>
  <c r="I225" i="6"/>
  <c r="AF224" i="6"/>
  <c r="AE224" i="6"/>
  <c r="AD224" i="6"/>
  <c r="AC224" i="6"/>
  <c r="AA224" i="6"/>
  <c r="Z224" i="6"/>
  <c r="AB224" i="6" s="1"/>
  <c r="Y224" i="6"/>
  <c r="X224" i="6"/>
  <c r="T224" i="6"/>
  <c r="S224" i="6"/>
  <c r="Q224" i="6"/>
  <c r="R224" i="6" s="1"/>
  <c r="N224" i="6"/>
  <c r="O224" i="6" s="1"/>
  <c r="M224" i="6"/>
  <c r="P224" i="6" s="1"/>
  <c r="L224" i="6"/>
  <c r="K224" i="6"/>
  <c r="J224" i="6"/>
  <c r="I224" i="6"/>
  <c r="AF223" i="6"/>
  <c r="AE223" i="6"/>
  <c r="AD223" i="6"/>
  <c r="AC223" i="6"/>
  <c r="AB223" i="6"/>
  <c r="AA223" i="6"/>
  <c r="Z223" i="6"/>
  <c r="Y223" i="6"/>
  <c r="X223" i="6"/>
  <c r="S223" i="6"/>
  <c r="R223" i="6"/>
  <c r="Q223" i="6"/>
  <c r="N223" i="6"/>
  <c r="O223" i="6" s="1"/>
  <c r="M223" i="6"/>
  <c r="P223" i="6" s="1"/>
  <c r="L223" i="6"/>
  <c r="K223" i="6"/>
  <c r="J223" i="6"/>
  <c r="I223" i="6"/>
  <c r="AF222" i="6"/>
  <c r="AE222" i="6"/>
  <c r="AD222" i="6"/>
  <c r="AC222" i="6"/>
  <c r="AA222" i="6"/>
  <c r="AB222" i="6" s="1"/>
  <c r="Z222" i="6"/>
  <c r="Y222" i="6"/>
  <c r="X222" i="6"/>
  <c r="Q222" i="6"/>
  <c r="R222" i="6" s="1"/>
  <c r="O222" i="6"/>
  <c r="N222" i="6"/>
  <c r="M222" i="6"/>
  <c r="P222" i="6" s="1"/>
  <c r="L222" i="6"/>
  <c r="K222" i="6"/>
  <c r="J222" i="6"/>
  <c r="I222" i="6"/>
  <c r="AF221" i="6"/>
  <c r="AE221" i="6"/>
  <c r="AD221" i="6"/>
  <c r="AC221" i="6"/>
  <c r="AA221" i="6"/>
  <c r="Z221" i="6"/>
  <c r="AB221" i="6" s="1"/>
  <c r="Y221" i="6"/>
  <c r="X221" i="6"/>
  <c r="Q221" i="6"/>
  <c r="S221" i="6" s="1"/>
  <c r="O221" i="6"/>
  <c r="N221" i="6"/>
  <c r="M221" i="6"/>
  <c r="P221" i="6" s="1"/>
  <c r="L221" i="6"/>
  <c r="K221" i="6"/>
  <c r="J221" i="6"/>
  <c r="T221" i="6" s="1"/>
  <c r="I221" i="6"/>
  <c r="AF220" i="6"/>
  <c r="AE220" i="6"/>
  <c r="AD220" i="6"/>
  <c r="AC220" i="6"/>
  <c r="AA220" i="6"/>
  <c r="Z220" i="6"/>
  <c r="Y220" i="6"/>
  <c r="X220" i="6"/>
  <c r="S220" i="6"/>
  <c r="Q220" i="6"/>
  <c r="R220" i="6" s="1"/>
  <c r="O220" i="6"/>
  <c r="N220" i="6"/>
  <c r="M220" i="6"/>
  <c r="P220" i="6" s="1"/>
  <c r="L220" i="6"/>
  <c r="K220" i="6"/>
  <c r="J220" i="6"/>
  <c r="I220" i="6"/>
  <c r="AF219" i="6"/>
  <c r="AE219" i="6"/>
  <c r="AD219" i="6"/>
  <c r="AC219" i="6"/>
  <c r="AA219" i="6"/>
  <c r="AB219" i="6" s="1"/>
  <c r="Z219" i="6"/>
  <c r="Y219" i="6"/>
  <c r="X219" i="6"/>
  <c r="T219" i="6"/>
  <c r="Q219" i="6"/>
  <c r="P219" i="6"/>
  <c r="N219" i="6"/>
  <c r="O219" i="6" s="1"/>
  <c r="M219" i="6"/>
  <c r="L219" i="6"/>
  <c r="K219" i="6"/>
  <c r="J219" i="6"/>
  <c r="I219" i="6"/>
  <c r="AF218" i="6"/>
  <c r="AE218" i="6"/>
  <c r="AD218" i="6"/>
  <c r="AC218" i="6"/>
  <c r="AB218" i="6"/>
  <c r="AA218" i="6"/>
  <c r="Z218" i="6"/>
  <c r="Y218" i="6"/>
  <c r="X218" i="6"/>
  <c r="R218" i="6"/>
  <c r="Q218" i="6"/>
  <c r="S218" i="6" s="1"/>
  <c r="O218" i="6"/>
  <c r="N218" i="6"/>
  <c r="M218" i="6"/>
  <c r="P218" i="6" s="1"/>
  <c r="L218" i="6"/>
  <c r="K218" i="6"/>
  <c r="J218" i="6"/>
  <c r="I218" i="6"/>
  <c r="AF217" i="6"/>
  <c r="AE217" i="6"/>
  <c r="AD217" i="6"/>
  <c r="AC217" i="6"/>
  <c r="AA217" i="6"/>
  <c r="AB217" i="6" s="1"/>
  <c r="Z217" i="6"/>
  <c r="Y217" i="6"/>
  <c r="X217" i="6"/>
  <c r="Q217" i="6"/>
  <c r="S217" i="6" s="1"/>
  <c r="N217" i="6"/>
  <c r="O217" i="6" s="1"/>
  <c r="M217" i="6"/>
  <c r="L217" i="6"/>
  <c r="K217" i="6"/>
  <c r="J217" i="6"/>
  <c r="T217" i="6" s="1"/>
  <c r="I217" i="6"/>
  <c r="P217" i="6" s="1"/>
  <c r="AF216" i="6"/>
  <c r="AE216" i="6"/>
  <c r="AD216" i="6"/>
  <c r="AC216" i="6"/>
  <c r="AB216" i="6"/>
  <c r="AA216" i="6"/>
  <c r="Z216" i="6"/>
  <c r="Y216" i="6"/>
  <c r="X216" i="6"/>
  <c r="R216" i="6"/>
  <c r="Q216" i="6"/>
  <c r="S216" i="6" s="1"/>
  <c r="O216" i="6"/>
  <c r="N216" i="6"/>
  <c r="M216" i="6"/>
  <c r="P216" i="6" s="1"/>
  <c r="L216" i="6"/>
  <c r="K216" i="6"/>
  <c r="J216" i="6"/>
  <c r="I216" i="6"/>
  <c r="AF215" i="6"/>
  <c r="AE215" i="6"/>
  <c r="AD215" i="6"/>
  <c r="AC215" i="6"/>
  <c r="AA215" i="6"/>
  <c r="Z215" i="6"/>
  <c r="AB215" i="6" s="1"/>
  <c r="Y215" i="6"/>
  <c r="X215" i="6"/>
  <c r="S215" i="6"/>
  <c r="R215" i="6"/>
  <c r="Q215" i="6"/>
  <c r="P215" i="6"/>
  <c r="N215" i="6"/>
  <c r="O215" i="6" s="1"/>
  <c r="M215" i="6"/>
  <c r="L215" i="6"/>
  <c r="K215" i="6"/>
  <c r="J215" i="6"/>
  <c r="T215" i="6" s="1"/>
  <c r="I215" i="6"/>
  <c r="AF214" i="6"/>
  <c r="AE214" i="6"/>
  <c r="AD214" i="6"/>
  <c r="AC214" i="6"/>
  <c r="AB214" i="6"/>
  <c r="AA214" i="6"/>
  <c r="Z214" i="6"/>
  <c r="Y214" i="6"/>
  <c r="X214" i="6"/>
  <c r="Q214" i="6"/>
  <c r="R214" i="6" s="1"/>
  <c r="N214" i="6"/>
  <c r="O214" i="6" s="1"/>
  <c r="M214" i="6"/>
  <c r="P214" i="6" s="1"/>
  <c r="L214" i="6"/>
  <c r="K214" i="6"/>
  <c r="J214" i="6"/>
  <c r="I214" i="6"/>
  <c r="T214" i="6" s="1"/>
  <c r="AF213" i="6"/>
  <c r="AE213" i="6"/>
  <c r="AD213" i="6"/>
  <c r="AC213" i="6"/>
  <c r="AA213" i="6"/>
  <c r="AB213" i="6" s="1"/>
  <c r="Z213" i="6"/>
  <c r="Y213" i="6"/>
  <c r="X213" i="6"/>
  <c r="S213" i="6"/>
  <c r="R213" i="6"/>
  <c r="Q213" i="6"/>
  <c r="P213" i="6"/>
  <c r="N213" i="6"/>
  <c r="O213" i="6" s="1"/>
  <c r="M213" i="6"/>
  <c r="L213" i="6"/>
  <c r="K213" i="6"/>
  <c r="J213" i="6"/>
  <c r="T213" i="6" s="1"/>
  <c r="I213" i="6"/>
  <c r="AF212" i="6"/>
  <c r="AE212" i="6"/>
  <c r="AD212" i="6"/>
  <c r="AC212" i="6"/>
  <c r="AB212" i="6"/>
  <c r="AA212" i="6"/>
  <c r="Z212" i="6"/>
  <c r="Y212" i="6"/>
  <c r="X212" i="6"/>
  <c r="S212" i="6"/>
  <c r="Q212" i="6"/>
  <c r="R212" i="6" s="1"/>
  <c r="N212" i="6"/>
  <c r="O212" i="6" s="1"/>
  <c r="M212" i="6"/>
  <c r="P212" i="6" s="1"/>
  <c r="L212" i="6"/>
  <c r="K212" i="6"/>
  <c r="J212" i="6"/>
  <c r="I212" i="6"/>
  <c r="AF211" i="6"/>
  <c r="AE211" i="6"/>
  <c r="AD211" i="6"/>
  <c r="AC211" i="6"/>
  <c r="AB211" i="6"/>
  <c r="AA211" i="6"/>
  <c r="Z211" i="6"/>
  <c r="Y211" i="6"/>
  <c r="X211" i="6"/>
  <c r="R211" i="6"/>
  <c r="Q211" i="6"/>
  <c r="S211" i="6" s="1"/>
  <c r="N211" i="6"/>
  <c r="O211" i="6" s="1"/>
  <c r="M211" i="6"/>
  <c r="P211" i="6" s="1"/>
  <c r="L211" i="6"/>
  <c r="T211" i="6" s="1"/>
  <c r="K211" i="6"/>
  <c r="J211" i="6"/>
  <c r="I211" i="6"/>
  <c r="AF210" i="6"/>
  <c r="AE210" i="6"/>
  <c r="AD210" i="6"/>
  <c r="AC210" i="6"/>
  <c r="AA210" i="6"/>
  <c r="Z210" i="6"/>
  <c r="AB210" i="6" s="1"/>
  <c r="Y210" i="6"/>
  <c r="X210" i="6"/>
  <c r="S210" i="6"/>
  <c r="R210" i="6"/>
  <c r="Q210" i="6"/>
  <c r="O210" i="6"/>
  <c r="N210" i="6"/>
  <c r="M210" i="6"/>
  <c r="P210" i="6" s="1"/>
  <c r="L210" i="6"/>
  <c r="K210" i="6"/>
  <c r="J210" i="6"/>
  <c r="I210" i="6"/>
  <c r="AF209" i="6"/>
  <c r="AE209" i="6"/>
  <c r="AD209" i="6"/>
  <c r="AC209" i="6"/>
  <c r="AA209" i="6"/>
  <c r="AB209" i="6" s="1"/>
  <c r="Z209" i="6"/>
  <c r="Y209" i="6"/>
  <c r="X209" i="6"/>
  <c r="S209" i="6"/>
  <c r="Q209" i="6"/>
  <c r="R209" i="6" s="1"/>
  <c r="O209" i="6"/>
  <c r="N209" i="6"/>
  <c r="M209" i="6"/>
  <c r="P209" i="6" s="1"/>
  <c r="L209" i="6"/>
  <c r="K209" i="6"/>
  <c r="J209" i="6"/>
  <c r="T209" i="6" s="1"/>
  <c r="I209" i="6"/>
  <c r="AF208" i="6"/>
  <c r="AE208" i="6"/>
  <c r="AD208" i="6"/>
  <c r="AC208" i="6"/>
  <c r="AA208" i="6"/>
  <c r="Z208" i="6"/>
  <c r="AB208" i="6" s="1"/>
  <c r="Y208" i="6"/>
  <c r="X208" i="6"/>
  <c r="Q208" i="6"/>
  <c r="N208" i="6"/>
  <c r="O208" i="6" s="1"/>
  <c r="M208" i="6"/>
  <c r="P208" i="6" s="1"/>
  <c r="L208" i="6"/>
  <c r="K208" i="6"/>
  <c r="J208" i="6"/>
  <c r="T208" i="6" s="1"/>
  <c r="I208" i="6"/>
  <c r="AF207" i="6"/>
  <c r="AE207" i="6"/>
  <c r="AD207" i="6"/>
  <c r="AC207" i="6"/>
  <c r="AB207" i="6"/>
  <c r="AA207" i="6"/>
  <c r="Z207" i="6"/>
  <c r="Y207" i="6"/>
  <c r="X207" i="6"/>
  <c r="R207" i="6"/>
  <c r="Q207" i="6"/>
  <c r="S207" i="6" s="1"/>
  <c r="P207" i="6"/>
  <c r="N207" i="6"/>
  <c r="O207" i="6" s="1"/>
  <c r="M207" i="6"/>
  <c r="L207" i="6"/>
  <c r="K207" i="6"/>
  <c r="J207" i="6"/>
  <c r="T207" i="6" s="1"/>
  <c r="I207" i="6"/>
  <c r="AF206" i="6"/>
  <c r="AE206" i="6"/>
  <c r="AD206" i="6"/>
  <c r="AC206" i="6"/>
  <c r="AB206" i="6"/>
  <c r="AA206" i="6"/>
  <c r="Z206" i="6"/>
  <c r="Y206" i="6"/>
  <c r="X206" i="6"/>
  <c r="S206" i="6"/>
  <c r="R206" i="6"/>
  <c r="Q206" i="6"/>
  <c r="O206" i="6"/>
  <c r="N206" i="6"/>
  <c r="M206" i="6"/>
  <c r="L206" i="6"/>
  <c r="K206" i="6"/>
  <c r="J206" i="6"/>
  <c r="I206" i="6"/>
  <c r="AF205" i="6"/>
  <c r="AE205" i="6"/>
  <c r="AD205" i="6"/>
  <c r="AC205" i="6"/>
  <c r="AA205" i="6"/>
  <c r="Z205" i="6"/>
  <c r="AB205" i="6" s="1"/>
  <c r="Y205" i="6"/>
  <c r="X205" i="6"/>
  <c r="S205" i="6"/>
  <c r="R205" i="6"/>
  <c r="Q205" i="6"/>
  <c r="P205" i="6"/>
  <c r="N205" i="6"/>
  <c r="O205" i="6" s="1"/>
  <c r="M205" i="6"/>
  <c r="L205" i="6"/>
  <c r="K205" i="6"/>
  <c r="J205" i="6"/>
  <c r="I205" i="6"/>
  <c r="T205" i="6" s="1"/>
  <c r="AF204" i="6"/>
  <c r="AE204" i="6"/>
  <c r="AD204" i="6"/>
  <c r="AC204" i="6"/>
  <c r="AA204" i="6"/>
  <c r="Z204" i="6"/>
  <c r="AB204" i="6" s="1"/>
  <c r="Y204" i="6"/>
  <c r="X204" i="6"/>
  <c r="Q204" i="6"/>
  <c r="S204" i="6" s="1"/>
  <c r="O204" i="6"/>
  <c r="N204" i="6"/>
  <c r="M204" i="6"/>
  <c r="L204" i="6"/>
  <c r="K204" i="6"/>
  <c r="J204" i="6"/>
  <c r="I204" i="6"/>
  <c r="AF203" i="6"/>
  <c r="AE203" i="6"/>
  <c r="AD203" i="6"/>
  <c r="AC203" i="6"/>
  <c r="AB203" i="6"/>
  <c r="AA203" i="6"/>
  <c r="Z203" i="6"/>
  <c r="Y203" i="6"/>
  <c r="X203" i="6"/>
  <c r="S203" i="6"/>
  <c r="R203" i="6"/>
  <c r="Q203" i="6"/>
  <c r="P203" i="6"/>
  <c r="O203" i="6"/>
  <c r="N203" i="6"/>
  <c r="M203" i="6"/>
  <c r="L203" i="6"/>
  <c r="K203" i="6"/>
  <c r="J203" i="6"/>
  <c r="T203" i="6" s="1"/>
  <c r="I203" i="6"/>
  <c r="AF202" i="6"/>
  <c r="AE202" i="6"/>
  <c r="AD202" i="6"/>
  <c r="AC202" i="6"/>
  <c r="AA202" i="6"/>
  <c r="Z202" i="6"/>
  <c r="Y202" i="6"/>
  <c r="X202" i="6"/>
  <c r="Q202" i="6"/>
  <c r="P202" i="6"/>
  <c r="O202" i="6"/>
  <c r="N202" i="6"/>
  <c r="M202" i="6"/>
  <c r="L202" i="6"/>
  <c r="K202" i="6"/>
  <c r="J202" i="6"/>
  <c r="I202" i="6"/>
  <c r="T202" i="6" s="1"/>
  <c r="AF201" i="6"/>
  <c r="AE201" i="6"/>
  <c r="AD201" i="6"/>
  <c r="AC201" i="6"/>
  <c r="AA201" i="6"/>
  <c r="Z201" i="6"/>
  <c r="Y201" i="6"/>
  <c r="X201" i="6"/>
  <c r="R201" i="6"/>
  <c r="Q201" i="6"/>
  <c r="S201" i="6" s="1"/>
  <c r="O201" i="6"/>
  <c r="N201" i="6"/>
  <c r="M201" i="6"/>
  <c r="T201" i="6" s="1"/>
  <c r="L201" i="6"/>
  <c r="K201" i="6"/>
  <c r="J201" i="6"/>
  <c r="I201" i="6"/>
  <c r="AF200" i="6"/>
  <c r="AE200" i="6"/>
  <c r="AD200" i="6"/>
  <c r="AC200" i="6"/>
  <c r="AA200" i="6"/>
  <c r="Z200" i="6"/>
  <c r="Y200" i="6"/>
  <c r="X200" i="6"/>
  <c r="Q200" i="6"/>
  <c r="O200" i="6"/>
  <c r="N200" i="6"/>
  <c r="M200" i="6"/>
  <c r="P200" i="6" s="1"/>
  <c r="L200" i="6"/>
  <c r="K200" i="6"/>
  <c r="J200" i="6"/>
  <c r="I200" i="6"/>
  <c r="AF199" i="6"/>
  <c r="AE199" i="6"/>
  <c r="AD199" i="6"/>
  <c r="AC199" i="6"/>
  <c r="AA199" i="6"/>
  <c r="Z199" i="6"/>
  <c r="AB199" i="6" s="1"/>
  <c r="Y199" i="6"/>
  <c r="X199" i="6"/>
  <c r="Q199" i="6"/>
  <c r="N199" i="6"/>
  <c r="O199" i="6" s="1"/>
  <c r="M199" i="6"/>
  <c r="P199" i="6" s="1"/>
  <c r="L199" i="6"/>
  <c r="K199" i="6"/>
  <c r="J199" i="6"/>
  <c r="I199" i="6"/>
  <c r="AF198" i="6"/>
  <c r="AE198" i="6"/>
  <c r="AD198" i="6"/>
  <c r="AC198" i="6"/>
  <c r="AA198" i="6"/>
  <c r="AB198" i="6" s="1"/>
  <c r="Z198" i="6"/>
  <c r="Y198" i="6"/>
  <c r="X198" i="6"/>
  <c r="Q198" i="6"/>
  <c r="N198" i="6"/>
  <c r="O198" i="6" s="1"/>
  <c r="M198" i="6"/>
  <c r="P198" i="6" s="1"/>
  <c r="L198" i="6"/>
  <c r="K198" i="6"/>
  <c r="J198" i="6"/>
  <c r="I198" i="6"/>
  <c r="AF197" i="6"/>
  <c r="AE197" i="6"/>
  <c r="AD197" i="6"/>
  <c r="AC197" i="6"/>
  <c r="AB197" i="6"/>
  <c r="AA197" i="6"/>
  <c r="Z197" i="6"/>
  <c r="Y197" i="6"/>
  <c r="X197" i="6"/>
  <c r="S197" i="6"/>
  <c r="R197" i="6"/>
  <c r="Q197" i="6"/>
  <c r="P197" i="6"/>
  <c r="O197" i="6"/>
  <c r="N197" i="6"/>
  <c r="M197" i="6"/>
  <c r="L197" i="6"/>
  <c r="K197" i="6"/>
  <c r="J197" i="6"/>
  <c r="T197" i="6" s="1"/>
  <c r="I197" i="6"/>
  <c r="AF196" i="6"/>
  <c r="AE196" i="6"/>
  <c r="AD196" i="6"/>
  <c r="AC196" i="6"/>
  <c r="AA196" i="6"/>
  <c r="Z196" i="6"/>
  <c r="AB196" i="6" s="1"/>
  <c r="Y196" i="6"/>
  <c r="X196" i="6"/>
  <c r="Q196" i="6"/>
  <c r="R196" i="6" s="1"/>
  <c r="P196" i="6"/>
  <c r="O196" i="6"/>
  <c r="N196" i="6"/>
  <c r="M196" i="6"/>
  <c r="L196" i="6"/>
  <c r="K196" i="6"/>
  <c r="J196" i="6"/>
  <c r="I196" i="6"/>
  <c r="AF195" i="6"/>
  <c r="AE195" i="6"/>
  <c r="AD195" i="6"/>
  <c r="AC195" i="6"/>
  <c r="AA195" i="6"/>
  <c r="Z195" i="6"/>
  <c r="AB195" i="6" s="1"/>
  <c r="Y195" i="6"/>
  <c r="X195" i="6"/>
  <c r="Q195" i="6"/>
  <c r="R195" i="6" s="1"/>
  <c r="N195" i="6"/>
  <c r="O195" i="6" s="1"/>
  <c r="M195" i="6"/>
  <c r="L195" i="6"/>
  <c r="K195" i="6"/>
  <c r="J195" i="6"/>
  <c r="T195" i="6" s="1"/>
  <c r="I195" i="6"/>
  <c r="P195" i="6" s="1"/>
  <c r="AF194" i="6"/>
  <c r="AE194" i="6"/>
  <c r="AD194" i="6"/>
  <c r="AC194" i="6"/>
  <c r="AA194" i="6"/>
  <c r="Z194" i="6"/>
  <c r="AB194" i="6" s="1"/>
  <c r="Y194" i="6"/>
  <c r="X194" i="6"/>
  <c r="S194" i="6"/>
  <c r="Q194" i="6"/>
  <c r="R194" i="6" s="1"/>
  <c r="N194" i="6"/>
  <c r="O194" i="6" s="1"/>
  <c r="M194" i="6"/>
  <c r="L194" i="6"/>
  <c r="K194" i="6"/>
  <c r="J194" i="6"/>
  <c r="T194" i="6" s="1"/>
  <c r="I194" i="6"/>
  <c r="AF193" i="6"/>
  <c r="AE193" i="6"/>
  <c r="AD193" i="6"/>
  <c r="AC193" i="6"/>
  <c r="AB193" i="6"/>
  <c r="AA193" i="6"/>
  <c r="Z193" i="6"/>
  <c r="Y193" i="6"/>
  <c r="X193" i="6"/>
  <c r="S193" i="6"/>
  <c r="R193" i="6"/>
  <c r="Q193" i="6"/>
  <c r="O193" i="6"/>
  <c r="N193" i="6"/>
  <c r="M193" i="6"/>
  <c r="L193" i="6"/>
  <c r="K193" i="6"/>
  <c r="J193" i="6"/>
  <c r="T193" i="6" s="1"/>
  <c r="I193" i="6"/>
  <c r="AF192" i="6"/>
  <c r="AE192" i="6"/>
  <c r="AD192" i="6"/>
  <c r="AC192" i="6"/>
  <c r="AA192" i="6"/>
  <c r="Z192" i="6"/>
  <c r="Y192" i="6"/>
  <c r="X192" i="6"/>
  <c r="T192" i="6"/>
  <c r="Q192" i="6"/>
  <c r="O192" i="6"/>
  <c r="N192" i="6"/>
  <c r="M192" i="6"/>
  <c r="L192" i="6"/>
  <c r="K192" i="6"/>
  <c r="J192" i="6"/>
  <c r="I192" i="6"/>
  <c r="AF191" i="6"/>
  <c r="AE191" i="6"/>
  <c r="AD191" i="6"/>
  <c r="AC191" i="6"/>
  <c r="AA191" i="6"/>
  <c r="Z191" i="6"/>
  <c r="AB191" i="6" s="1"/>
  <c r="Y191" i="6"/>
  <c r="X191" i="6"/>
  <c r="T191" i="6"/>
  <c r="Q191" i="6"/>
  <c r="P191" i="6"/>
  <c r="O191" i="6"/>
  <c r="N191" i="6"/>
  <c r="M191" i="6"/>
  <c r="L191" i="6"/>
  <c r="K191" i="6"/>
  <c r="J191" i="6"/>
  <c r="I191" i="6"/>
  <c r="AF190" i="6"/>
  <c r="AE190" i="6"/>
  <c r="AD190" i="6"/>
  <c r="AC190" i="6"/>
  <c r="AA190" i="6"/>
  <c r="Z190" i="6"/>
  <c r="Y190" i="6"/>
  <c r="X190" i="6"/>
  <c r="S190" i="6"/>
  <c r="Q190" i="6"/>
  <c r="R190" i="6" s="1"/>
  <c r="O190" i="6"/>
  <c r="N190" i="6"/>
  <c r="M190" i="6"/>
  <c r="P190" i="6" s="1"/>
  <c r="L190" i="6"/>
  <c r="K190" i="6"/>
  <c r="J190" i="6"/>
  <c r="I190" i="6"/>
  <c r="AF189" i="6"/>
  <c r="AE189" i="6"/>
  <c r="AD189" i="6"/>
  <c r="AC189" i="6"/>
  <c r="AA189" i="6"/>
  <c r="Z189" i="6"/>
  <c r="AB189" i="6" s="1"/>
  <c r="Y189" i="6"/>
  <c r="X189" i="6"/>
  <c r="Q189" i="6"/>
  <c r="N189" i="6"/>
  <c r="O189" i="6" s="1"/>
  <c r="M189" i="6"/>
  <c r="P189" i="6" s="1"/>
  <c r="L189" i="6"/>
  <c r="K189" i="6"/>
  <c r="J189" i="6"/>
  <c r="T189" i="6" s="1"/>
  <c r="I189" i="6"/>
  <c r="AF188" i="6"/>
  <c r="AE188" i="6"/>
  <c r="AD188" i="6"/>
  <c r="AC188" i="6"/>
  <c r="AA188" i="6"/>
  <c r="Z188" i="6"/>
  <c r="AB188" i="6" s="1"/>
  <c r="Y188" i="6"/>
  <c r="X188" i="6"/>
  <c r="Q188" i="6"/>
  <c r="S188" i="6" s="1"/>
  <c r="O188" i="6"/>
  <c r="N188" i="6"/>
  <c r="M188" i="6"/>
  <c r="P188" i="6" s="1"/>
  <c r="L188" i="6"/>
  <c r="K188" i="6"/>
  <c r="J188" i="6"/>
  <c r="I188" i="6"/>
  <c r="AF187" i="6"/>
  <c r="AE187" i="6"/>
  <c r="AD187" i="6"/>
  <c r="AC187" i="6"/>
  <c r="AA187" i="6"/>
  <c r="AB187" i="6" s="1"/>
  <c r="Z187" i="6"/>
  <c r="Y187" i="6"/>
  <c r="X187" i="6"/>
  <c r="S187" i="6"/>
  <c r="R187" i="6"/>
  <c r="Q187" i="6"/>
  <c r="P187" i="6"/>
  <c r="N187" i="6"/>
  <c r="O187" i="6" s="1"/>
  <c r="M187" i="6"/>
  <c r="L187" i="6"/>
  <c r="K187" i="6"/>
  <c r="J187" i="6"/>
  <c r="I187" i="6"/>
  <c r="AF186" i="6"/>
  <c r="AE186" i="6"/>
  <c r="AD186" i="6"/>
  <c r="AC186" i="6"/>
  <c r="AB186" i="6"/>
  <c r="AA186" i="6"/>
  <c r="Z186" i="6"/>
  <c r="Y186" i="6"/>
  <c r="X186" i="6"/>
  <c r="Q186" i="6"/>
  <c r="R186" i="6" s="1"/>
  <c r="O186" i="6"/>
  <c r="N186" i="6"/>
  <c r="M186" i="6"/>
  <c r="P186" i="6" s="1"/>
  <c r="L186" i="6"/>
  <c r="K186" i="6"/>
  <c r="J186" i="6"/>
  <c r="I186" i="6"/>
  <c r="AF185" i="6"/>
  <c r="AE185" i="6"/>
  <c r="AD185" i="6"/>
  <c r="AC185" i="6"/>
  <c r="AA185" i="6"/>
  <c r="Z185" i="6"/>
  <c r="AB185" i="6" s="1"/>
  <c r="Y185" i="6"/>
  <c r="X185" i="6"/>
  <c r="Q185" i="6"/>
  <c r="R185" i="6" s="1"/>
  <c r="N185" i="6"/>
  <c r="O185" i="6" s="1"/>
  <c r="M185" i="6"/>
  <c r="L185" i="6"/>
  <c r="K185" i="6"/>
  <c r="J185" i="6"/>
  <c r="T185" i="6" s="1"/>
  <c r="I185" i="6"/>
  <c r="P185" i="6" s="1"/>
  <c r="AF184" i="6"/>
  <c r="AE184" i="6"/>
  <c r="AD184" i="6"/>
  <c r="AC184" i="6"/>
  <c r="AB184" i="6"/>
  <c r="AA184" i="6"/>
  <c r="Z184" i="6"/>
  <c r="Y184" i="6"/>
  <c r="X184" i="6"/>
  <c r="S184" i="6"/>
  <c r="Q184" i="6"/>
  <c r="R184" i="6" s="1"/>
  <c r="N184" i="6"/>
  <c r="O184" i="6" s="1"/>
  <c r="M184" i="6"/>
  <c r="P184" i="6" s="1"/>
  <c r="L184" i="6"/>
  <c r="K184" i="6"/>
  <c r="J184" i="6"/>
  <c r="I184" i="6"/>
  <c r="AF183" i="6"/>
  <c r="AE183" i="6"/>
  <c r="AD183" i="6"/>
  <c r="AC183" i="6"/>
  <c r="AA183" i="6"/>
  <c r="AB183" i="6" s="1"/>
  <c r="Z183" i="6"/>
  <c r="Y183" i="6"/>
  <c r="X183" i="6"/>
  <c r="S183" i="6"/>
  <c r="R183" i="6"/>
  <c r="Q183" i="6"/>
  <c r="N183" i="6"/>
  <c r="O183" i="6" s="1"/>
  <c r="M183" i="6"/>
  <c r="P183" i="6" s="1"/>
  <c r="L183" i="6"/>
  <c r="K183" i="6"/>
  <c r="J183" i="6"/>
  <c r="T183" i="6" s="1"/>
  <c r="I183" i="6"/>
  <c r="AF182" i="6"/>
  <c r="AE182" i="6"/>
  <c r="AD182" i="6"/>
  <c r="AC182" i="6"/>
  <c r="AB182" i="6"/>
  <c r="AA182" i="6"/>
  <c r="Z182" i="6"/>
  <c r="Y182" i="6"/>
  <c r="X182" i="6"/>
  <c r="Q182" i="6"/>
  <c r="N182" i="6"/>
  <c r="O182" i="6" s="1"/>
  <c r="M182" i="6"/>
  <c r="L182" i="6"/>
  <c r="K182" i="6"/>
  <c r="J182" i="6"/>
  <c r="T182" i="6" s="1"/>
  <c r="I182" i="6"/>
  <c r="AF181" i="6"/>
  <c r="AE181" i="6"/>
  <c r="AD181" i="6"/>
  <c r="AC181" i="6"/>
  <c r="AA181" i="6"/>
  <c r="AB181" i="6" s="1"/>
  <c r="Z181" i="6"/>
  <c r="Y181" i="6"/>
  <c r="X181" i="6"/>
  <c r="T181" i="6"/>
  <c r="Q181" i="6"/>
  <c r="N181" i="6"/>
  <c r="O181" i="6" s="1"/>
  <c r="M181" i="6"/>
  <c r="P181" i="6" s="1"/>
  <c r="L181" i="6"/>
  <c r="K181" i="6"/>
  <c r="J181" i="6"/>
  <c r="I181" i="6"/>
  <c r="AF180" i="6"/>
  <c r="AE180" i="6"/>
  <c r="AD180" i="6"/>
  <c r="AC180" i="6"/>
  <c r="AA180" i="6"/>
  <c r="AB180" i="6" s="1"/>
  <c r="Z180" i="6"/>
  <c r="Y180" i="6"/>
  <c r="X180" i="6"/>
  <c r="Q180" i="6"/>
  <c r="R180" i="6" s="1"/>
  <c r="P180" i="6"/>
  <c r="O180" i="6"/>
  <c r="N180" i="6"/>
  <c r="M180" i="6"/>
  <c r="L180" i="6"/>
  <c r="K180" i="6"/>
  <c r="J180" i="6"/>
  <c r="I180" i="6"/>
  <c r="AF179" i="6"/>
  <c r="AE179" i="6"/>
  <c r="AD179" i="6"/>
  <c r="AC179" i="6"/>
  <c r="AA179" i="6"/>
  <c r="AB179" i="6" s="1"/>
  <c r="Z179" i="6"/>
  <c r="Y179" i="6"/>
  <c r="X179" i="6"/>
  <c r="T179" i="6"/>
  <c r="R179" i="6"/>
  <c r="Q179" i="6"/>
  <c r="S179" i="6" s="1"/>
  <c r="P179" i="6"/>
  <c r="O179" i="6"/>
  <c r="N179" i="6"/>
  <c r="M179" i="6"/>
  <c r="L179" i="6"/>
  <c r="K179" i="6"/>
  <c r="J179" i="6"/>
  <c r="I179" i="6"/>
  <c r="AF178" i="6"/>
  <c r="AE178" i="6"/>
  <c r="AD178" i="6"/>
  <c r="AC178" i="6"/>
  <c r="AA178" i="6"/>
  <c r="Z178" i="6"/>
  <c r="AB178" i="6" s="1"/>
  <c r="Y178" i="6"/>
  <c r="X178" i="6"/>
  <c r="S178" i="6"/>
  <c r="Q178" i="6"/>
  <c r="R178" i="6" s="1"/>
  <c r="O178" i="6"/>
  <c r="N178" i="6"/>
  <c r="M178" i="6"/>
  <c r="L178" i="6"/>
  <c r="K178" i="6"/>
  <c r="J178" i="6"/>
  <c r="I178" i="6"/>
  <c r="P178" i="6" s="1"/>
  <c r="AF177" i="6"/>
  <c r="AE177" i="6"/>
  <c r="AD177" i="6"/>
  <c r="AC177" i="6"/>
  <c r="AA177" i="6"/>
  <c r="AB177" i="6" s="1"/>
  <c r="Z177" i="6"/>
  <c r="Y177" i="6"/>
  <c r="X177" i="6"/>
  <c r="S177" i="6"/>
  <c r="R177" i="6"/>
  <c r="Q177" i="6"/>
  <c r="P177" i="6"/>
  <c r="N177" i="6"/>
  <c r="O177" i="6" s="1"/>
  <c r="M177" i="6"/>
  <c r="L177" i="6"/>
  <c r="K177" i="6"/>
  <c r="J177" i="6"/>
  <c r="T177" i="6" s="1"/>
  <c r="I177" i="6"/>
  <c r="AF176" i="6"/>
  <c r="AE176" i="6"/>
  <c r="AD176" i="6"/>
  <c r="AC176" i="6"/>
  <c r="AB176" i="6"/>
  <c r="AA176" i="6"/>
  <c r="Z176" i="6"/>
  <c r="Y176" i="6"/>
  <c r="X176" i="6"/>
  <c r="Q176" i="6"/>
  <c r="S176" i="6" s="1"/>
  <c r="O176" i="6"/>
  <c r="N176" i="6"/>
  <c r="M176" i="6"/>
  <c r="L176" i="6"/>
  <c r="K176" i="6"/>
  <c r="J176" i="6"/>
  <c r="T176" i="6" s="1"/>
  <c r="I176" i="6"/>
  <c r="AF175" i="6"/>
  <c r="AE175" i="6"/>
  <c r="AD175" i="6"/>
  <c r="AC175" i="6"/>
  <c r="AA175" i="6"/>
  <c r="Z175" i="6"/>
  <c r="Y175" i="6"/>
  <c r="X175" i="6"/>
  <c r="R175" i="6"/>
  <c r="Q175" i="6"/>
  <c r="S175" i="6" s="1"/>
  <c r="N175" i="6"/>
  <c r="O175" i="6" s="1"/>
  <c r="M175" i="6"/>
  <c r="P175" i="6" s="1"/>
  <c r="L175" i="6"/>
  <c r="K175" i="6"/>
  <c r="J175" i="6"/>
  <c r="I175" i="6"/>
  <c r="AF174" i="6"/>
  <c r="AE174" i="6"/>
  <c r="AD174" i="6"/>
  <c r="AC174" i="6"/>
  <c r="AA174" i="6"/>
  <c r="AB174" i="6" s="1"/>
  <c r="Z174" i="6"/>
  <c r="Y174" i="6"/>
  <c r="X174" i="6"/>
  <c r="S174" i="6"/>
  <c r="Q174" i="6"/>
  <c r="R174" i="6" s="1"/>
  <c r="N174" i="6"/>
  <c r="O174" i="6" s="1"/>
  <c r="M174" i="6"/>
  <c r="P174" i="6" s="1"/>
  <c r="L174" i="6"/>
  <c r="K174" i="6"/>
  <c r="J174" i="6"/>
  <c r="I174" i="6"/>
  <c r="AF173" i="6"/>
  <c r="AE173" i="6"/>
  <c r="AD173" i="6"/>
  <c r="AC173" i="6"/>
  <c r="AA173" i="6"/>
  <c r="Z173" i="6"/>
  <c r="AB173" i="6" s="1"/>
  <c r="Y173" i="6"/>
  <c r="X173" i="6"/>
  <c r="S173" i="6"/>
  <c r="R173" i="6"/>
  <c r="Q173" i="6"/>
  <c r="O173" i="6"/>
  <c r="N173" i="6"/>
  <c r="M173" i="6"/>
  <c r="P173" i="6" s="1"/>
  <c r="L173" i="6"/>
  <c r="K173" i="6"/>
  <c r="J173" i="6"/>
  <c r="I173" i="6"/>
  <c r="T173" i="6" s="1"/>
  <c r="AF172" i="6"/>
  <c r="AE172" i="6"/>
  <c r="AD172" i="6"/>
  <c r="AC172" i="6"/>
  <c r="AA172" i="6"/>
  <c r="AB172" i="6" s="1"/>
  <c r="Z172" i="6"/>
  <c r="Y172" i="6"/>
  <c r="X172" i="6"/>
  <c r="Q172" i="6"/>
  <c r="N172" i="6"/>
  <c r="O172" i="6" s="1"/>
  <c r="M172" i="6"/>
  <c r="P172" i="6" s="1"/>
  <c r="L172" i="6"/>
  <c r="K172" i="6"/>
  <c r="J172" i="6"/>
  <c r="I172" i="6"/>
  <c r="AF171" i="6"/>
  <c r="AE171" i="6"/>
  <c r="AD171" i="6"/>
  <c r="AC171" i="6"/>
  <c r="AA171" i="6"/>
  <c r="AB171" i="6" s="1"/>
  <c r="Z171" i="6"/>
  <c r="Y171" i="6"/>
  <c r="X171" i="6"/>
  <c r="Q171" i="6"/>
  <c r="S171" i="6" s="1"/>
  <c r="O171" i="6"/>
  <c r="N171" i="6"/>
  <c r="M171" i="6"/>
  <c r="P171" i="6" s="1"/>
  <c r="L171" i="6"/>
  <c r="K171" i="6"/>
  <c r="J171" i="6"/>
  <c r="I171" i="6"/>
  <c r="AF170" i="6"/>
  <c r="AE170" i="6"/>
  <c r="AD170" i="6"/>
  <c r="AC170" i="6"/>
  <c r="AA170" i="6"/>
  <c r="AB170" i="6" s="1"/>
  <c r="Z170" i="6"/>
  <c r="Y170" i="6"/>
  <c r="X170" i="6"/>
  <c r="S170" i="6"/>
  <c r="Q170" i="6"/>
  <c r="R170" i="6" s="1"/>
  <c r="O170" i="6"/>
  <c r="N170" i="6"/>
  <c r="M170" i="6"/>
  <c r="L170" i="6"/>
  <c r="K170" i="6"/>
  <c r="J170" i="6"/>
  <c r="I170" i="6"/>
  <c r="AF169" i="6"/>
  <c r="AE169" i="6"/>
  <c r="AD169" i="6"/>
  <c r="AC169" i="6"/>
  <c r="AB169" i="6"/>
  <c r="AA169" i="6"/>
  <c r="Z169" i="6"/>
  <c r="Y169" i="6"/>
  <c r="X169" i="6"/>
  <c r="S169" i="6"/>
  <c r="R169" i="6"/>
  <c r="Q169" i="6"/>
  <c r="P169" i="6"/>
  <c r="O169" i="6"/>
  <c r="N169" i="6"/>
  <c r="M169" i="6"/>
  <c r="L169" i="6"/>
  <c r="K169" i="6"/>
  <c r="J169" i="6"/>
  <c r="T169" i="6" s="1"/>
  <c r="I169" i="6"/>
  <c r="AF168" i="6"/>
  <c r="AE168" i="6"/>
  <c r="AD168" i="6"/>
  <c r="AC168" i="6"/>
  <c r="AA168" i="6"/>
  <c r="Z168" i="6"/>
  <c r="AB168" i="6" s="1"/>
  <c r="Y168" i="6"/>
  <c r="X168" i="6"/>
  <c r="Q168" i="6"/>
  <c r="R168" i="6" s="1"/>
  <c r="O168" i="6"/>
  <c r="N168" i="6"/>
  <c r="M168" i="6"/>
  <c r="P168" i="6" s="1"/>
  <c r="L168" i="6"/>
  <c r="K168" i="6"/>
  <c r="J168" i="6"/>
  <c r="T168" i="6" s="1"/>
  <c r="I168" i="6"/>
  <c r="AF167" i="6"/>
  <c r="AE167" i="6"/>
  <c r="AD167" i="6"/>
  <c r="AC167" i="6"/>
  <c r="AA167" i="6"/>
  <c r="AB167" i="6" s="1"/>
  <c r="Z167" i="6"/>
  <c r="Y167" i="6"/>
  <c r="X167" i="6"/>
  <c r="T167" i="6"/>
  <c r="R167" i="6"/>
  <c r="Q167" i="6"/>
  <c r="S167" i="6" s="1"/>
  <c r="P167" i="6"/>
  <c r="N167" i="6"/>
  <c r="O167" i="6" s="1"/>
  <c r="M167" i="6"/>
  <c r="L167" i="6"/>
  <c r="K167" i="6"/>
  <c r="J167" i="6"/>
  <c r="I167" i="6"/>
  <c r="AF166" i="6"/>
  <c r="AE166" i="6"/>
  <c r="AD166" i="6"/>
  <c r="AC166" i="6"/>
  <c r="AB166" i="6"/>
  <c r="AA166" i="6"/>
  <c r="Z166" i="6"/>
  <c r="Y166" i="6"/>
  <c r="X166" i="6"/>
  <c r="S166" i="6"/>
  <c r="R166" i="6"/>
  <c r="Q166" i="6"/>
  <c r="O166" i="6"/>
  <c r="N166" i="6"/>
  <c r="M166" i="6"/>
  <c r="L166" i="6"/>
  <c r="K166" i="6"/>
  <c r="J166" i="6"/>
  <c r="T166" i="6" s="1"/>
  <c r="I166" i="6"/>
  <c r="AF165" i="6"/>
  <c r="AE165" i="6"/>
  <c r="AD165" i="6"/>
  <c r="AC165" i="6"/>
  <c r="AA165" i="6"/>
  <c r="Z165" i="6"/>
  <c r="AB165" i="6" s="1"/>
  <c r="Y165" i="6"/>
  <c r="X165" i="6"/>
  <c r="Q165" i="6"/>
  <c r="S165" i="6" s="1"/>
  <c r="N165" i="6"/>
  <c r="O165" i="6" s="1"/>
  <c r="M165" i="6"/>
  <c r="P165" i="6" s="1"/>
  <c r="L165" i="6"/>
  <c r="K165" i="6"/>
  <c r="J165" i="6"/>
  <c r="T165" i="6" s="1"/>
  <c r="I165" i="6"/>
  <c r="AF164" i="6"/>
  <c r="AE164" i="6"/>
  <c r="AD164" i="6"/>
  <c r="AC164" i="6"/>
  <c r="AB164" i="6"/>
  <c r="AA164" i="6"/>
  <c r="Z164" i="6"/>
  <c r="Y164" i="6"/>
  <c r="X164" i="6"/>
  <c r="Q164" i="6"/>
  <c r="R164" i="6" s="1"/>
  <c r="N164" i="6"/>
  <c r="O164" i="6" s="1"/>
  <c r="M164" i="6"/>
  <c r="P164" i="6" s="1"/>
  <c r="L164" i="6"/>
  <c r="K164" i="6"/>
  <c r="J164" i="6"/>
  <c r="I164" i="6"/>
  <c r="AF163" i="6"/>
  <c r="AE163" i="6"/>
  <c r="AD163" i="6"/>
  <c r="AC163" i="6"/>
  <c r="AA163" i="6"/>
  <c r="Z163" i="6"/>
  <c r="AB163" i="6" s="1"/>
  <c r="Y163" i="6"/>
  <c r="X163" i="6"/>
  <c r="S163" i="6"/>
  <c r="R163" i="6"/>
  <c r="Q163" i="6"/>
  <c r="N163" i="6"/>
  <c r="O163" i="6" s="1"/>
  <c r="M163" i="6"/>
  <c r="P163" i="6" s="1"/>
  <c r="L163" i="6"/>
  <c r="K163" i="6"/>
  <c r="J163" i="6"/>
  <c r="I163" i="6"/>
  <c r="AF162" i="6"/>
  <c r="AE162" i="6"/>
  <c r="AD162" i="6"/>
  <c r="AC162" i="6"/>
  <c r="AA162" i="6"/>
  <c r="Z162" i="6"/>
  <c r="AB162" i="6" s="1"/>
  <c r="Y162" i="6"/>
  <c r="X162" i="6"/>
  <c r="Q162" i="6"/>
  <c r="O162" i="6"/>
  <c r="N162" i="6"/>
  <c r="M162" i="6"/>
  <c r="P162" i="6" s="1"/>
  <c r="L162" i="6"/>
  <c r="K162" i="6"/>
  <c r="J162" i="6"/>
  <c r="I162" i="6"/>
  <c r="AF161" i="6"/>
  <c r="AE161" i="6"/>
  <c r="AD161" i="6"/>
  <c r="AC161" i="6"/>
  <c r="AA161" i="6"/>
  <c r="Z161" i="6"/>
  <c r="AB161" i="6" s="1"/>
  <c r="Y161" i="6"/>
  <c r="X161" i="6"/>
  <c r="Q161" i="6"/>
  <c r="S161" i="6" s="1"/>
  <c r="O161" i="6"/>
  <c r="N161" i="6"/>
  <c r="M161" i="6"/>
  <c r="P161" i="6" s="1"/>
  <c r="L161" i="6"/>
  <c r="K161" i="6"/>
  <c r="J161" i="6"/>
  <c r="I161" i="6"/>
  <c r="AF160" i="6"/>
  <c r="AE160" i="6"/>
  <c r="AD160" i="6"/>
  <c r="AC160" i="6"/>
  <c r="AA160" i="6"/>
  <c r="Z160" i="6"/>
  <c r="AB160" i="6" s="1"/>
  <c r="Y160" i="6"/>
  <c r="X160" i="6"/>
  <c r="S160" i="6"/>
  <c r="R160" i="6"/>
  <c r="Q160" i="6"/>
  <c r="N160" i="6"/>
  <c r="O160" i="6" s="1"/>
  <c r="M160" i="6"/>
  <c r="L160" i="6"/>
  <c r="K160" i="6"/>
  <c r="J160" i="6"/>
  <c r="I160" i="6"/>
  <c r="AF159" i="6"/>
  <c r="AE159" i="6"/>
  <c r="AD159" i="6"/>
  <c r="AC159" i="6"/>
  <c r="AA159" i="6"/>
  <c r="AB159" i="6" s="1"/>
  <c r="Z159" i="6"/>
  <c r="Y159" i="6"/>
  <c r="X159" i="6"/>
  <c r="S159" i="6"/>
  <c r="R159" i="6"/>
  <c r="Q159" i="6"/>
  <c r="O159" i="6"/>
  <c r="N159" i="6"/>
  <c r="M159" i="6"/>
  <c r="L159" i="6"/>
  <c r="K159" i="6"/>
  <c r="J159" i="6"/>
  <c r="T159" i="6" s="1"/>
  <c r="I159" i="6"/>
  <c r="AF158" i="6"/>
  <c r="AE158" i="6"/>
  <c r="AD158" i="6"/>
  <c r="AC158" i="6"/>
  <c r="AA158" i="6"/>
  <c r="Z158" i="6"/>
  <c r="AB158" i="6" s="1"/>
  <c r="Y158" i="6"/>
  <c r="X158" i="6"/>
  <c r="S158" i="6"/>
  <c r="Q158" i="6"/>
  <c r="R158" i="6" s="1"/>
  <c r="N158" i="6"/>
  <c r="O158" i="6" s="1"/>
  <c r="M158" i="6"/>
  <c r="L158" i="6"/>
  <c r="K158" i="6"/>
  <c r="J158" i="6"/>
  <c r="I158" i="6"/>
  <c r="T158" i="6" s="1"/>
  <c r="AF157" i="6"/>
  <c r="AE157" i="6"/>
  <c r="AD157" i="6"/>
  <c r="AC157" i="6"/>
  <c r="AB157" i="6"/>
  <c r="AA157" i="6"/>
  <c r="Z157" i="6"/>
  <c r="Y157" i="6"/>
  <c r="X157" i="6"/>
  <c r="T157" i="6"/>
  <c r="R157" i="6"/>
  <c r="Q157" i="6"/>
  <c r="S157" i="6" s="1"/>
  <c r="P157" i="6"/>
  <c r="N157" i="6"/>
  <c r="O157" i="6" s="1"/>
  <c r="M157" i="6"/>
  <c r="L157" i="6"/>
  <c r="K157" i="6"/>
  <c r="J157" i="6"/>
  <c r="I157" i="6"/>
  <c r="AF156" i="6"/>
  <c r="AE156" i="6"/>
  <c r="AD156" i="6"/>
  <c r="AC156" i="6"/>
  <c r="AA156" i="6"/>
  <c r="Z156" i="6"/>
  <c r="AB156" i="6" s="1"/>
  <c r="Y156" i="6"/>
  <c r="X156" i="6"/>
  <c r="S156" i="6"/>
  <c r="R156" i="6"/>
  <c r="Q156" i="6"/>
  <c r="O156" i="6"/>
  <c r="N156" i="6"/>
  <c r="M156" i="6"/>
  <c r="L156" i="6"/>
  <c r="K156" i="6"/>
  <c r="J156" i="6"/>
  <c r="I156" i="6"/>
  <c r="AF155" i="6"/>
  <c r="AE155" i="6"/>
  <c r="AD155" i="6"/>
  <c r="AC155" i="6"/>
  <c r="AA155" i="6"/>
  <c r="Z155" i="6"/>
  <c r="AB155" i="6" s="1"/>
  <c r="Y155" i="6"/>
  <c r="X155" i="6"/>
  <c r="S155" i="6"/>
  <c r="R155" i="6"/>
  <c r="Q155" i="6"/>
  <c r="P155" i="6"/>
  <c r="N155" i="6"/>
  <c r="O155" i="6" s="1"/>
  <c r="M155" i="6"/>
  <c r="L155" i="6"/>
  <c r="K155" i="6"/>
  <c r="J155" i="6"/>
  <c r="T155" i="6" s="1"/>
  <c r="I155" i="6"/>
  <c r="AF154" i="6"/>
  <c r="AE154" i="6"/>
  <c r="AD154" i="6"/>
  <c r="AC154" i="6"/>
  <c r="AA154" i="6"/>
  <c r="Z154" i="6"/>
  <c r="AB154" i="6" s="1"/>
  <c r="Y154" i="6"/>
  <c r="X154" i="6"/>
  <c r="R154" i="6"/>
  <c r="Q154" i="6"/>
  <c r="S154" i="6" s="1"/>
  <c r="O154" i="6"/>
  <c r="N154" i="6"/>
  <c r="M154" i="6"/>
  <c r="L154" i="6"/>
  <c r="K154" i="6"/>
  <c r="J154" i="6"/>
  <c r="I154" i="6"/>
  <c r="AF153" i="6"/>
  <c r="AE153" i="6"/>
  <c r="AD153" i="6"/>
  <c r="AC153" i="6"/>
  <c r="AA153" i="6"/>
  <c r="Z153" i="6"/>
  <c r="AB153" i="6" s="1"/>
  <c r="Y153" i="6"/>
  <c r="X153" i="6"/>
  <c r="S153" i="6"/>
  <c r="R153" i="6"/>
  <c r="Q153" i="6"/>
  <c r="P153" i="6"/>
  <c r="O153" i="6"/>
  <c r="N153" i="6"/>
  <c r="M153" i="6"/>
  <c r="L153" i="6"/>
  <c r="K153" i="6"/>
  <c r="J153" i="6"/>
  <c r="I153" i="6"/>
  <c r="AF152" i="6"/>
  <c r="AE152" i="6"/>
  <c r="AD152" i="6"/>
  <c r="AC152" i="6"/>
  <c r="AA152" i="6"/>
  <c r="Z152" i="6"/>
  <c r="AB152" i="6" s="1"/>
  <c r="Y152" i="6"/>
  <c r="X152" i="6"/>
  <c r="S152" i="6"/>
  <c r="Q152" i="6"/>
  <c r="R152" i="6" s="1"/>
  <c r="P152" i="6"/>
  <c r="O152" i="6"/>
  <c r="N152" i="6"/>
  <c r="M152" i="6"/>
  <c r="L152" i="6"/>
  <c r="K152" i="6"/>
  <c r="J152" i="6"/>
  <c r="I152" i="6"/>
  <c r="AF151" i="6"/>
  <c r="AE151" i="6"/>
  <c r="AD151" i="6"/>
  <c r="AC151" i="6"/>
  <c r="AA151" i="6"/>
  <c r="Z151" i="6"/>
  <c r="Y151" i="6"/>
  <c r="X151" i="6"/>
  <c r="T151" i="6"/>
  <c r="Q151" i="6"/>
  <c r="P151" i="6"/>
  <c r="O151" i="6"/>
  <c r="N151" i="6"/>
  <c r="M151" i="6"/>
  <c r="L151" i="6"/>
  <c r="K151" i="6"/>
  <c r="J151" i="6"/>
  <c r="I151" i="6"/>
  <c r="AF150" i="6"/>
  <c r="AE150" i="6"/>
  <c r="AD150" i="6"/>
  <c r="AC150" i="6"/>
  <c r="AA150" i="6"/>
  <c r="Z150" i="6"/>
  <c r="Y150" i="6"/>
  <c r="X150" i="6"/>
  <c r="S150" i="6"/>
  <c r="R150" i="6"/>
  <c r="Q150" i="6"/>
  <c r="P150" i="6"/>
  <c r="O150" i="6"/>
  <c r="N150" i="6"/>
  <c r="M150" i="6"/>
  <c r="L150" i="6"/>
  <c r="K150" i="6"/>
  <c r="J150" i="6"/>
  <c r="I150" i="6"/>
  <c r="AF149" i="6"/>
  <c r="AE149" i="6"/>
  <c r="AD149" i="6"/>
  <c r="AC149" i="6"/>
  <c r="AA149" i="6"/>
  <c r="Z149" i="6"/>
  <c r="AB149" i="6" s="1"/>
  <c r="Y149" i="6"/>
  <c r="X149" i="6"/>
  <c r="S149" i="6"/>
  <c r="R149" i="6"/>
  <c r="Q149" i="6"/>
  <c r="P149" i="6"/>
  <c r="N149" i="6"/>
  <c r="O149" i="6" s="1"/>
  <c r="M149" i="6"/>
  <c r="L149" i="6"/>
  <c r="K149" i="6"/>
  <c r="J149" i="6"/>
  <c r="I149" i="6"/>
  <c r="AF148" i="6"/>
  <c r="AE148" i="6"/>
  <c r="AD148" i="6"/>
  <c r="AC148" i="6"/>
  <c r="AA148" i="6"/>
  <c r="AB148" i="6" s="1"/>
  <c r="Z148" i="6"/>
  <c r="Y148" i="6"/>
  <c r="X148" i="6"/>
  <c r="S148" i="6"/>
  <c r="R148" i="6"/>
  <c r="Q148" i="6"/>
  <c r="O148" i="6"/>
  <c r="N148" i="6"/>
  <c r="M148" i="6"/>
  <c r="P148" i="6" s="1"/>
  <c r="L148" i="6"/>
  <c r="K148" i="6"/>
  <c r="J148" i="6"/>
  <c r="I148" i="6"/>
  <c r="AF147" i="6"/>
  <c r="AE147" i="6"/>
  <c r="AD147" i="6"/>
  <c r="AC147" i="6"/>
  <c r="AB147" i="6"/>
  <c r="AA147" i="6"/>
  <c r="Z147" i="6"/>
  <c r="Y147" i="6"/>
  <c r="X147" i="6"/>
  <c r="S147" i="6"/>
  <c r="R147" i="6"/>
  <c r="Q147" i="6"/>
  <c r="P147" i="6"/>
  <c r="O147" i="6"/>
  <c r="N147" i="6"/>
  <c r="M147" i="6"/>
  <c r="L147" i="6"/>
  <c r="K147" i="6"/>
  <c r="J147" i="6"/>
  <c r="I147" i="6"/>
  <c r="AF146" i="6"/>
  <c r="AE146" i="6"/>
  <c r="AD146" i="6"/>
  <c r="AC146" i="6"/>
  <c r="AB146" i="6"/>
  <c r="AA146" i="6"/>
  <c r="Z146" i="6"/>
  <c r="Y146" i="6"/>
  <c r="X146" i="6"/>
  <c r="S146" i="6"/>
  <c r="Q146" i="6"/>
  <c r="R146" i="6" s="1"/>
  <c r="O146" i="6"/>
  <c r="N146" i="6"/>
  <c r="M146" i="6"/>
  <c r="P146" i="6" s="1"/>
  <c r="L146" i="6"/>
  <c r="K146" i="6"/>
  <c r="J146" i="6"/>
  <c r="I146" i="6"/>
  <c r="T146" i="6" s="1"/>
  <c r="AF145" i="6"/>
  <c r="AE145" i="6"/>
  <c r="AD145" i="6"/>
  <c r="AC145" i="6"/>
  <c r="AA145" i="6"/>
  <c r="Z145" i="6"/>
  <c r="AB145" i="6" s="1"/>
  <c r="Y145" i="6"/>
  <c r="X145" i="6"/>
  <c r="Q145" i="6"/>
  <c r="R145" i="6" s="1"/>
  <c r="P145" i="6"/>
  <c r="N145" i="6"/>
  <c r="O145" i="6" s="1"/>
  <c r="M145" i="6"/>
  <c r="L145" i="6"/>
  <c r="K145" i="6"/>
  <c r="J145" i="6"/>
  <c r="I145" i="6"/>
  <c r="AF144" i="6"/>
  <c r="AE144" i="6"/>
  <c r="AD144" i="6"/>
  <c r="AC144" i="6"/>
  <c r="AA144" i="6"/>
  <c r="Z144" i="6"/>
  <c r="AB144" i="6" s="1"/>
  <c r="Y144" i="6"/>
  <c r="X144" i="6"/>
  <c r="Q144" i="6"/>
  <c r="O144" i="6"/>
  <c r="N144" i="6"/>
  <c r="M144" i="6"/>
  <c r="L144" i="6"/>
  <c r="K144" i="6"/>
  <c r="J144" i="6"/>
  <c r="T144" i="6" s="1"/>
  <c r="I144" i="6"/>
  <c r="AF143" i="6"/>
  <c r="AE143" i="6"/>
  <c r="AD143" i="6"/>
  <c r="AC143" i="6"/>
  <c r="AA143" i="6"/>
  <c r="Z143" i="6"/>
  <c r="AB143" i="6" s="1"/>
  <c r="Y143" i="6"/>
  <c r="X143" i="6"/>
  <c r="S143" i="6"/>
  <c r="R143" i="6"/>
  <c r="Q143" i="6"/>
  <c r="P143" i="6"/>
  <c r="O143" i="6"/>
  <c r="N143" i="6"/>
  <c r="M143" i="6"/>
  <c r="L143" i="6"/>
  <c r="K143" i="6"/>
  <c r="J143" i="6"/>
  <c r="I143" i="6"/>
  <c r="AF142" i="6"/>
  <c r="AE142" i="6"/>
  <c r="AD142" i="6"/>
  <c r="AC142" i="6"/>
  <c r="AA142" i="6"/>
  <c r="Z142" i="6"/>
  <c r="AB142" i="6" s="1"/>
  <c r="Y142" i="6"/>
  <c r="X142" i="6"/>
  <c r="Q142" i="6"/>
  <c r="O142" i="6"/>
  <c r="N142" i="6"/>
  <c r="M142" i="6"/>
  <c r="P142" i="6" s="1"/>
  <c r="L142" i="6"/>
  <c r="K142" i="6"/>
  <c r="J142" i="6"/>
  <c r="I142" i="6"/>
  <c r="AF141" i="6"/>
  <c r="AE141" i="6"/>
  <c r="AD141" i="6"/>
  <c r="AC141" i="6"/>
  <c r="AA141" i="6"/>
  <c r="Z141" i="6"/>
  <c r="Y141" i="6"/>
  <c r="X141" i="6"/>
  <c r="Q141" i="6"/>
  <c r="O141" i="6"/>
  <c r="N141" i="6"/>
  <c r="M141" i="6"/>
  <c r="P141" i="6" s="1"/>
  <c r="L141" i="6"/>
  <c r="K141" i="6"/>
  <c r="J141" i="6"/>
  <c r="T141" i="6" s="1"/>
  <c r="I141" i="6"/>
  <c r="AF140" i="6"/>
  <c r="AE140" i="6"/>
  <c r="AD140" i="6"/>
  <c r="AC140" i="6"/>
  <c r="AA140" i="6"/>
  <c r="Z140" i="6"/>
  <c r="AB140" i="6" s="1"/>
  <c r="Y140" i="6"/>
  <c r="X140" i="6"/>
  <c r="S140" i="6"/>
  <c r="Q140" i="6"/>
  <c r="R140" i="6" s="1"/>
  <c r="O140" i="6"/>
  <c r="N140" i="6"/>
  <c r="M140" i="6"/>
  <c r="L140" i="6"/>
  <c r="K140" i="6"/>
  <c r="J140" i="6"/>
  <c r="I140" i="6"/>
  <c r="P140" i="6" s="1"/>
  <c r="AF139" i="6"/>
  <c r="AE139" i="6"/>
  <c r="AD139" i="6"/>
  <c r="AC139" i="6"/>
  <c r="AA139" i="6"/>
  <c r="Z139" i="6"/>
  <c r="Y139" i="6"/>
  <c r="X139" i="6"/>
  <c r="T139" i="6"/>
  <c r="R139" i="6"/>
  <c r="Q139" i="6"/>
  <c r="S139" i="6" s="1"/>
  <c r="P139" i="6"/>
  <c r="N139" i="6"/>
  <c r="O139" i="6" s="1"/>
  <c r="M139" i="6"/>
  <c r="L139" i="6"/>
  <c r="K139" i="6"/>
  <c r="J139" i="6"/>
  <c r="I139" i="6"/>
  <c r="AF138" i="6"/>
  <c r="AE138" i="6"/>
  <c r="AD138" i="6"/>
  <c r="AC138" i="6"/>
  <c r="AB138" i="6"/>
  <c r="AA138" i="6"/>
  <c r="Z138" i="6"/>
  <c r="Y138" i="6"/>
  <c r="X138" i="6"/>
  <c r="Q138" i="6"/>
  <c r="S138" i="6" s="1"/>
  <c r="O138" i="6"/>
  <c r="N138" i="6"/>
  <c r="M138" i="6"/>
  <c r="P138" i="6" s="1"/>
  <c r="L138" i="6"/>
  <c r="K138" i="6"/>
  <c r="J138" i="6"/>
  <c r="I138" i="6"/>
  <c r="AF137" i="6"/>
  <c r="AE137" i="6"/>
  <c r="AD137" i="6"/>
  <c r="AC137" i="6"/>
  <c r="AA137" i="6"/>
  <c r="AB137" i="6" s="1"/>
  <c r="Z137" i="6"/>
  <c r="Y137" i="6"/>
  <c r="X137" i="6"/>
  <c r="S137" i="6"/>
  <c r="R137" i="6"/>
  <c r="Q137" i="6"/>
  <c r="P137" i="6"/>
  <c r="O137" i="6"/>
  <c r="N137" i="6"/>
  <c r="M137" i="6"/>
  <c r="L137" i="6"/>
  <c r="K137" i="6"/>
  <c r="J137" i="6"/>
  <c r="I137" i="6"/>
  <c r="AF136" i="6"/>
  <c r="AE136" i="6"/>
  <c r="AD136" i="6"/>
  <c r="AC136" i="6"/>
  <c r="AB136" i="6"/>
  <c r="AA136" i="6"/>
  <c r="Z136" i="6"/>
  <c r="Y136" i="6"/>
  <c r="X136" i="6"/>
  <c r="Q136" i="6"/>
  <c r="R136" i="6" s="1"/>
  <c r="P136" i="6"/>
  <c r="O136" i="6"/>
  <c r="N136" i="6"/>
  <c r="M136" i="6"/>
  <c r="L136" i="6"/>
  <c r="K136" i="6"/>
  <c r="J136" i="6"/>
  <c r="I136" i="6"/>
  <c r="T136" i="6" s="1"/>
  <c r="AF135" i="6"/>
  <c r="AE135" i="6"/>
  <c r="AD135" i="6"/>
  <c r="AC135" i="6"/>
  <c r="AA135" i="6"/>
  <c r="Z135" i="6"/>
  <c r="AB135" i="6" s="1"/>
  <c r="Y135" i="6"/>
  <c r="X135" i="6"/>
  <c r="Q135" i="6"/>
  <c r="R135" i="6" s="1"/>
  <c r="N135" i="6"/>
  <c r="O135" i="6" s="1"/>
  <c r="M135" i="6"/>
  <c r="P135" i="6" s="1"/>
  <c r="L135" i="6"/>
  <c r="K135" i="6"/>
  <c r="J135" i="6"/>
  <c r="I135" i="6"/>
  <c r="AF134" i="6"/>
  <c r="AE134" i="6"/>
  <c r="AD134" i="6"/>
  <c r="AC134" i="6"/>
  <c r="AA134" i="6"/>
  <c r="Z134" i="6"/>
  <c r="AB134" i="6" s="1"/>
  <c r="Y134" i="6"/>
  <c r="X134" i="6"/>
  <c r="Q134" i="6"/>
  <c r="N134" i="6"/>
  <c r="O134" i="6" s="1"/>
  <c r="M134" i="6"/>
  <c r="L134" i="6"/>
  <c r="K134" i="6"/>
  <c r="J134" i="6"/>
  <c r="I134" i="6"/>
  <c r="AF133" i="6"/>
  <c r="AE133" i="6"/>
  <c r="AD133" i="6"/>
  <c r="AC133" i="6"/>
  <c r="AA133" i="6"/>
  <c r="Z133" i="6"/>
  <c r="AB133" i="6" s="1"/>
  <c r="Y133" i="6"/>
  <c r="X133" i="6"/>
  <c r="S133" i="6"/>
  <c r="R133" i="6"/>
  <c r="Q133" i="6"/>
  <c r="N133" i="6"/>
  <c r="O133" i="6" s="1"/>
  <c r="M133" i="6"/>
  <c r="P133" i="6" s="1"/>
  <c r="L133" i="6"/>
  <c r="K133" i="6"/>
  <c r="J133" i="6"/>
  <c r="T133" i="6" s="1"/>
  <c r="I133" i="6"/>
  <c r="AF132" i="6"/>
  <c r="AE132" i="6"/>
  <c r="AD132" i="6"/>
  <c r="AC132" i="6"/>
  <c r="AB132" i="6"/>
  <c r="AA132" i="6"/>
  <c r="Z132" i="6"/>
  <c r="Y132" i="6"/>
  <c r="X132" i="6"/>
  <c r="Q132" i="6"/>
  <c r="N132" i="6"/>
  <c r="O132" i="6" s="1"/>
  <c r="M132" i="6"/>
  <c r="L132" i="6"/>
  <c r="K132" i="6"/>
  <c r="J132" i="6"/>
  <c r="I132" i="6"/>
  <c r="P132" i="6" s="1"/>
  <c r="AF131" i="6"/>
  <c r="AE131" i="6"/>
  <c r="AD131" i="6"/>
  <c r="AC131" i="6"/>
  <c r="AA131" i="6"/>
  <c r="AB131" i="6" s="1"/>
  <c r="Z131" i="6"/>
  <c r="Y131" i="6"/>
  <c r="X131" i="6"/>
  <c r="T131" i="6"/>
  <c r="Q131" i="6"/>
  <c r="O131" i="6"/>
  <c r="N131" i="6"/>
  <c r="M131" i="6"/>
  <c r="P131" i="6" s="1"/>
  <c r="L131" i="6"/>
  <c r="K131" i="6"/>
  <c r="J131" i="6"/>
  <c r="I131" i="6"/>
  <c r="AF130" i="6"/>
  <c r="AE130" i="6"/>
  <c r="AD130" i="6"/>
  <c r="AC130" i="6"/>
  <c r="AB130" i="6"/>
  <c r="AA130" i="6"/>
  <c r="Z130" i="6"/>
  <c r="Y130" i="6"/>
  <c r="X130" i="6"/>
  <c r="Q130" i="6"/>
  <c r="R130" i="6" s="1"/>
  <c r="N130" i="6"/>
  <c r="O130" i="6" s="1"/>
  <c r="M130" i="6"/>
  <c r="P130" i="6" s="1"/>
  <c r="L130" i="6"/>
  <c r="K130" i="6"/>
  <c r="J130" i="6"/>
  <c r="I130" i="6"/>
  <c r="AF129" i="6"/>
  <c r="AE129" i="6"/>
  <c r="AD129" i="6"/>
  <c r="AC129" i="6"/>
  <c r="AB129" i="6"/>
  <c r="AA129" i="6"/>
  <c r="Z129" i="6"/>
  <c r="Y129" i="6"/>
  <c r="X129" i="6"/>
  <c r="Q129" i="6"/>
  <c r="S129" i="6" s="1"/>
  <c r="P129" i="6"/>
  <c r="N129" i="6"/>
  <c r="O129" i="6" s="1"/>
  <c r="M129" i="6"/>
  <c r="L129" i="6"/>
  <c r="K129" i="6"/>
  <c r="J129" i="6"/>
  <c r="T129" i="6" s="1"/>
  <c r="I129" i="6"/>
  <c r="AF128" i="6"/>
  <c r="AE128" i="6"/>
  <c r="AD128" i="6"/>
  <c r="AC128" i="6"/>
  <c r="AA128" i="6"/>
  <c r="Z128" i="6"/>
  <c r="AB128" i="6" s="1"/>
  <c r="Y128" i="6"/>
  <c r="X128" i="6"/>
  <c r="Q128" i="6"/>
  <c r="S128" i="6" s="1"/>
  <c r="O128" i="6"/>
  <c r="N128" i="6"/>
  <c r="M128" i="6"/>
  <c r="L128" i="6"/>
  <c r="K128" i="6"/>
  <c r="J128" i="6"/>
  <c r="I128" i="6"/>
  <c r="AF127" i="6"/>
  <c r="AE127" i="6"/>
  <c r="AD127" i="6"/>
  <c r="AC127" i="6"/>
  <c r="AA127" i="6"/>
  <c r="AB127" i="6" s="1"/>
  <c r="Z127" i="6"/>
  <c r="Y127" i="6"/>
  <c r="X127" i="6"/>
  <c r="S127" i="6"/>
  <c r="Q127" i="6"/>
  <c r="R127" i="6" s="1"/>
  <c r="N127" i="6"/>
  <c r="O127" i="6" s="1"/>
  <c r="M127" i="6"/>
  <c r="L127" i="6"/>
  <c r="K127" i="6"/>
  <c r="J127" i="6"/>
  <c r="T127" i="6" s="1"/>
  <c r="I127" i="6"/>
  <c r="P127" i="6" s="1"/>
  <c r="AF126" i="6"/>
  <c r="AE126" i="6"/>
  <c r="AD126" i="6"/>
  <c r="AC126" i="6"/>
  <c r="AA126" i="6"/>
  <c r="Z126" i="6"/>
  <c r="AB126" i="6" s="1"/>
  <c r="Y126" i="6"/>
  <c r="X126" i="6"/>
  <c r="S126" i="6"/>
  <c r="R126" i="6"/>
  <c r="Q126" i="6"/>
  <c r="O126" i="6"/>
  <c r="N126" i="6"/>
  <c r="M126" i="6"/>
  <c r="L126" i="6"/>
  <c r="K126" i="6"/>
  <c r="J126" i="6"/>
  <c r="I126" i="6"/>
  <c r="T126" i="6" s="1"/>
  <c r="AF125" i="6"/>
  <c r="AE125" i="6"/>
  <c r="AD125" i="6"/>
  <c r="AC125" i="6"/>
  <c r="AA125" i="6"/>
  <c r="Z125" i="6"/>
  <c r="AB125" i="6" s="1"/>
  <c r="Y125" i="6"/>
  <c r="X125" i="6"/>
  <c r="T125" i="6"/>
  <c r="S125" i="6"/>
  <c r="R125" i="6"/>
  <c r="Q125" i="6"/>
  <c r="N125" i="6"/>
  <c r="O125" i="6" s="1"/>
  <c r="M125" i="6"/>
  <c r="L125" i="6"/>
  <c r="K125" i="6"/>
  <c r="J125" i="6"/>
  <c r="I125" i="6"/>
  <c r="AF124" i="6"/>
  <c r="AE124" i="6"/>
  <c r="AD124" i="6"/>
  <c r="AC124" i="6"/>
  <c r="AB124" i="6"/>
  <c r="AA124" i="6"/>
  <c r="Z124" i="6"/>
  <c r="Y124" i="6"/>
  <c r="X124" i="6"/>
  <c r="Q124" i="6"/>
  <c r="S124" i="6" s="1"/>
  <c r="N124" i="6"/>
  <c r="O124" i="6" s="1"/>
  <c r="M124" i="6"/>
  <c r="P124" i="6" s="1"/>
  <c r="L124" i="6"/>
  <c r="K124" i="6"/>
  <c r="J124" i="6"/>
  <c r="T124" i="6" s="1"/>
  <c r="I124" i="6"/>
  <c r="AF123" i="6"/>
  <c r="AE123" i="6"/>
  <c r="AD123" i="6"/>
  <c r="AC123" i="6"/>
  <c r="AB123" i="6"/>
  <c r="AA123" i="6"/>
  <c r="Z123" i="6"/>
  <c r="Y123" i="6"/>
  <c r="X123" i="6"/>
  <c r="S123" i="6"/>
  <c r="R123" i="6"/>
  <c r="Q123" i="6"/>
  <c r="O123" i="6"/>
  <c r="N123" i="6"/>
  <c r="M123" i="6"/>
  <c r="P123" i="6" s="1"/>
  <c r="L123" i="6"/>
  <c r="K123" i="6"/>
  <c r="J123" i="6"/>
  <c r="I123" i="6"/>
  <c r="T123" i="6" s="1"/>
  <c r="AF122" i="6"/>
  <c r="AE122" i="6"/>
  <c r="AD122" i="6"/>
  <c r="AC122" i="6"/>
  <c r="AB122" i="6"/>
  <c r="AA122" i="6"/>
  <c r="Z122" i="6"/>
  <c r="Y122" i="6"/>
  <c r="X122" i="6"/>
  <c r="Q122" i="6"/>
  <c r="R122" i="6" s="1"/>
  <c r="N122" i="6"/>
  <c r="O122" i="6" s="1"/>
  <c r="M122" i="6"/>
  <c r="P122" i="6" s="1"/>
  <c r="L122" i="6"/>
  <c r="K122" i="6"/>
  <c r="J122" i="6"/>
  <c r="I122" i="6"/>
  <c r="AF121" i="6"/>
  <c r="AE121" i="6"/>
  <c r="AD121" i="6"/>
  <c r="AC121" i="6"/>
  <c r="AB121" i="6"/>
  <c r="AA121" i="6"/>
  <c r="Z121" i="6"/>
  <c r="Y121" i="6"/>
  <c r="X121" i="6"/>
  <c r="R121" i="6"/>
  <c r="Q121" i="6"/>
  <c r="S121" i="6" s="1"/>
  <c r="N121" i="6"/>
  <c r="O121" i="6" s="1"/>
  <c r="M121" i="6"/>
  <c r="P121" i="6" s="1"/>
  <c r="L121" i="6"/>
  <c r="K121" i="6"/>
  <c r="T121" i="6" s="1"/>
  <c r="J121" i="6"/>
  <c r="I121" i="6"/>
  <c r="AF120" i="6"/>
  <c r="AE120" i="6"/>
  <c r="AD120" i="6"/>
  <c r="AC120" i="6"/>
  <c r="AA120" i="6"/>
  <c r="AB120" i="6" s="1"/>
  <c r="Z120" i="6"/>
  <c r="Y120" i="6"/>
  <c r="X120" i="6"/>
  <c r="Q120" i="6"/>
  <c r="S120" i="6" s="1"/>
  <c r="O120" i="6"/>
  <c r="N120" i="6"/>
  <c r="M120" i="6"/>
  <c r="P120" i="6" s="1"/>
  <c r="L120" i="6"/>
  <c r="K120" i="6"/>
  <c r="J120" i="6"/>
  <c r="I120" i="6"/>
  <c r="AF119" i="6"/>
  <c r="AE119" i="6"/>
  <c r="AD119" i="6"/>
  <c r="AC119" i="6"/>
  <c r="AA119" i="6"/>
  <c r="AB119" i="6" s="1"/>
  <c r="Z119" i="6"/>
  <c r="Y119" i="6"/>
  <c r="X119" i="6"/>
  <c r="S119" i="6"/>
  <c r="R119" i="6"/>
  <c r="Q119" i="6"/>
  <c r="P119" i="6"/>
  <c r="O119" i="6"/>
  <c r="N119" i="6"/>
  <c r="M119" i="6"/>
  <c r="L119" i="6"/>
  <c r="K119" i="6"/>
  <c r="J119" i="6"/>
  <c r="I119" i="6"/>
  <c r="AF118" i="6"/>
  <c r="AE118" i="6"/>
  <c r="AD118" i="6"/>
  <c r="AC118" i="6"/>
  <c r="AA118" i="6"/>
  <c r="Z118" i="6"/>
  <c r="AB118" i="6" s="1"/>
  <c r="Y118" i="6"/>
  <c r="X118" i="6"/>
  <c r="S118" i="6"/>
  <c r="Q118" i="6"/>
  <c r="R118" i="6" s="1"/>
  <c r="O118" i="6"/>
  <c r="N118" i="6"/>
  <c r="M118" i="6"/>
  <c r="P118" i="6" s="1"/>
  <c r="L118" i="6"/>
  <c r="K118" i="6"/>
  <c r="J118" i="6"/>
  <c r="I118" i="6"/>
  <c r="AF117" i="6"/>
  <c r="AE117" i="6"/>
  <c r="AD117" i="6"/>
  <c r="AC117" i="6"/>
  <c r="AA117" i="6"/>
  <c r="AB117" i="6" s="1"/>
  <c r="Z117" i="6"/>
  <c r="Y117" i="6"/>
  <c r="X117" i="6"/>
  <c r="Q117" i="6"/>
  <c r="P117" i="6"/>
  <c r="N117" i="6"/>
  <c r="O117" i="6" s="1"/>
  <c r="M117" i="6"/>
  <c r="L117" i="6"/>
  <c r="K117" i="6"/>
  <c r="J117" i="6"/>
  <c r="T117" i="6" s="1"/>
  <c r="I117" i="6"/>
  <c r="AF116" i="6"/>
  <c r="AE116" i="6"/>
  <c r="AD116" i="6"/>
  <c r="AC116" i="6"/>
  <c r="AB116" i="6"/>
  <c r="AA116" i="6"/>
  <c r="Z116" i="6"/>
  <c r="Y116" i="6"/>
  <c r="X116" i="6"/>
  <c r="S116" i="6"/>
  <c r="Q116" i="6"/>
  <c r="R116" i="6" s="1"/>
  <c r="O116" i="6"/>
  <c r="N116" i="6"/>
  <c r="M116" i="6"/>
  <c r="P116" i="6" s="1"/>
  <c r="L116" i="6"/>
  <c r="K116" i="6"/>
  <c r="J116" i="6"/>
  <c r="I116" i="6"/>
  <c r="AF115" i="6"/>
  <c r="AE115" i="6"/>
  <c r="AD115" i="6"/>
  <c r="AC115" i="6"/>
  <c r="AA115" i="6"/>
  <c r="Z115" i="6"/>
  <c r="Y115" i="6"/>
  <c r="X115" i="6"/>
  <c r="Q115" i="6"/>
  <c r="S115" i="6" s="1"/>
  <c r="N115" i="6"/>
  <c r="O115" i="6" s="1"/>
  <c r="M115" i="6"/>
  <c r="P115" i="6" s="1"/>
  <c r="L115" i="6"/>
  <c r="K115" i="6"/>
  <c r="J115" i="6"/>
  <c r="I115" i="6"/>
  <c r="AF114" i="6"/>
  <c r="AE114" i="6"/>
  <c r="AD114" i="6"/>
  <c r="AC114" i="6"/>
  <c r="AA114" i="6"/>
  <c r="Z114" i="6"/>
  <c r="AB114" i="6" s="1"/>
  <c r="Y114" i="6"/>
  <c r="X114" i="6"/>
  <c r="S114" i="6"/>
  <c r="R114" i="6"/>
  <c r="Q114" i="6"/>
  <c r="N114" i="6"/>
  <c r="O114" i="6" s="1"/>
  <c r="M114" i="6"/>
  <c r="P114" i="6" s="1"/>
  <c r="L114" i="6"/>
  <c r="K114" i="6"/>
  <c r="J114" i="6"/>
  <c r="T114" i="6" s="1"/>
  <c r="I114" i="6"/>
  <c r="AF113" i="6"/>
  <c r="AE113" i="6"/>
  <c r="AD113" i="6"/>
  <c r="AC113" i="6"/>
  <c r="AA113" i="6"/>
  <c r="AB113" i="6" s="1"/>
  <c r="Z113" i="6"/>
  <c r="Y113" i="6"/>
  <c r="X113" i="6"/>
  <c r="S113" i="6"/>
  <c r="R113" i="6"/>
  <c r="Q113" i="6"/>
  <c r="O113" i="6"/>
  <c r="N113" i="6"/>
  <c r="M113" i="6"/>
  <c r="L113" i="6"/>
  <c r="K113" i="6"/>
  <c r="J113" i="6"/>
  <c r="I113" i="6"/>
  <c r="AF112" i="6"/>
  <c r="AE112" i="6"/>
  <c r="AD112" i="6"/>
  <c r="AC112" i="6"/>
  <c r="AA112" i="6"/>
  <c r="Z112" i="6"/>
  <c r="AB112" i="6" s="1"/>
  <c r="Y112" i="6"/>
  <c r="X112" i="6"/>
  <c r="T112" i="6"/>
  <c r="Q112" i="6"/>
  <c r="R112" i="6" s="1"/>
  <c r="O112" i="6"/>
  <c r="N112" i="6"/>
  <c r="M112" i="6"/>
  <c r="P112" i="6" s="1"/>
  <c r="L112" i="6"/>
  <c r="K112" i="6"/>
  <c r="J112" i="6"/>
  <c r="I112" i="6"/>
  <c r="AF111" i="6"/>
  <c r="AE111" i="6"/>
  <c r="AD111" i="6"/>
  <c r="AC111" i="6"/>
  <c r="AB111" i="6"/>
  <c r="AA111" i="6"/>
  <c r="Z111" i="6"/>
  <c r="Y111" i="6"/>
  <c r="X111" i="6"/>
  <c r="Q111" i="6"/>
  <c r="S111" i="6" s="1"/>
  <c r="N111" i="6"/>
  <c r="O111" i="6" s="1"/>
  <c r="M111" i="6"/>
  <c r="P111" i="6" s="1"/>
  <c r="L111" i="6"/>
  <c r="K111" i="6"/>
  <c r="J111" i="6"/>
  <c r="I111" i="6"/>
  <c r="AF110" i="6"/>
  <c r="AE110" i="6"/>
  <c r="AD110" i="6"/>
  <c r="AC110" i="6"/>
  <c r="AB110" i="6"/>
  <c r="AA110" i="6"/>
  <c r="Z110" i="6"/>
  <c r="Y110" i="6"/>
  <c r="X110" i="6"/>
  <c r="Q110" i="6"/>
  <c r="O110" i="6"/>
  <c r="N110" i="6"/>
  <c r="M110" i="6"/>
  <c r="L110" i="6"/>
  <c r="K110" i="6"/>
  <c r="J110" i="6"/>
  <c r="I110" i="6"/>
  <c r="AF109" i="6"/>
  <c r="AE109" i="6"/>
  <c r="AD109" i="6"/>
  <c r="AC109" i="6"/>
  <c r="AA109" i="6"/>
  <c r="Z109" i="6"/>
  <c r="AB109" i="6" s="1"/>
  <c r="Y109" i="6"/>
  <c r="X109" i="6"/>
  <c r="S109" i="6"/>
  <c r="R109" i="6"/>
  <c r="Q109" i="6"/>
  <c r="N109" i="6"/>
  <c r="O109" i="6" s="1"/>
  <c r="M109" i="6"/>
  <c r="P109" i="6" s="1"/>
  <c r="L109" i="6"/>
  <c r="K109" i="6"/>
  <c r="J109" i="6"/>
  <c r="T109" i="6" s="1"/>
  <c r="I109" i="6"/>
  <c r="AF108" i="6"/>
  <c r="AE108" i="6"/>
  <c r="AD108" i="6"/>
  <c r="AC108" i="6"/>
  <c r="AA108" i="6"/>
  <c r="Z108" i="6"/>
  <c r="AB108" i="6" s="1"/>
  <c r="Y108" i="6"/>
  <c r="X108" i="6"/>
  <c r="Q108" i="6"/>
  <c r="N108" i="6"/>
  <c r="O108" i="6" s="1"/>
  <c r="M108" i="6"/>
  <c r="P108" i="6" s="1"/>
  <c r="L108" i="6"/>
  <c r="K108" i="6"/>
  <c r="J108" i="6"/>
  <c r="T108" i="6" s="1"/>
  <c r="I108" i="6"/>
  <c r="AF107" i="6"/>
  <c r="AE107" i="6"/>
  <c r="AD107" i="6"/>
  <c r="AC107" i="6"/>
  <c r="AB107" i="6"/>
  <c r="AA107" i="6"/>
  <c r="Z107" i="6"/>
  <c r="Y107" i="6"/>
  <c r="X107" i="6"/>
  <c r="Q107" i="6"/>
  <c r="P107" i="6"/>
  <c r="N107" i="6"/>
  <c r="O107" i="6" s="1"/>
  <c r="M107" i="6"/>
  <c r="L107" i="6"/>
  <c r="K107" i="6"/>
  <c r="J107" i="6"/>
  <c r="T107" i="6" s="1"/>
  <c r="I107" i="6"/>
  <c r="AF106" i="6"/>
  <c r="AE106" i="6"/>
  <c r="AD106" i="6"/>
  <c r="AC106" i="6"/>
  <c r="AA106" i="6"/>
  <c r="Z106" i="6"/>
  <c r="AB106" i="6" s="1"/>
  <c r="Y106" i="6"/>
  <c r="X106" i="6"/>
  <c r="Q106" i="6"/>
  <c r="P106" i="6"/>
  <c r="O106" i="6"/>
  <c r="N106" i="6"/>
  <c r="M106" i="6"/>
  <c r="L106" i="6"/>
  <c r="K106" i="6"/>
  <c r="J106" i="6"/>
  <c r="T106" i="6" s="1"/>
  <c r="I106" i="6"/>
  <c r="AF105" i="6"/>
  <c r="AE105" i="6"/>
  <c r="AD105" i="6"/>
  <c r="AC105" i="6"/>
  <c r="AA105" i="6"/>
  <c r="Z105" i="6"/>
  <c r="AB105" i="6" s="1"/>
  <c r="Y105" i="6"/>
  <c r="X105" i="6"/>
  <c r="S105" i="6"/>
  <c r="Q105" i="6"/>
  <c r="R105" i="6" s="1"/>
  <c r="P105" i="6"/>
  <c r="N105" i="6"/>
  <c r="O105" i="6" s="1"/>
  <c r="M105" i="6"/>
  <c r="L105" i="6"/>
  <c r="K105" i="6"/>
  <c r="J105" i="6"/>
  <c r="I105" i="6"/>
  <c r="AF104" i="6"/>
  <c r="AE104" i="6"/>
  <c r="AD104" i="6"/>
  <c r="AC104" i="6"/>
  <c r="AB104" i="6"/>
  <c r="AA104" i="6"/>
  <c r="Z104" i="6"/>
  <c r="Y104" i="6"/>
  <c r="X104" i="6"/>
  <c r="S104" i="6"/>
  <c r="R104" i="6"/>
  <c r="Q104" i="6"/>
  <c r="N104" i="6"/>
  <c r="O104" i="6" s="1"/>
  <c r="M104" i="6"/>
  <c r="L104" i="6"/>
  <c r="K104" i="6"/>
  <c r="J104" i="6"/>
  <c r="I104" i="6"/>
  <c r="AF103" i="6"/>
  <c r="AE103" i="6"/>
  <c r="AD103" i="6"/>
  <c r="AC103" i="6"/>
  <c r="AA103" i="6"/>
  <c r="Z103" i="6"/>
  <c r="AB103" i="6" s="1"/>
  <c r="Y103" i="6"/>
  <c r="X103" i="6"/>
  <c r="S103" i="6"/>
  <c r="Q103" i="6"/>
  <c r="R103" i="6" s="1"/>
  <c r="O103" i="6"/>
  <c r="N103" i="6"/>
  <c r="M103" i="6"/>
  <c r="L103" i="6"/>
  <c r="K103" i="6"/>
  <c r="J103" i="6"/>
  <c r="T103" i="6" s="1"/>
  <c r="I103" i="6"/>
  <c r="AF102" i="6"/>
  <c r="AE102" i="6"/>
  <c r="AD102" i="6"/>
  <c r="AC102" i="6"/>
  <c r="AA102" i="6"/>
  <c r="Z102" i="6"/>
  <c r="Y102" i="6"/>
  <c r="X102" i="6"/>
  <c r="T102" i="6"/>
  <c r="S102" i="6"/>
  <c r="R102" i="6"/>
  <c r="Q102" i="6"/>
  <c r="N102" i="6"/>
  <c r="O102" i="6" s="1"/>
  <c r="M102" i="6"/>
  <c r="L102" i="6"/>
  <c r="K102" i="6"/>
  <c r="J102" i="6"/>
  <c r="I102" i="6"/>
  <c r="AF101" i="6"/>
  <c r="AE101" i="6"/>
  <c r="AD101" i="6"/>
  <c r="AC101" i="6"/>
  <c r="AA101" i="6"/>
  <c r="Z101" i="6"/>
  <c r="AB101" i="6" s="1"/>
  <c r="Y101" i="6"/>
  <c r="X101" i="6"/>
  <c r="T101" i="6"/>
  <c r="S101" i="6"/>
  <c r="R101" i="6"/>
  <c r="Q101" i="6"/>
  <c r="N101" i="6"/>
  <c r="O101" i="6" s="1"/>
  <c r="M101" i="6"/>
  <c r="L101" i="6"/>
  <c r="K101" i="6"/>
  <c r="J101" i="6"/>
  <c r="I101" i="6"/>
  <c r="AF100" i="6"/>
  <c r="AE100" i="6"/>
  <c r="AD100" i="6"/>
  <c r="AC100" i="6"/>
  <c r="AA100" i="6"/>
  <c r="AB100" i="6" s="1"/>
  <c r="Z100" i="6"/>
  <c r="Y100" i="6"/>
  <c r="X100" i="6"/>
  <c r="S100" i="6"/>
  <c r="R100" i="6"/>
  <c r="Q100" i="6"/>
  <c r="N100" i="6"/>
  <c r="O100" i="6" s="1"/>
  <c r="M100" i="6"/>
  <c r="L100" i="6"/>
  <c r="T100" i="6" s="1"/>
  <c r="K100" i="6"/>
  <c r="J100" i="6"/>
  <c r="I100" i="6"/>
  <c r="P100" i="6" s="1"/>
  <c r="AF99" i="6"/>
  <c r="AE99" i="6"/>
  <c r="AD99" i="6"/>
  <c r="AC99" i="6"/>
  <c r="AB99" i="6"/>
  <c r="AA99" i="6"/>
  <c r="Z99" i="6"/>
  <c r="Y99" i="6"/>
  <c r="X99" i="6"/>
  <c r="S99" i="6"/>
  <c r="Q99" i="6"/>
  <c r="R99" i="6" s="1"/>
  <c r="O99" i="6"/>
  <c r="N99" i="6"/>
  <c r="M99" i="6"/>
  <c r="P99" i="6" s="1"/>
  <c r="L99" i="6"/>
  <c r="K99" i="6"/>
  <c r="T99" i="6" s="1"/>
  <c r="J99" i="6"/>
  <c r="I99" i="6"/>
  <c r="AF98" i="6"/>
  <c r="AE98" i="6"/>
  <c r="AD98" i="6"/>
  <c r="AC98" i="6"/>
  <c r="AA98" i="6"/>
  <c r="Z98" i="6"/>
  <c r="AB98" i="6" s="1"/>
  <c r="Y98" i="6"/>
  <c r="X98" i="6"/>
  <c r="Q98" i="6"/>
  <c r="S98" i="6" s="1"/>
  <c r="P98" i="6"/>
  <c r="N98" i="6"/>
  <c r="O98" i="6" s="1"/>
  <c r="M98" i="6"/>
  <c r="L98" i="6"/>
  <c r="K98" i="6"/>
  <c r="J98" i="6"/>
  <c r="T98" i="6" s="1"/>
  <c r="I98" i="6"/>
  <c r="AF97" i="6"/>
  <c r="AE97" i="6"/>
  <c r="AD97" i="6"/>
  <c r="AC97" i="6"/>
  <c r="AA97" i="6"/>
  <c r="Z97" i="6"/>
  <c r="AB97" i="6" s="1"/>
  <c r="Y97" i="6"/>
  <c r="X97" i="6"/>
  <c r="S97" i="6"/>
  <c r="R97" i="6"/>
  <c r="Q97" i="6"/>
  <c r="N97" i="6"/>
  <c r="O97" i="6" s="1"/>
  <c r="M97" i="6"/>
  <c r="L97" i="6"/>
  <c r="K97" i="6"/>
  <c r="J97" i="6"/>
  <c r="I97" i="6"/>
  <c r="AF96" i="6"/>
  <c r="AE96" i="6"/>
  <c r="AD96" i="6"/>
  <c r="AC96" i="6"/>
  <c r="AB96" i="6"/>
  <c r="AA96" i="6"/>
  <c r="Z96" i="6"/>
  <c r="Y96" i="6"/>
  <c r="X96" i="6"/>
  <c r="S96" i="6"/>
  <c r="R96" i="6"/>
  <c r="Q96" i="6"/>
  <c r="O96" i="6"/>
  <c r="N96" i="6"/>
  <c r="M96" i="6"/>
  <c r="L96" i="6"/>
  <c r="K96" i="6"/>
  <c r="J96" i="6"/>
  <c r="T96" i="6" s="1"/>
  <c r="I96" i="6"/>
  <c r="P96" i="6" s="1"/>
  <c r="AF95" i="6"/>
  <c r="AE95" i="6"/>
  <c r="AD95" i="6"/>
  <c r="AC95" i="6"/>
  <c r="AA95" i="6"/>
  <c r="Z95" i="6"/>
  <c r="AB95" i="6" s="1"/>
  <c r="Y95" i="6"/>
  <c r="X95" i="6"/>
  <c r="S95" i="6"/>
  <c r="R95" i="6"/>
  <c r="Q95" i="6"/>
  <c r="N95" i="6"/>
  <c r="O95" i="6" s="1"/>
  <c r="M95" i="6"/>
  <c r="P95" i="6" s="1"/>
  <c r="L95" i="6"/>
  <c r="K95" i="6"/>
  <c r="J95" i="6"/>
  <c r="I95" i="6"/>
  <c r="T95" i="6" s="1"/>
  <c r="AF94" i="6"/>
  <c r="AE94" i="6"/>
  <c r="AD94" i="6"/>
  <c r="AC94" i="6"/>
  <c r="AA94" i="6"/>
  <c r="AB94" i="6" s="1"/>
  <c r="Z94" i="6"/>
  <c r="Y94" i="6"/>
  <c r="X94" i="6"/>
  <c r="T94" i="6"/>
  <c r="S94" i="6"/>
  <c r="R94" i="6"/>
  <c r="Q94" i="6"/>
  <c r="N94" i="6"/>
  <c r="O94" i="6" s="1"/>
  <c r="M94" i="6"/>
  <c r="L94" i="6"/>
  <c r="K94" i="6"/>
  <c r="J94" i="6"/>
  <c r="I94" i="6"/>
  <c r="P94" i="6" s="1"/>
  <c r="AF93" i="6"/>
  <c r="AE93" i="6"/>
  <c r="AD93" i="6"/>
  <c r="AC93" i="6"/>
  <c r="AA93" i="6"/>
  <c r="Z93" i="6"/>
  <c r="AB93" i="6" s="1"/>
  <c r="Y93" i="6"/>
  <c r="X93" i="6"/>
  <c r="S93" i="6"/>
  <c r="R93" i="6"/>
  <c r="Q93" i="6"/>
  <c r="O93" i="6"/>
  <c r="N93" i="6"/>
  <c r="M93" i="6"/>
  <c r="L93" i="6"/>
  <c r="K93" i="6"/>
  <c r="J93" i="6"/>
  <c r="I93" i="6"/>
  <c r="T93" i="6" s="1"/>
  <c r="AF92" i="6"/>
  <c r="AE92" i="6"/>
  <c r="AD92" i="6"/>
  <c r="AC92" i="6"/>
  <c r="AA92" i="6"/>
  <c r="Z92" i="6"/>
  <c r="AB92" i="6" s="1"/>
  <c r="Y92" i="6"/>
  <c r="X92" i="6"/>
  <c r="S92" i="6"/>
  <c r="R92" i="6"/>
  <c r="Q92" i="6"/>
  <c r="N92" i="6"/>
  <c r="O92" i="6" s="1"/>
  <c r="M92" i="6"/>
  <c r="P92" i="6" s="1"/>
  <c r="L92" i="6"/>
  <c r="K92" i="6"/>
  <c r="J92" i="6"/>
  <c r="T92" i="6" s="1"/>
  <c r="I92" i="6"/>
  <c r="AF91" i="6"/>
  <c r="AE91" i="6"/>
  <c r="AD91" i="6"/>
  <c r="AC91" i="6"/>
  <c r="AB91" i="6"/>
  <c r="AA91" i="6"/>
  <c r="Z91" i="6"/>
  <c r="Y91" i="6"/>
  <c r="X91" i="6"/>
  <c r="S91" i="6"/>
  <c r="R91" i="6"/>
  <c r="Q91" i="6"/>
  <c r="N91" i="6"/>
  <c r="O91" i="6" s="1"/>
  <c r="M91" i="6"/>
  <c r="P91" i="6" s="1"/>
  <c r="L91" i="6"/>
  <c r="T91" i="6" s="1"/>
  <c r="K91" i="6"/>
  <c r="J91" i="6"/>
  <c r="I91" i="6"/>
  <c r="AF90" i="6"/>
  <c r="AE90" i="6"/>
  <c r="AD90" i="6"/>
  <c r="AC90" i="6"/>
  <c r="AB90" i="6"/>
  <c r="AA90" i="6"/>
  <c r="Z90" i="6"/>
  <c r="Y90" i="6"/>
  <c r="X90" i="6"/>
  <c r="S90" i="6"/>
  <c r="R90" i="6"/>
  <c r="Q90" i="6"/>
  <c r="N90" i="6"/>
  <c r="O90" i="6" s="1"/>
  <c r="M90" i="6"/>
  <c r="P90" i="6" s="1"/>
  <c r="L90" i="6"/>
  <c r="K90" i="6"/>
  <c r="J90" i="6"/>
  <c r="I90" i="6"/>
  <c r="T90" i="6" s="1"/>
  <c r="AS89" i="6" a="1"/>
  <c r="AS89" i="6" s="1"/>
  <c r="AF89" i="6"/>
  <c r="AE89" i="6"/>
  <c r="AD89" i="6"/>
  <c r="AC89" i="6"/>
  <c r="AB89" i="6"/>
  <c r="AA89" i="6"/>
  <c r="Z89" i="6"/>
  <c r="Y89" i="6"/>
  <c r="X89" i="6"/>
  <c r="Q89" i="6"/>
  <c r="S89" i="6" s="1"/>
  <c r="P89" i="6"/>
  <c r="O89" i="6"/>
  <c r="N89" i="6"/>
  <c r="M89" i="6"/>
  <c r="L89" i="6"/>
  <c r="K89" i="6"/>
  <c r="J89" i="6"/>
  <c r="I89" i="6"/>
  <c r="AF88" i="6"/>
  <c r="AE88" i="6"/>
  <c r="AD88" i="6"/>
  <c r="AC88" i="6"/>
  <c r="AB88" i="6"/>
  <c r="AA88" i="6"/>
  <c r="Z88" i="6"/>
  <c r="Y88" i="6"/>
  <c r="X88" i="6"/>
  <c r="Q88" i="6"/>
  <c r="S88" i="6" s="1"/>
  <c r="P88" i="6"/>
  <c r="O88" i="6"/>
  <c r="N88" i="6"/>
  <c r="M88" i="6"/>
  <c r="L88" i="6"/>
  <c r="K88" i="6"/>
  <c r="J88" i="6"/>
  <c r="I88" i="6"/>
  <c r="AF87" i="6"/>
  <c r="AE87" i="6"/>
  <c r="AD87" i="6"/>
  <c r="AC87" i="6"/>
  <c r="AB87" i="6"/>
  <c r="AA87" i="6"/>
  <c r="Z87" i="6"/>
  <c r="Y87" i="6"/>
  <c r="X87" i="6"/>
  <c r="Q87" i="6"/>
  <c r="S87" i="6" s="1"/>
  <c r="P87" i="6"/>
  <c r="O87" i="6"/>
  <c r="N87" i="6"/>
  <c r="M87" i="6"/>
  <c r="L87" i="6"/>
  <c r="K87" i="6"/>
  <c r="J87" i="6"/>
  <c r="T87" i="6" s="1"/>
  <c r="I87" i="6"/>
  <c r="AF86" i="6"/>
  <c r="AE86" i="6"/>
  <c r="AD86" i="6"/>
  <c r="AC86" i="6"/>
  <c r="AB86" i="6"/>
  <c r="AA86" i="6"/>
  <c r="Z86" i="6"/>
  <c r="Y86" i="6"/>
  <c r="X86" i="6"/>
  <c r="Q86" i="6"/>
  <c r="S86" i="6" s="1"/>
  <c r="P86" i="6"/>
  <c r="O86" i="6"/>
  <c r="N86" i="6"/>
  <c r="M86" i="6"/>
  <c r="L86" i="6"/>
  <c r="K86" i="6"/>
  <c r="J86" i="6"/>
  <c r="T86" i="6" s="1"/>
  <c r="I86" i="6"/>
  <c r="AF85" i="6"/>
  <c r="AE85" i="6"/>
  <c r="AD85" i="6"/>
  <c r="AC85" i="6"/>
  <c r="AB85" i="6"/>
  <c r="AA85" i="6"/>
  <c r="Z85" i="6"/>
  <c r="Y85" i="6"/>
  <c r="X85" i="6"/>
  <c r="S85" i="6"/>
  <c r="R85" i="6"/>
  <c r="Q85" i="6"/>
  <c r="O85" i="6"/>
  <c r="N85" i="6"/>
  <c r="M85" i="6"/>
  <c r="L85" i="6"/>
  <c r="K85" i="6"/>
  <c r="J85" i="6"/>
  <c r="T85" i="6" s="1"/>
  <c r="I85" i="6"/>
  <c r="P85" i="6" s="1"/>
  <c r="AF84" i="6"/>
  <c r="AE84" i="6"/>
  <c r="AD84" i="6"/>
  <c r="AC84" i="6"/>
  <c r="AA84" i="6"/>
  <c r="Z84" i="6"/>
  <c r="AB84" i="6" s="1"/>
  <c r="Y84" i="6"/>
  <c r="X84" i="6"/>
  <c r="S84" i="6"/>
  <c r="R84" i="6"/>
  <c r="Q84" i="6"/>
  <c r="P84" i="6"/>
  <c r="N84" i="6"/>
  <c r="O84" i="6" s="1"/>
  <c r="M84" i="6"/>
  <c r="L84" i="6"/>
  <c r="K84" i="6"/>
  <c r="J84" i="6"/>
  <c r="I84" i="6"/>
  <c r="T84" i="6" s="1"/>
  <c r="AF83" i="6"/>
  <c r="AE83" i="6"/>
  <c r="AD83" i="6"/>
  <c r="AC83" i="6"/>
  <c r="AA83" i="6"/>
  <c r="Z83" i="6"/>
  <c r="AB83" i="6" s="1"/>
  <c r="Y83" i="6"/>
  <c r="X83" i="6"/>
  <c r="Q83" i="6"/>
  <c r="S83" i="6" s="1"/>
  <c r="N83" i="6"/>
  <c r="O83" i="6" s="1"/>
  <c r="M83" i="6"/>
  <c r="P83" i="6" s="1"/>
  <c r="L83" i="6"/>
  <c r="K83" i="6"/>
  <c r="J83" i="6"/>
  <c r="I83" i="6"/>
  <c r="T83" i="6" s="1"/>
  <c r="AF82" i="6"/>
  <c r="AE82" i="6"/>
  <c r="AD82" i="6"/>
  <c r="AC82" i="6"/>
  <c r="AB82" i="6"/>
  <c r="AA82" i="6"/>
  <c r="Z82" i="6"/>
  <c r="Y82" i="6"/>
  <c r="X82" i="6"/>
  <c r="S82" i="6"/>
  <c r="R82" i="6"/>
  <c r="Q82" i="6"/>
  <c r="O82" i="6"/>
  <c r="N82" i="6"/>
  <c r="M82" i="6"/>
  <c r="P82" i="6" s="1"/>
  <c r="L82" i="6"/>
  <c r="K82" i="6"/>
  <c r="J82" i="6"/>
  <c r="I82" i="6"/>
  <c r="T82" i="6" s="1"/>
  <c r="AF81" i="6"/>
  <c r="AE81" i="6"/>
  <c r="AD81" i="6"/>
  <c r="AC81" i="6"/>
  <c r="AB81" i="6"/>
  <c r="AA81" i="6"/>
  <c r="Z81" i="6"/>
  <c r="Y81" i="6"/>
  <c r="X81" i="6"/>
  <c r="S81" i="6"/>
  <c r="Q81" i="6"/>
  <c r="R81" i="6" s="1"/>
  <c r="P81" i="6"/>
  <c r="O81" i="6"/>
  <c r="N81" i="6"/>
  <c r="M81" i="6"/>
  <c r="L81" i="6"/>
  <c r="K81" i="6"/>
  <c r="J81" i="6"/>
  <c r="I81" i="6"/>
  <c r="T81" i="6" s="1"/>
  <c r="AF80" i="6"/>
  <c r="AE80" i="6"/>
  <c r="AD80" i="6"/>
  <c r="AC80" i="6"/>
  <c r="AB80" i="6"/>
  <c r="AA80" i="6"/>
  <c r="Z80" i="6"/>
  <c r="Y80" i="6"/>
  <c r="X80" i="6"/>
  <c r="Q80" i="6"/>
  <c r="N80" i="6"/>
  <c r="O80" i="6" s="1"/>
  <c r="M80" i="6"/>
  <c r="P80" i="6" s="1"/>
  <c r="L80" i="6"/>
  <c r="T80" i="6" s="1"/>
  <c r="K80" i="6"/>
  <c r="J80" i="6"/>
  <c r="I80" i="6"/>
  <c r="AF79" i="6"/>
  <c r="AE79" i="6"/>
  <c r="AD79" i="6"/>
  <c r="AC79" i="6"/>
  <c r="AB79" i="6"/>
  <c r="AA79" i="6"/>
  <c r="Z79" i="6"/>
  <c r="Y79" i="6"/>
  <c r="X79" i="6"/>
  <c r="Q79" i="6"/>
  <c r="S79" i="6" s="1"/>
  <c r="N79" i="6"/>
  <c r="O79" i="6" s="1"/>
  <c r="M79" i="6"/>
  <c r="P79" i="6" s="1"/>
  <c r="L79" i="6"/>
  <c r="K79" i="6"/>
  <c r="J79" i="6"/>
  <c r="I79" i="6"/>
  <c r="AF78" i="6"/>
  <c r="AE78" i="6"/>
  <c r="AD78" i="6"/>
  <c r="AC78" i="6"/>
  <c r="AA78" i="6"/>
  <c r="AB78" i="6" s="1"/>
  <c r="Z78" i="6"/>
  <c r="Y78" i="6"/>
  <c r="X78" i="6"/>
  <c r="Q78" i="6"/>
  <c r="S78" i="6" s="1"/>
  <c r="N78" i="6"/>
  <c r="O78" i="6" s="1"/>
  <c r="M78" i="6"/>
  <c r="P78" i="6" s="1"/>
  <c r="L78" i="6"/>
  <c r="K78" i="6"/>
  <c r="J78" i="6"/>
  <c r="I78" i="6"/>
  <c r="AF77" i="6"/>
  <c r="AE77" i="6"/>
  <c r="AD77" i="6"/>
  <c r="AC77" i="6"/>
  <c r="AA77" i="6"/>
  <c r="AB77" i="6" s="1"/>
  <c r="Z77" i="6"/>
  <c r="Y77" i="6"/>
  <c r="X77" i="6"/>
  <c r="R77" i="6"/>
  <c r="Q77" i="6"/>
  <c r="S77" i="6" s="1"/>
  <c r="N77" i="6"/>
  <c r="O77" i="6" s="1"/>
  <c r="M77" i="6"/>
  <c r="P77" i="6" s="1"/>
  <c r="L77" i="6"/>
  <c r="K77" i="6"/>
  <c r="J77" i="6"/>
  <c r="T77" i="6" s="1"/>
  <c r="I77" i="6"/>
  <c r="AF76" i="6"/>
  <c r="AE76" i="6"/>
  <c r="AD76" i="6"/>
  <c r="AC76" i="6"/>
  <c r="AB76" i="6"/>
  <c r="AA76" i="6"/>
  <c r="Z76" i="6"/>
  <c r="Y76" i="6"/>
  <c r="X76" i="6"/>
  <c r="Q76" i="6"/>
  <c r="S76" i="6" s="1"/>
  <c r="P76" i="6"/>
  <c r="O76" i="6"/>
  <c r="N76" i="6"/>
  <c r="M76" i="6"/>
  <c r="L76" i="6"/>
  <c r="K76" i="6"/>
  <c r="J76" i="6"/>
  <c r="T76" i="6" s="1"/>
  <c r="I76" i="6"/>
  <c r="AF75" i="6"/>
  <c r="AE75" i="6"/>
  <c r="AD75" i="6"/>
  <c r="AC75" i="6"/>
  <c r="AB75" i="6"/>
  <c r="AA75" i="6"/>
  <c r="Z75" i="6"/>
  <c r="Y75" i="6"/>
  <c r="X75" i="6"/>
  <c r="Q75" i="6"/>
  <c r="S75" i="6" s="1"/>
  <c r="P75" i="6"/>
  <c r="O75" i="6"/>
  <c r="N75" i="6"/>
  <c r="M75" i="6"/>
  <c r="L75" i="6"/>
  <c r="K75" i="6"/>
  <c r="J75" i="6"/>
  <c r="T75" i="6" s="1"/>
  <c r="I75" i="6"/>
  <c r="AF74" i="6"/>
  <c r="AE74" i="6"/>
  <c r="AD74" i="6"/>
  <c r="AC74" i="6"/>
  <c r="AA74" i="6"/>
  <c r="Z74" i="6"/>
  <c r="AB74" i="6" s="1"/>
  <c r="Y74" i="6"/>
  <c r="X74" i="6"/>
  <c r="Q74" i="6"/>
  <c r="S74" i="6" s="1"/>
  <c r="P74" i="6"/>
  <c r="N74" i="6"/>
  <c r="O74" i="6" s="1"/>
  <c r="M74" i="6"/>
  <c r="L74" i="6"/>
  <c r="K74" i="6"/>
  <c r="J74" i="6"/>
  <c r="I74" i="6"/>
  <c r="T74" i="6" s="1"/>
  <c r="AF73" i="6"/>
  <c r="AE73" i="6"/>
  <c r="AD73" i="6"/>
  <c r="AC73" i="6"/>
  <c r="AA73" i="6"/>
  <c r="Z73" i="6"/>
  <c r="Y73" i="6"/>
  <c r="X73" i="6"/>
  <c r="Q73" i="6"/>
  <c r="S73" i="6" s="1"/>
  <c r="N73" i="6"/>
  <c r="O73" i="6" s="1"/>
  <c r="M73" i="6"/>
  <c r="P73" i="6" s="1"/>
  <c r="L73" i="6"/>
  <c r="K73" i="6"/>
  <c r="T73" i="6" s="1"/>
  <c r="J73" i="6"/>
  <c r="I73" i="6"/>
  <c r="AF72" i="6"/>
  <c r="AE72" i="6"/>
  <c r="AD72" i="6"/>
  <c r="AC72" i="6"/>
  <c r="AA72" i="6"/>
  <c r="AB72" i="6" s="1"/>
  <c r="Z72" i="6"/>
  <c r="Y72" i="6"/>
  <c r="X72" i="6"/>
  <c r="S72" i="6"/>
  <c r="R72" i="6"/>
  <c r="Q72" i="6"/>
  <c r="N72" i="6"/>
  <c r="O72" i="6" s="1"/>
  <c r="M72" i="6"/>
  <c r="P72" i="6" s="1"/>
  <c r="L72" i="6"/>
  <c r="K72" i="6"/>
  <c r="J72" i="6"/>
  <c r="I72" i="6"/>
  <c r="T72" i="6" s="1"/>
  <c r="AF71" i="6"/>
  <c r="AE71" i="6"/>
  <c r="AD71" i="6"/>
  <c r="AC71" i="6"/>
  <c r="AA71" i="6"/>
  <c r="AB71" i="6" s="1"/>
  <c r="Z71" i="6"/>
  <c r="Y71" i="6"/>
  <c r="X71" i="6"/>
  <c r="S71" i="6"/>
  <c r="Q71" i="6"/>
  <c r="R71" i="6" s="1"/>
  <c r="N71" i="6"/>
  <c r="O71" i="6" s="1"/>
  <c r="M71" i="6"/>
  <c r="P71" i="6" s="1"/>
  <c r="L71" i="6"/>
  <c r="K71" i="6"/>
  <c r="J71" i="6"/>
  <c r="I71" i="6"/>
  <c r="T71" i="6" s="1"/>
  <c r="AF70" i="6"/>
  <c r="AE70" i="6"/>
  <c r="AD70" i="6"/>
  <c r="AC70" i="6"/>
  <c r="AA70" i="6"/>
  <c r="AB70" i="6" s="1"/>
  <c r="Z70" i="6"/>
  <c r="Y70" i="6"/>
  <c r="X70" i="6"/>
  <c r="Q70" i="6"/>
  <c r="N70" i="6"/>
  <c r="O70" i="6" s="1"/>
  <c r="M70" i="6"/>
  <c r="P70" i="6" s="1"/>
  <c r="L70" i="6"/>
  <c r="K70" i="6"/>
  <c r="J70" i="6"/>
  <c r="T70" i="6" s="1"/>
  <c r="I70" i="6"/>
  <c r="AF69" i="6"/>
  <c r="AE69" i="6"/>
  <c r="AD69" i="6"/>
  <c r="AC69" i="6"/>
  <c r="AA69" i="6"/>
  <c r="Z69" i="6"/>
  <c r="AB69" i="6" s="1"/>
  <c r="Y69" i="6"/>
  <c r="X69" i="6"/>
  <c r="Q69" i="6"/>
  <c r="S69" i="6" s="1"/>
  <c r="N69" i="6"/>
  <c r="O69" i="6" s="1"/>
  <c r="M69" i="6"/>
  <c r="P69" i="6" s="1"/>
  <c r="L69" i="6"/>
  <c r="K69" i="6"/>
  <c r="J69" i="6"/>
  <c r="I69" i="6"/>
  <c r="AF68" i="6"/>
  <c r="AE68" i="6"/>
  <c r="AD68" i="6"/>
  <c r="AC68" i="6"/>
  <c r="AA68" i="6"/>
  <c r="Z68" i="6"/>
  <c r="AB68" i="6" s="1"/>
  <c r="Y68" i="6"/>
  <c r="X68" i="6"/>
  <c r="S68" i="6"/>
  <c r="Q68" i="6"/>
  <c r="R68" i="6" s="1"/>
  <c r="N68" i="6"/>
  <c r="O68" i="6" s="1"/>
  <c r="M68" i="6"/>
  <c r="P68" i="6" s="1"/>
  <c r="L68" i="6"/>
  <c r="K68" i="6"/>
  <c r="J68" i="6"/>
  <c r="I68" i="6"/>
  <c r="AF67" i="6"/>
  <c r="AE67" i="6"/>
  <c r="AD67" i="6"/>
  <c r="AC67" i="6"/>
  <c r="AA67" i="6"/>
  <c r="Z67" i="6"/>
  <c r="AB67" i="6" s="1"/>
  <c r="Y67" i="6"/>
  <c r="X67" i="6"/>
  <c r="Q67" i="6"/>
  <c r="S67" i="6" s="1"/>
  <c r="N67" i="6"/>
  <c r="O67" i="6" s="1"/>
  <c r="M67" i="6"/>
  <c r="P67" i="6" s="1"/>
  <c r="L67" i="6"/>
  <c r="K67" i="6"/>
  <c r="J67" i="6"/>
  <c r="T67" i="6" s="1"/>
  <c r="I67" i="6"/>
  <c r="AS66" i="6" a="1"/>
  <c r="AS66" i="6" s="1"/>
  <c r="AF66" i="6"/>
  <c r="AE66" i="6"/>
  <c r="AD66" i="6"/>
  <c r="AC66" i="6"/>
  <c r="AA66" i="6"/>
  <c r="Z66" i="6"/>
  <c r="AB66" i="6" s="1"/>
  <c r="Y66" i="6"/>
  <c r="X66" i="6"/>
  <c r="S66" i="6"/>
  <c r="Q66" i="6"/>
  <c r="R66" i="6" s="1"/>
  <c r="N66" i="6"/>
  <c r="O66" i="6" s="1"/>
  <c r="M66" i="6"/>
  <c r="P66" i="6" s="1"/>
  <c r="L66" i="6"/>
  <c r="K66" i="6"/>
  <c r="J66" i="6"/>
  <c r="I66" i="6"/>
  <c r="T66" i="6" s="1"/>
  <c r="AF65" i="6"/>
  <c r="AE65" i="6"/>
  <c r="AD65" i="6"/>
  <c r="AC65" i="6"/>
  <c r="AA65" i="6"/>
  <c r="Z65" i="6"/>
  <c r="AB65" i="6" s="1"/>
  <c r="Y65" i="6"/>
  <c r="X65" i="6"/>
  <c r="R65" i="6"/>
  <c r="Q65" i="6"/>
  <c r="S65" i="6" s="1"/>
  <c r="N65" i="6"/>
  <c r="O65" i="6" s="1"/>
  <c r="M65" i="6"/>
  <c r="L65" i="6"/>
  <c r="K65" i="6"/>
  <c r="J65" i="6"/>
  <c r="T65" i="6" s="1"/>
  <c r="I65" i="6"/>
  <c r="AF64" i="6"/>
  <c r="AE64" i="6"/>
  <c r="AD64" i="6"/>
  <c r="AC64" i="6"/>
  <c r="AA64" i="6"/>
  <c r="Z64" i="6"/>
  <c r="AB64" i="6" s="1"/>
  <c r="Y64" i="6"/>
  <c r="X64" i="6"/>
  <c r="S64" i="6"/>
  <c r="R64" i="6"/>
  <c r="Q64" i="6"/>
  <c r="N64" i="6"/>
  <c r="O64" i="6" s="1"/>
  <c r="M64" i="6"/>
  <c r="L64" i="6"/>
  <c r="K64" i="6"/>
  <c r="J64" i="6"/>
  <c r="T64" i="6" s="1"/>
  <c r="I64" i="6"/>
  <c r="AF63" i="6"/>
  <c r="AE63" i="6"/>
  <c r="AD63" i="6"/>
  <c r="AC63" i="6"/>
  <c r="AA63" i="6"/>
  <c r="Z63" i="6"/>
  <c r="AB63" i="6" s="1"/>
  <c r="Y63" i="6"/>
  <c r="X63" i="6"/>
  <c r="S63" i="6"/>
  <c r="Q63" i="6"/>
  <c r="R63" i="6" s="1"/>
  <c r="N63" i="6"/>
  <c r="O63" i="6" s="1"/>
  <c r="M63" i="6"/>
  <c r="L63" i="6"/>
  <c r="K63" i="6"/>
  <c r="J63" i="6"/>
  <c r="T63" i="6" s="1"/>
  <c r="I63" i="6"/>
  <c r="P63" i="6" s="1"/>
  <c r="AF62" i="6"/>
  <c r="AE62" i="6"/>
  <c r="AD62" i="6"/>
  <c r="AC62" i="6"/>
  <c r="AA62" i="6"/>
  <c r="Z62" i="6"/>
  <c r="AB62" i="6" s="1"/>
  <c r="Y62" i="6"/>
  <c r="X62" i="6"/>
  <c r="Q62" i="6"/>
  <c r="S62" i="6" s="1"/>
  <c r="P62" i="6"/>
  <c r="N62" i="6"/>
  <c r="O62" i="6" s="1"/>
  <c r="M62" i="6"/>
  <c r="L62" i="6"/>
  <c r="K62" i="6"/>
  <c r="J62" i="6"/>
  <c r="T62" i="6" s="1"/>
  <c r="I62" i="6"/>
  <c r="AF61" i="6"/>
  <c r="AE61" i="6"/>
  <c r="AD61" i="6"/>
  <c r="AC61" i="6"/>
  <c r="AA61" i="6"/>
  <c r="Z61" i="6"/>
  <c r="AB61" i="6" s="1"/>
  <c r="Y61" i="6"/>
  <c r="X61" i="6"/>
  <c r="S61" i="6"/>
  <c r="Q61" i="6"/>
  <c r="R61" i="6" s="1"/>
  <c r="N61" i="6"/>
  <c r="O61" i="6" s="1"/>
  <c r="M61" i="6"/>
  <c r="L61" i="6"/>
  <c r="K61" i="6"/>
  <c r="J61" i="6"/>
  <c r="I61" i="6"/>
  <c r="P61" i="6" s="1"/>
  <c r="AF60" i="6"/>
  <c r="AE60" i="6"/>
  <c r="AD60" i="6"/>
  <c r="AC60" i="6"/>
  <c r="AA60" i="6"/>
  <c r="Z60" i="6"/>
  <c r="AB60" i="6" s="1"/>
  <c r="Y60" i="6"/>
  <c r="X60" i="6"/>
  <c r="Q60" i="6"/>
  <c r="S60" i="6" s="1"/>
  <c r="N60" i="6"/>
  <c r="O60" i="6" s="1"/>
  <c r="M60" i="6"/>
  <c r="P60" i="6" s="1"/>
  <c r="L60" i="6"/>
  <c r="K60" i="6"/>
  <c r="J60" i="6"/>
  <c r="T60" i="6" s="1"/>
  <c r="I60" i="6"/>
  <c r="AF59" i="6"/>
  <c r="AE59" i="6"/>
  <c r="AD59" i="6"/>
  <c r="AC59" i="6"/>
  <c r="AA59" i="6"/>
  <c r="Z59" i="6"/>
  <c r="AB59" i="6" s="1"/>
  <c r="Y59" i="6"/>
  <c r="X59" i="6"/>
  <c r="R59" i="6"/>
  <c r="Q59" i="6"/>
  <c r="S59" i="6" s="1"/>
  <c r="N59" i="6"/>
  <c r="O59" i="6" s="1"/>
  <c r="M59" i="6"/>
  <c r="P59" i="6" s="1"/>
  <c r="L59" i="6"/>
  <c r="K59" i="6"/>
  <c r="J59" i="6"/>
  <c r="T59" i="6" s="1"/>
  <c r="I59" i="6"/>
  <c r="AF58" i="6"/>
  <c r="AE58" i="6"/>
  <c r="AD58" i="6"/>
  <c r="AC58" i="6"/>
  <c r="AA58" i="6"/>
  <c r="AB58" i="6" s="1"/>
  <c r="Z58" i="6"/>
  <c r="Y58" i="6"/>
  <c r="X58" i="6"/>
  <c r="S58" i="6"/>
  <c r="Q58" i="6"/>
  <c r="R58" i="6" s="1"/>
  <c r="N58" i="6"/>
  <c r="O58" i="6" s="1"/>
  <c r="M58" i="6"/>
  <c r="L58" i="6"/>
  <c r="K58" i="6"/>
  <c r="J58" i="6"/>
  <c r="T58" i="6" s="1"/>
  <c r="I58" i="6"/>
  <c r="P58" i="6" s="1"/>
  <c r="AF57" i="6"/>
  <c r="AE57" i="6"/>
  <c r="AD57" i="6"/>
  <c r="AC57" i="6"/>
  <c r="AB57" i="6"/>
  <c r="AA57" i="6"/>
  <c r="Z57" i="6"/>
  <c r="Y57" i="6"/>
  <c r="X57" i="6"/>
  <c r="Q57" i="6"/>
  <c r="S57" i="6" s="1"/>
  <c r="P57" i="6"/>
  <c r="O57" i="6"/>
  <c r="N57" i="6"/>
  <c r="M57" i="6"/>
  <c r="L57" i="6"/>
  <c r="K57" i="6"/>
  <c r="J57" i="6"/>
  <c r="T57" i="6" s="1"/>
  <c r="I57" i="6"/>
  <c r="AF56" i="6"/>
  <c r="AE56" i="6"/>
  <c r="AD56" i="6"/>
  <c r="AC56" i="6"/>
  <c r="AA56" i="6"/>
  <c r="Z56" i="6"/>
  <c r="Y56" i="6"/>
  <c r="X56" i="6"/>
  <c r="Q56" i="6"/>
  <c r="S56" i="6" s="1"/>
  <c r="P56" i="6"/>
  <c r="N56" i="6"/>
  <c r="O56" i="6" s="1"/>
  <c r="M56" i="6"/>
  <c r="L56" i="6"/>
  <c r="K56" i="6"/>
  <c r="J56" i="6"/>
  <c r="I56" i="6"/>
  <c r="T56" i="6" s="1"/>
  <c r="AF55" i="6"/>
  <c r="AE55" i="6"/>
  <c r="AD55" i="6"/>
  <c r="AC55" i="6"/>
  <c r="AB55" i="6"/>
  <c r="AA55" i="6"/>
  <c r="Z55" i="6"/>
  <c r="Y55" i="6"/>
  <c r="X55" i="6"/>
  <c r="Q55" i="6"/>
  <c r="S55" i="6" s="1"/>
  <c r="N55" i="6"/>
  <c r="O55" i="6" s="1"/>
  <c r="M55" i="6"/>
  <c r="P55" i="6" s="1"/>
  <c r="L55" i="6"/>
  <c r="K55" i="6"/>
  <c r="J55" i="6"/>
  <c r="I55" i="6"/>
  <c r="T55" i="6" s="1"/>
  <c r="AF54" i="6"/>
  <c r="AE54" i="6"/>
  <c r="AD54" i="6"/>
  <c r="AC54" i="6"/>
  <c r="AB54" i="6"/>
  <c r="AA54" i="6"/>
  <c r="Z54" i="6"/>
  <c r="Y54" i="6"/>
  <c r="X54" i="6"/>
  <c r="S54" i="6"/>
  <c r="R54" i="6"/>
  <c r="Q54" i="6"/>
  <c r="P54" i="6"/>
  <c r="O54" i="6"/>
  <c r="N54" i="6"/>
  <c r="M54" i="6"/>
  <c r="L54" i="6"/>
  <c r="K54" i="6"/>
  <c r="J54" i="6"/>
  <c r="T54" i="6" s="1"/>
  <c r="I54" i="6"/>
  <c r="AF53" i="6"/>
  <c r="AE53" i="6"/>
  <c r="AD53" i="6"/>
  <c r="AC53" i="6"/>
  <c r="AB53" i="6"/>
  <c r="AA53" i="6"/>
  <c r="Z53" i="6"/>
  <c r="Y53" i="6"/>
  <c r="X53" i="6"/>
  <c r="Q53" i="6"/>
  <c r="R53" i="6" s="1"/>
  <c r="P53" i="6"/>
  <c r="O53" i="6"/>
  <c r="N53" i="6"/>
  <c r="M53" i="6"/>
  <c r="L53" i="6"/>
  <c r="K53" i="6"/>
  <c r="J53" i="6"/>
  <c r="T53" i="6" s="1"/>
  <c r="I53" i="6"/>
  <c r="AF52" i="6"/>
  <c r="AE52" i="6"/>
  <c r="AD52" i="6"/>
  <c r="AC52" i="6"/>
  <c r="AB52" i="6"/>
  <c r="AA52" i="6"/>
  <c r="Z52" i="6"/>
  <c r="Y52" i="6"/>
  <c r="X52" i="6"/>
  <c r="Q52" i="6"/>
  <c r="S52" i="6" s="1"/>
  <c r="P52" i="6"/>
  <c r="O52" i="6"/>
  <c r="N52" i="6"/>
  <c r="M52" i="6"/>
  <c r="L52" i="6"/>
  <c r="K52" i="6"/>
  <c r="J52" i="6"/>
  <c r="T52" i="6" s="1"/>
  <c r="I52" i="6"/>
  <c r="AF51" i="6"/>
  <c r="AE51" i="6"/>
  <c r="AD51" i="6"/>
  <c r="AC51" i="6"/>
  <c r="AB51" i="6"/>
  <c r="AA51" i="6"/>
  <c r="Z51" i="6"/>
  <c r="Y51" i="6"/>
  <c r="X51" i="6"/>
  <c r="Q51" i="6"/>
  <c r="S51" i="6" s="1"/>
  <c r="P51" i="6"/>
  <c r="O51" i="6"/>
  <c r="N51" i="6"/>
  <c r="M51" i="6"/>
  <c r="L51" i="6"/>
  <c r="K51" i="6"/>
  <c r="J51" i="6"/>
  <c r="I51" i="6"/>
  <c r="AF50" i="6"/>
  <c r="AE50" i="6"/>
  <c r="AD50" i="6"/>
  <c r="AC50" i="6"/>
  <c r="AB50" i="6"/>
  <c r="AA50" i="6"/>
  <c r="Z50" i="6"/>
  <c r="Y50" i="6"/>
  <c r="X50" i="6"/>
  <c r="Q50" i="6"/>
  <c r="S50" i="6" s="1"/>
  <c r="P50" i="6"/>
  <c r="O50" i="6"/>
  <c r="N50" i="6"/>
  <c r="M50" i="6"/>
  <c r="L50" i="6"/>
  <c r="K50" i="6"/>
  <c r="J50" i="6"/>
  <c r="T50" i="6" s="1"/>
  <c r="I50" i="6"/>
  <c r="AS49" i="6" a="1"/>
  <c r="AS49" i="6" s="1"/>
  <c r="AF49" i="6"/>
  <c r="AE49" i="6"/>
  <c r="AD49" i="6"/>
  <c r="AC49" i="6"/>
  <c r="AA49" i="6"/>
  <c r="Z49" i="6"/>
  <c r="AB49" i="6" s="1"/>
  <c r="Y49" i="6"/>
  <c r="X49" i="6"/>
  <c r="S49" i="6"/>
  <c r="R49" i="6"/>
  <c r="Q49" i="6"/>
  <c r="O49" i="6"/>
  <c r="N49" i="6"/>
  <c r="M49" i="6"/>
  <c r="P49" i="6" s="1"/>
  <c r="L49" i="6"/>
  <c r="K49" i="6"/>
  <c r="J49" i="6"/>
  <c r="T49" i="6" s="1"/>
  <c r="I49" i="6"/>
  <c r="AF48" i="6"/>
  <c r="AE48" i="6"/>
  <c r="AD48" i="6"/>
  <c r="AC48" i="6"/>
  <c r="AA48" i="6"/>
  <c r="Z48" i="6"/>
  <c r="Y48" i="6"/>
  <c r="X48" i="6"/>
  <c r="S48" i="6"/>
  <c r="R48" i="6"/>
  <c r="Q48" i="6"/>
  <c r="N48" i="6"/>
  <c r="O48" i="6" s="1"/>
  <c r="M48" i="6"/>
  <c r="P48" i="6" s="1"/>
  <c r="L48" i="6"/>
  <c r="K48" i="6"/>
  <c r="J48" i="6"/>
  <c r="I48" i="6"/>
  <c r="T48" i="6" s="1"/>
  <c r="AF47" i="6"/>
  <c r="AE47" i="6"/>
  <c r="AD47" i="6"/>
  <c r="AC47" i="6"/>
  <c r="AA47" i="6"/>
  <c r="Z47" i="6"/>
  <c r="AB47" i="6" s="1"/>
  <c r="Y47" i="6"/>
  <c r="X47" i="6"/>
  <c r="S47" i="6"/>
  <c r="R47" i="6"/>
  <c r="Q47" i="6"/>
  <c r="N47" i="6"/>
  <c r="O47" i="6" s="1"/>
  <c r="M47" i="6"/>
  <c r="P47" i="6" s="1"/>
  <c r="L47" i="6"/>
  <c r="K47" i="6"/>
  <c r="J47" i="6"/>
  <c r="T47" i="6" s="1"/>
  <c r="I47" i="6"/>
  <c r="AF46" i="6"/>
  <c r="AE46" i="6"/>
  <c r="AD46" i="6"/>
  <c r="AC46" i="6"/>
  <c r="AB46" i="6"/>
  <c r="AA46" i="6"/>
  <c r="Z46" i="6"/>
  <c r="Y46" i="6"/>
  <c r="X46" i="6"/>
  <c r="S46" i="6"/>
  <c r="R46" i="6"/>
  <c r="Q46" i="6"/>
  <c r="O46" i="6"/>
  <c r="N46" i="6"/>
  <c r="M46" i="6"/>
  <c r="P46" i="6" s="1"/>
  <c r="L46" i="6"/>
  <c r="K46" i="6"/>
  <c r="J46" i="6"/>
  <c r="T46" i="6" s="1"/>
  <c r="I46" i="6"/>
  <c r="AF45" i="6"/>
  <c r="AE45" i="6"/>
  <c r="AD45" i="6"/>
  <c r="AC45" i="6"/>
  <c r="AA45" i="6"/>
  <c r="Z45" i="6"/>
  <c r="AB45" i="6" s="1"/>
  <c r="Y45" i="6"/>
  <c r="X45" i="6"/>
  <c r="S45" i="6"/>
  <c r="Q45" i="6"/>
  <c r="R45" i="6" s="1"/>
  <c r="N45" i="6"/>
  <c r="O45" i="6" s="1"/>
  <c r="M45" i="6"/>
  <c r="L45" i="6"/>
  <c r="K45" i="6"/>
  <c r="J45" i="6"/>
  <c r="T45" i="6" s="1"/>
  <c r="I45" i="6"/>
  <c r="P45" i="6" s="1"/>
  <c r="AF44" i="6"/>
  <c r="AE44" i="6"/>
  <c r="AD44" i="6"/>
  <c r="AC44" i="6"/>
  <c r="AA44" i="6"/>
  <c r="Z44" i="6"/>
  <c r="AB44" i="6" s="1"/>
  <c r="Y44" i="6"/>
  <c r="X44" i="6"/>
  <c r="Q44" i="6"/>
  <c r="S44" i="6" s="1"/>
  <c r="N44" i="6"/>
  <c r="O44" i="6" s="1"/>
  <c r="M44" i="6"/>
  <c r="P44" i="6" s="1"/>
  <c r="L44" i="6"/>
  <c r="K44" i="6"/>
  <c r="J44" i="6"/>
  <c r="T44" i="6" s="1"/>
  <c r="I44" i="6"/>
  <c r="AF43" i="6"/>
  <c r="AE43" i="6"/>
  <c r="AD43" i="6"/>
  <c r="AC43" i="6"/>
  <c r="AA43" i="6"/>
  <c r="Z43" i="6"/>
  <c r="AB43" i="6" s="1"/>
  <c r="Y43" i="6"/>
  <c r="X43" i="6"/>
  <c r="R43" i="6"/>
  <c r="Q43" i="6"/>
  <c r="S43" i="6" s="1"/>
  <c r="N43" i="6"/>
  <c r="O43" i="6" s="1"/>
  <c r="M43" i="6"/>
  <c r="P43" i="6" s="1"/>
  <c r="L43" i="6"/>
  <c r="K43" i="6"/>
  <c r="J43" i="6"/>
  <c r="T43" i="6" s="1"/>
  <c r="I43" i="6"/>
  <c r="AF42" i="6"/>
  <c r="AE42" i="6"/>
  <c r="AD42" i="6"/>
  <c r="AC42" i="6"/>
  <c r="AA42" i="6"/>
  <c r="AB42" i="6" s="1"/>
  <c r="Z42" i="6"/>
  <c r="Y42" i="6"/>
  <c r="X42" i="6"/>
  <c r="S42" i="6"/>
  <c r="Q42" i="6"/>
  <c r="R42" i="6" s="1"/>
  <c r="N42" i="6"/>
  <c r="O42" i="6" s="1"/>
  <c r="M42" i="6"/>
  <c r="P42" i="6" s="1"/>
  <c r="L42" i="6"/>
  <c r="K42" i="6"/>
  <c r="J42" i="6"/>
  <c r="T42" i="6" s="1"/>
  <c r="I42" i="6"/>
  <c r="AF41" i="6"/>
  <c r="AE41" i="6"/>
  <c r="AD41" i="6"/>
  <c r="AC41" i="6"/>
  <c r="AB41" i="6"/>
  <c r="AA41" i="6"/>
  <c r="Z41" i="6"/>
  <c r="Y41" i="6"/>
  <c r="X41" i="6"/>
  <c r="Q41" i="6"/>
  <c r="S41" i="6" s="1"/>
  <c r="P41" i="6"/>
  <c r="O41" i="6"/>
  <c r="N41" i="6"/>
  <c r="M41" i="6"/>
  <c r="L41" i="6"/>
  <c r="K41" i="6"/>
  <c r="J41" i="6"/>
  <c r="T41" i="6" s="1"/>
  <c r="I41" i="6"/>
  <c r="AF40" i="6"/>
  <c r="AE40" i="6"/>
  <c r="AD40" i="6"/>
  <c r="AC40" i="6"/>
  <c r="AB40" i="6"/>
  <c r="AA40" i="6"/>
  <c r="Z40" i="6"/>
  <c r="Y40" i="6"/>
  <c r="X40" i="6"/>
  <c r="Q40" i="6"/>
  <c r="S40" i="6" s="1"/>
  <c r="P40" i="6"/>
  <c r="O40" i="6"/>
  <c r="N40" i="6"/>
  <c r="M40" i="6"/>
  <c r="L40" i="6"/>
  <c r="K40" i="6"/>
  <c r="J40" i="6"/>
  <c r="T40" i="6" s="1"/>
  <c r="I40" i="6"/>
  <c r="AF39" i="6"/>
  <c r="AE39" i="6"/>
  <c r="AD39" i="6"/>
  <c r="AC39" i="6"/>
  <c r="AB39" i="6"/>
  <c r="AA39" i="6"/>
  <c r="Z39" i="6"/>
  <c r="Y39" i="6"/>
  <c r="X39" i="6"/>
  <c r="Q39" i="6"/>
  <c r="S39" i="6" s="1"/>
  <c r="P39" i="6"/>
  <c r="O39" i="6"/>
  <c r="N39" i="6"/>
  <c r="M39" i="6"/>
  <c r="L39" i="6"/>
  <c r="K39" i="6"/>
  <c r="J39" i="6"/>
  <c r="T39" i="6" s="1"/>
  <c r="I39" i="6"/>
  <c r="AF38" i="6"/>
  <c r="AE38" i="6"/>
  <c r="AD38" i="6"/>
  <c r="AC38" i="6"/>
  <c r="AA38" i="6"/>
  <c r="Z38" i="6"/>
  <c r="AB38" i="6" s="1"/>
  <c r="Y38" i="6"/>
  <c r="X38" i="6"/>
  <c r="S38" i="6"/>
  <c r="R38" i="6"/>
  <c r="Q38" i="6"/>
  <c r="N38" i="6"/>
  <c r="O38" i="6" s="1"/>
  <c r="M38" i="6"/>
  <c r="P38" i="6" s="1"/>
  <c r="L38" i="6"/>
  <c r="K38" i="6"/>
  <c r="J38" i="6"/>
  <c r="T38" i="6" s="1"/>
  <c r="I38" i="6"/>
  <c r="AF37" i="6"/>
  <c r="AE37" i="6"/>
  <c r="AD37" i="6"/>
  <c r="AC37" i="6"/>
  <c r="AA37" i="6"/>
  <c r="Z37" i="6"/>
  <c r="AB37" i="6" s="1"/>
  <c r="Y37" i="6"/>
  <c r="X37" i="6"/>
  <c r="S37" i="6"/>
  <c r="R37" i="6"/>
  <c r="Q37" i="6"/>
  <c r="N37" i="6"/>
  <c r="O37" i="6" s="1"/>
  <c r="M37" i="6"/>
  <c r="P37" i="6" s="1"/>
  <c r="L37" i="6"/>
  <c r="K37" i="6"/>
  <c r="J37" i="6"/>
  <c r="T37" i="6" s="1"/>
  <c r="I37" i="6"/>
  <c r="AF36" i="6"/>
  <c r="AE36" i="6"/>
  <c r="AD36" i="6"/>
  <c r="AC36" i="6"/>
  <c r="AB36" i="6"/>
  <c r="AA36" i="6"/>
  <c r="Z36" i="6"/>
  <c r="Y36" i="6"/>
  <c r="X36" i="6"/>
  <c r="S36" i="6"/>
  <c r="R36" i="6"/>
  <c r="Q36" i="6"/>
  <c r="O36" i="6"/>
  <c r="N36" i="6"/>
  <c r="M36" i="6"/>
  <c r="P36" i="6" s="1"/>
  <c r="L36" i="6"/>
  <c r="K36" i="6"/>
  <c r="J36" i="6"/>
  <c r="T36" i="6" s="1"/>
  <c r="I36" i="6"/>
  <c r="AF35" i="6"/>
  <c r="AE35" i="6"/>
  <c r="AD35" i="6"/>
  <c r="AC35" i="6"/>
  <c r="AA35" i="6"/>
  <c r="Z35" i="6"/>
  <c r="AB35" i="6" s="1"/>
  <c r="Y35" i="6"/>
  <c r="X35" i="6"/>
  <c r="S35" i="6"/>
  <c r="Q35" i="6"/>
  <c r="R35" i="6" s="1"/>
  <c r="P35" i="6"/>
  <c r="O35" i="6"/>
  <c r="N35" i="6"/>
  <c r="M35" i="6"/>
  <c r="L35" i="6"/>
  <c r="K35" i="6"/>
  <c r="J35" i="6"/>
  <c r="T35" i="6" s="1"/>
  <c r="I35" i="6"/>
  <c r="AS34" i="6" a="1"/>
  <c r="AS34" i="6" s="1"/>
  <c r="AF34" i="6"/>
  <c r="AE34" i="6"/>
  <c r="AD34" i="6"/>
  <c r="AC34" i="6"/>
  <c r="AA34" i="6"/>
  <c r="AB34" i="6" s="1"/>
  <c r="Z34" i="6"/>
  <c r="Y34" i="6"/>
  <c r="X34" i="6"/>
  <c r="S34" i="6"/>
  <c r="R34" i="6"/>
  <c r="Q34" i="6"/>
  <c r="N34" i="6"/>
  <c r="O34" i="6" s="1"/>
  <c r="M34" i="6"/>
  <c r="P34" i="6" s="1"/>
  <c r="L34" i="6"/>
  <c r="K34" i="6"/>
  <c r="J34" i="6"/>
  <c r="T34" i="6" s="1"/>
  <c r="I34" i="6"/>
  <c r="AF33" i="6"/>
  <c r="AE33" i="6"/>
  <c r="AD33" i="6"/>
  <c r="AC33" i="6"/>
  <c r="AB33" i="6"/>
  <c r="AA33" i="6"/>
  <c r="Z33" i="6"/>
  <c r="Y33" i="6"/>
  <c r="X33" i="6"/>
  <c r="Q33" i="6"/>
  <c r="S33" i="6" s="1"/>
  <c r="P33" i="6"/>
  <c r="O33" i="6"/>
  <c r="N33" i="6"/>
  <c r="M33" i="6"/>
  <c r="L33" i="6"/>
  <c r="K33" i="6"/>
  <c r="J33" i="6"/>
  <c r="T33" i="6" s="1"/>
  <c r="I33" i="6"/>
  <c r="AF32" i="6"/>
  <c r="AE32" i="6"/>
  <c r="AD32" i="6"/>
  <c r="AC32" i="6"/>
  <c r="AB32" i="6"/>
  <c r="AA32" i="6"/>
  <c r="Z32" i="6"/>
  <c r="Y32" i="6"/>
  <c r="X32" i="6"/>
  <c r="Q32" i="6"/>
  <c r="S32" i="6" s="1"/>
  <c r="P32" i="6"/>
  <c r="O32" i="6"/>
  <c r="N32" i="6"/>
  <c r="M32" i="6"/>
  <c r="L32" i="6"/>
  <c r="K32" i="6"/>
  <c r="J32" i="6"/>
  <c r="T32" i="6" s="1"/>
  <c r="I32" i="6"/>
  <c r="AF31" i="6"/>
  <c r="AE31" i="6"/>
  <c r="AD31" i="6"/>
  <c r="AC31" i="6"/>
  <c r="AB31" i="6"/>
  <c r="AA31" i="6"/>
  <c r="Z31" i="6"/>
  <c r="Y31" i="6"/>
  <c r="X31" i="6"/>
  <c r="Q31" i="6"/>
  <c r="P31" i="6"/>
  <c r="O31" i="6"/>
  <c r="N31" i="6"/>
  <c r="M31" i="6"/>
  <c r="L31" i="6"/>
  <c r="K31" i="6"/>
  <c r="J31" i="6"/>
  <c r="T31" i="6" s="1"/>
  <c r="I31" i="6"/>
  <c r="AF30" i="6"/>
  <c r="AE30" i="6"/>
  <c r="AD30" i="6"/>
  <c r="AC30" i="6"/>
  <c r="AA30" i="6"/>
  <c r="Z30" i="6"/>
  <c r="AB30" i="6" s="1"/>
  <c r="Y30" i="6"/>
  <c r="X30" i="6"/>
  <c r="S30" i="6"/>
  <c r="R30" i="6"/>
  <c r="Q30" i="6"/>
  <c r="N30" i="6"/>
  <c r="O30" i="6" s="1"/>
  <c r="M30" i="6"/>
  <c r="P30" i="6" s="1"/>
  <c r="L30" i="6"/>
  <c r="K30" i="6"/>
  <c r="J30" i="6"/>
  <c r="T30" i="6" s="1"/>
  <c r="I30" i="6"/>
  <c r="AF29" i="6"/>
  <c r="AE29" i="6"/>
  <c r="AD29" i="6"/>
  <c r="AC29" i="6"/>
  <c r="AA29" i="6"/>
  <c r="Z29" i="6"/>
  <c r="AB29" i="6" s="1"/>
  <c r="Y29" i="6"/>
  <c r="X29" i="6"/>
  <c r="S29" i="6"/>
  <c r="R29" i="6"/>
  <c r="Q29" i="6"/>
  <c r="N29" i="6"/>
  <c r="O29" i="6" s="1"/>
  <c r="M29" i="6"/>
  <c r="L29" i="6"/>
  <c r="K29" i="6"/>
  <c r="J29" i="6"/>
  <c r="I29" i="6"/>
  <c r="T29" i="6" s="1"/>
  <c r="AF28" i="6"/>
  <c r="AE28" i="6"/>
  <c r="AD28" i="6"/>
  <c r="AC28" i="6"/>
  <c r="AB28" i="6"/>
  <c r="AA28" i="6"/>
  <c r="Z28" i="6"/>
  <c r="Y28" i="6"/>
  <c r="X28" i="6"/>
  <c r="S28" i="6"/>
  <c r="R28" i="6"/>
  <c r="Q28" i="6"/>
  <c r="O28" i="6"/>
  <c r="N28" i="6"/>
  <c r="M28" i="6"/>
  <c r="P28" i="6" s="1"/>
  <c r="L28" i="6"/>
  <c r="K28" i="6"/>
  <c r="J28" i="6"/>
  <c r="T28" i="6" s="1"/>
  <c r="I28" i="6"/>
  <c r="AF27" i="6"/>
  <c r="AE27" i="6"/>
  <c r="AD27" i="6"/>
  <c r="AC27" i="6"/>
  <c r="AA27" i="6"/>
  <c r="Z27" i="6"/>
  <c r="AB27" i="6" s="1"/>
  <c r="Y27" i="6"/>
  <c r="X27" i="6"/>
  <c r="S27" i="6"/>
  <c r="Q27" i="6"/>
  <c r="R27" i="6" s="1"/>
  <c r="P27" i="6"/>
  <c r="O27" i="6"/>
  <c r="N27" i="6"/>
  <c r="M27" i="6"/>
  <c r="L27" i="6"/>
  <c r="K27" i="6"/>
  <c r="J27" i="6"/>
  <c r="I27" i="6"/>
  <c r="AF26" i="6"/>
  <c r="AE26" i="6"/>
  <c r="AD26" i="6"/>
  <c r="AC26" i="6"/>
  <c r="AA26" i="6"/>
  <c r="Z26" i="6"/>
  <c r="AB26" i="6" s="1"/>
  <c r="Y26" i="6"/>
  <c r="X26" i="6"/>
  <c r="Q26" i="6"/>
  <c r="S26" i="6" s="1"/>
  <c r="N26" i="6"/>
  <c r="O26" i="6" s="1"/>
  <c r="M26" i="6"/>
  <c r="P26" i="6" s="1"/>
  <c r="L26" i="6"/>
  <c r="K26" i="6"/>
  <c r="J26" i="6"/>
  <c r="T26" i="6" s="1"/>
  <c r="I26" i="6"/>
  <c r="AF25" i="6"/>
  <c r="AE25" i="6"/>
  <c r="AD25" i="6"/>
  <c r="AC25" i="6"/>
  <c r="AA25" i="6"/>
  <c r="Z25" i="6"/>
  <c r="AB25" i="6" s="1"/>
  <c r="Y25" i="6"/>
  <c r="X25" i="6"/>
  <c r="R25" i="6"/>
  <c r="Q25" i="6"/>
  <c r="S25" i="6" s="1"/>
  <c r="N25" i="6"/>
  <c r="O25" i="6" s="1"/>
  <c r="M25" i="6"/>
  <c r="P25" i="6" s="1"/>
  <c r="L25" i="6"/>
  <c r="K25" i="6"/>
  <c r="J25" i="6"/>
  <c r="T25" i="6" s="1"/>
  <c r="I25" i="6"/>
  <c r="AF24" i="6"/>
  <c r="AE24" i="6"/>
  <c r="AD24" i="6"/>
  <c r="AC24" i="6"/>
  <c r="AA24" i="6"/>
  <c r="AB24" i="6" s="1"/>
  <c r="Z24" i="6"/>
  <c r="Y24" i="6"/>
  <c r="X24" i="6"/>
  <c r="S24" i="6"/>
  <c r="Q24" i="6"/>
  <c r="R24" i="6" s="1"/>
  <c r="N24" i="6"/>
  <c r="O24" i="6" s="1"/>
  <c r="M24" i="6"/>
  <c r="P24" i="6" s="1"/>
  <c r="L24" i="6"/>
  <c r="K24" i="6"/>
  <c r="J24" i="6"/>
  <c r="T24" i="6" s="1"/>
  <c r="I24" i="6"/>
  <c r="AF23" i="6"/>
  <c r="AE23" i="6"/>
  <c r="AD23" i="6"/>
  <c r="AC23" i="6"/>
  <c r="AB23" i="6"/>
  <c r="AA23" i="6"/>
  <c r="Z23" i="6"/>
  <c r="Y23" i="6"/>
  <c r="X23" i="6"/>
  <c r="Q23" i="6"/>
  <c r="S23" i="6" s="1"/>
  <c r="P23" i="6"/>
  <c r="O23" i="6"/>
  <c r="N23" i="6"/>
  <c r="M23" i="6"/>
  <c r="L23" i="6"/>
  <c r="K23" i="6"/>
  <c r="J23" i="6"/>
  <c r="T23" i="6" s="1"/>
  <c r="I23" i="6"/>
  <c r="AF22" i="6"/>
  <c r="AE22" i="6"/>
  <c r="AD22" i="6"/>
  <c r="AC22" i="6"/>
  <c r="AB22" i="6"/>
  <c r="AA22" i="6"/>
  <c r="Z22" i="6"/>
  <c r="Y22" i="6"/>
  <c r="X22" i="6"/>
  <c r="Q22" i="6"/>
  <c r="S22" i="6" s="1"/>
  <c r="P22" i="6"/>
  <c r="O22" i="6"/>
  <c r="N22" i="6"/>
  <c r="M22" i="6"/>
  <c r="L22" i="6"/>
  <c r="K22" i="6"/>
  <c r="J22" i="6"/>
  <c r="T22" i="6" s="1"/>
  <c r="I22" i="6"/>
  <c r="AF21" i="6"/>
  <c r="AE21" i="6"/>
  <c r="AD21" i="6"/>
  <c r="AC21" i="6"/>
  <c r="AB21" i="6"/>
  <c r="AA21" i="6"/>
  <c r="Z21" i="6"/>
  <c r="Y21" i="6"/>
  <c r="X21" i="6"/>
  <c r="Q21" i="6"/>
  <c r="P21" i="6"/>
  <c r="O21" i="6"/>
  <c r="N21" i="6"/>
  <c r="M21" i="6"/>
  <c r="L21" i="6"/>
  <c r="K21" i="6"/>
  <c r="J21" i="6"/>
  <c r="T21" i="6" s="1"/>
  <c r="I21" i="6"/>
  <c r="AF20" i="6"/>
  <c r="AE20" i="6"/>
  <c r="AD20" i="6"/>
  <c r="AC20" i="6"/>
  <c r="AA20" i="6"/>
  <c r="Z20" i="6"/>
  <c r="AB20" i="6" s="1"/>
  <c r="Y20" i="6"/>
  <c r="X20" i="6"/>
  <c r="S20" i="6"/>
  <c r="R20" i="6"/>
  <c r="Q20" i="6"/>
  <c r="N20" i="6"/>
  <c r="O20" i="6" s="1"/>
  <c r="M20" i="6"/>
  <c r="P20" i="6" s="1"/>
  <c r="L20" i="6"/>
  <c r="K20" i="6"/>
  <c r="J20" i="6"/>
  <c r="T20" i="6" s="1"/>
  <c r="I20" i="6"/>
  <c r="AF19" i="6"/>
  <c r="AE19" i="6"/>
  <c r="AD19" i="6"/>
  <c r="AC19" i="6"/>
  <c r="AA19" i="6"/>
  <c r="Z19" i="6"/>
  <c r="AB19" i="6" s="1"/>
  <c r="Y19" i="6"/>
  <c r="X19" i="6"/>
  <c r="S19" i="6"/>
  <c r="R19" i="6"/>
  <c r="Q19" i="6"/>
  <c r="N19" i="6"/>
  <c r="O19" i="6" s="1"/>
  <c r="M19" i="6"/>
  <c r="L19" i="6"/>
  <c r="K19" i="6"/>
  <c r="J19" i="6"/>
  <c r="I19" i="6"/>
  <c r="T19" i="6" s="1"/>
  <c r="AF18" i="6"/>
  <c r="AE18" i="6"/>
  <c r="AD18" i="6"/>
  <c r="AC18" i="6"/>
  <c r="AB18" i="6"/>
  <c r="AA18" i="6"/>
  <c r="Z18" i="6"/>
  <c r="Y18" i="6"/>
  <c r="X18" i="6"/>
  <c r="T18" i="6"/>
  <c r="S18" i="6"/>
  <c r="R18" i="6"/>
  <c r="Q18" i="6"/>
  <c r="O18" i="6"/>
  <c r="N18" i="6"/>
  <c r="M18" i="6"/>
  <c r="P18" i="6" s="1"/>
  <c r="L18" i="6"/>
  <c r="K18" i="6"/>
  <c r="J18" i="6"/>
  <c r="I18" i="6"/>
  <c r="AF17" i="6"/>
  <c r="AE17" i="6"/>
  <c r="AD17" i="6"/>
  <c r="AC17" i="6"/>
  <c r="AA17" i="6"/>
  <c r="Z17" i="6"/>
  <c r="AB17" i="6" s="1"/>
  <c r="Y17" i="6"/>
  <c r="X17" i="6"/>
  <c r="S17" i="6"/>
  <c r="Q17" i="6"/>
  <c r="R17" i="6" s="1"/>
  <c r="P17" i="6"/>
  <c r="O17" i="6"/>
  <c r="N17" i="6"/>
  <c r="M17" i="6"/>
  <c r="L17" i="6"/>
  <c r="K17" i="6"/>
  <c r="J17" i="6"/>
  <c r="I17" i="6"/>
  <c r="AS16" i="6" a="1"/>
  <c r="AS16" i="6" s="1"/>
  <c r="AF16" i="6"/>
  <c r="AE16" i="6"/>
  <c r="AD16" i="6"/>
  <c r="AC16" i="6"/>
  <c r="AA16" i="6"/>
  <c r="AB16" i="6" s="1"/>
  <c r="Z16" i="6"/>
  <c r="Y16" i="6"/>
  <c r="X16" i="6"/>
  <c r="S16" i="6"/>
  <c r="R16" i="6"/>
  <c r="Q16" i="6"/>
  <c r="N16" i="6"/>
  <c r="O16" i="6" s="1"/>
  <c r="M16" i="6"/>
  <c r="P16" i="6" s="1"/>
  <c r="L16" i="6"/>
  <c r="K16" i="6"/>
  <c r="J16" i="6"/>
  <c r="T16" i="6" s="1"/>
  <c r="I16" i="6"/>
  <c r="AF15" i="6"/>
  <c r="AE15" i="6"/>
  <c r="AD15" i="6"/>
  <c r="AC15" i="6"/>
  <c r="AB15" i="6"/>
  <c r="AA15" i="6"/>
  <c r="Z15" i="6"/>
  <c r="Y15" i="6"/>
  <c r="X15" i="6"/>
  <c r="Q15" i="6"/>
  <c r="S15" i="6" s="1"/>
  <c r="P15" i="6"/>
  <c r="O15" i="6"/>
  <c r="N15" i="6"/>
  <c r="M15" i="6"/>
  <c r="L15" i="6"/>
  <c r="K15" i="6"/>
  <c r="J15" i="6"/>
  <c r="T15" i="6" s="1"/>
  <c r="I15" i="6"/>
  <c r="AF14" i="6"/>
  <c r="AE14" i="6"/>
  <c r="AD14" i="6"/>
  <c r="AC14" i="6"/>
  <c r="AB14" i="6"/>
  <c r="AA14" i="6"/>
  <c r="Z14" i="6"/>
  <c r="Y14" i="6"/>
  <c r="X14" i="6"/>
  <c r="Q14" i="6"/>
  <c r="S14" i="6" s="1"/>
  <c r="P14" i="6"/>
  <c r="O14" i="6"/>
  <c r="N14" i="6"/>
  <c r="M14" i="6"/>
  <c r="L14" i="6"/>
  <c r="K14" i="6"/>
  <c r="J14" i="6"/>
  <c r="T14" i="6" s="1"/>
  <c r="I14" i="6"/>
  <c r="AF13" i="6"/>
  <c r="AE13" i="6"/>
  <c r="AD13" i="6"/>
  <c r="AC13" i="6"/>
  <c r="AB13" i="6"/>
  <c r="AA13" i="6"/>
  <c r="Z13" i="6"/>
  <c r="Y13" i="6"/>
  <c r="X13" i="6"/>
  <c r="Q13" i="6"/>
  <c r="P13" i="6"/>
  <c r="O13" i="6"/>
  <c r="N13" i="6"/>
  <c r="M13" i="6"/>
  <c r="L13" i="6"/>
  <c r="K13" i="6"/>
  <c r="J13" i="6"/>
  <c r="T13" i="6" s="1"/>
  <c r="I13" i="6"/>
  <c r="AF12" i="6"/>
  <c r="AE12" i="6"/>
  <c r="AD12" i="6"/>
  <c r="AC12" i="6"/>
  <c r="AA12" i="6"/>
  <c r="Z12" i="6"/>
  <c r="AB12" i="6" s="1"/>
  <c r="Y12" i="6"/>
  <c r="X12" i="6"/>
  <c r="S12" i="6"/>
  <c r="R12" i="6"/>
  <c r="Q12" i="6"/>
  <c r="N12" i="6"/>
  <c r="O12" i="6" s="1"/>
  <c r="M12" i="6"/>
  <c r="P12" i="6" s="1"/>
  <c r="L12" i="6"/>
  <c r="K12" i="6"/>
  <c r="J12" i="6"/>
  <c r="T12" i="6" s="1"/>
  <c r="I12" i="6"/>
  <c r="AF11" i="6"/>
  <c r="AE11" i="6"/>
  <c r="AD11" i="6"/>
  <c r="AC11" i="6"/>
  <c r="AA11" i="6"/>
  <c r="AB11" i="6" s="1"/>
  <c r="Z11" i="6"/>
  <c r="Y11" i="6"/>
  <c r="X11" i="6"/>
  <c r="S11" i="6"/>
  <c r="R11" i="6"/>
  <c r="Q11" i="6"/>
  <c r="N11" i="6"/>
  <c r="O11" i="6" s="1"/>
  <c r="M11" i="6"/>
  <c r="P11" i="6" s="1"/>
  <c r="L11" i="6"/>
  <c r="K11" i="6"/>
  <c r="J11" i="6"/>
  <c r="T11" i="6" s="1"/>
  <c r="I11" i="6"/>
  <c r="AF10" i="6"/>
  <c r="AE10" i="6"/>
  <c r="AD10" i="6"/>
  <c r="AC10" i="6"/>
  <c r="AB10" i="6"/>
  <c r="AA10" i="6"/>
  <c r="Z10" i="6"/>
  <c r="Y10" i="6"/>
  <c r="X10" i="6"/>
  <c r="S10" i="6"/>
  <c r="R10" i="6"/>
  <c r="Q10" i="6"/>
  <c r="O10" i="6"/>
  <c r="N10" i="6"/>
  <c r="M10" i="6"/>
  <c r="L10" i="6"/>
  <c r="K10" i="6"/>
  <c r="J10" i="6"/>
  <c r="T10" i="6" s="1"/>
  <c r="I10" i="6"/>
  <c r="P10" i="6" s="1"/>
  <c r="AF9" i="6"/>
  <c r="AE9" i="6"/>
  <c r="AD9" i="6"/>
  <c r="AC9" i="6"/>
  <c r="AA9" i="6"/>
  <c r="Z9" i="6"/>
  <c r="AB9" i="6" s="1"/>
  <c r="Y9" i="6"/>
  <c r="X9" i="6"/>
  <c r="S9" i="6"/>
  <c r="Q9" i="6"/>
  <c r="R9" i="6" s="1"/>
  <c r="P9" i="6"/>
  <c r="O9" i="6"/>
  <c r="N9" i="6"/>
  <c r="M9" i="6"/>
  <c r="L9" i="6"/>
  <c r="K9" i="6"/>
  <c r="J9" i="6"/>
  <c r="I9" i="6"/>
  <c r="AF8" i="6"/>
  <c r="AE8" i="6"/>
  <c r="AD8" i="6"/>
  <c r="AC8" i="6"/>
  <c r="AA8" i="6"/>
  <c r="Z8" i="6"/>
  <c r="AB8" i="6" s="1"/>
  <c r="Y8" i="6"/>
  <c r="X8" i="6"/>
  <c r="Q8" i="6"/>
  <c r="S8" i="6" s="1"/>
  <c r="N8" i="6"/>
  <c r="O8" i="6" s="1"/>
  <c r="M8" i="6"/>
  <c r="P8" i="6" s="1"/>
  <c r="L8" i="6"/>
  <c r="K8" i="6"/>
  <c r="J8" i="6"/>
  <c r="T8" i="6" s="1"/>
  <c r="I8" i="6"/>
  <c r="AF7" i="6"/>
  <c r="AE7" i="6"/>
  <c r="AD7" i="6"/>
  <c r="AC7" i="6"/>
  <c r="AA7" i="6"/>
  <c r="Z7" i="6"/>
  <c r="AB7" i="6" s="1"/>
  <c r="Y7" i="6"/>
  <c r="X7" i="6"/>
  <c r="S7" i="6"/>
  <c r="R7" i="6"/>
  <c r="Q7" i="6"/>
  <c r="N7" i="6"/>
  <c r="O7" i="6" s="1"/>
  <c r="M7" i="6"/>
  <c r="P7" i="6" s="1"/>
  <c r="L7" i="6"/>
  <c r="K7" i="6"/>
  <c r="J7" i="6"/>
  <c r="I7" i="6"/>
  <c r="AK6" i="6"/>
  <c r="AF6" i="6"/>
  <c r="AE6" i="6"/>
  <c r="AD6" i="6"/>
  <c r="AC6" i="6"/>
  <c r="AB6" i="6"/>
  <c r="AA6" i="6"/>
  <c r="Z6" i="6"/>
  <c r="Y6" i="6"/>
  <c r="X6" i="6"/>
  <c r="T6" i="6"/>
  <c r="Q6" i="6"/>
  <c r="S6" i="6" s="1"/>
  <c r="P6" i="6"/>
  <c r="O6" i="6"/>
  <c r="N6" i="6"/>
  <c r="M6" i="6"/>
  <c r="L6" i="6"/>
  <c r="K6" i="6"/>
  <c r="J6" i="6"/>
  <c r="I6" i="6"/>
  <c r="AF5" i="6"/>
  <c r="AE5" i="6"/>
  <c r="AD5" i="6"/>
  <c r="AC5" i="6"/>
  <c r="AB5" i="6"/>
  <c r="AA5" i="6"/>
  <c r="Z5" i="6"/>
  <c r="Y5" i="6"/>
  <c r="X5" i="6"/>
  <c r="Q5" i="6"/>
  <c r="S5" i="6" s="1"/>
  <c r="P5" i="6"/>
  <c r="O5" i="6"/>
  <c r="N5" i="6"/>
  <c r="M5" i="6"/>
  <c r="L5" i="6"/>
  <c r="K5" i="6"/>
  <c r="J5" i="6"/>
  <c r="T5" i="6" s="1"/>
  <c r="I5" i="6"/>
  <c r="AF4" i="6"/>
  <c r="AE4" i="6"/>
  <c r="AD4" i="6"/>
  <c r="AC4" i="6"/>
  <c r="AB4" i="6"/>
  <c r="AA4" i="6"/>
  <c r="Z4" i="6"/>
  <c r="Y4" i="6"/>
  <c r="X4" i="6"/>
  <c r="Q4" i="6"/>
  <c r="P4" i="6"/>
  <c r="O4" i="6"/>
  <c r="N4" i="6"/>
  <c r="M4" i="6"/>
  <c r="L4" i="6"/>
  <c r="K4" i="6"/>
  <c r="J4" i="6"/>
  <c r="I4" i="6"/>
  <c r="L4" i="5"/>
  <c r="L5" i="5" s="1"/>
  <c r="L6" i="5" s="1"/>
  <c r="H4" i="5" a="1"/>
  <c r="H4" i="5" s="1"/>
  <c r="G4" i="5" a="1"/>
  <c r="G4" i="5" s="1"/>
  <c r="W2" i="5" a="1"/>
  <c r="W2" i="5" s="1"/>
  <c r="K4" i="5" a="1"/>
  <c r="K4" i="5" s="1"/>
  <c r="K5" i="5" s="1" a="1"/>
  <c r="K5" i="5" s="1"/>
  <c r="J4" i="5" a="1"/>
  <c r="J4" i="5" s="1"/>
  <c r="J5" i="5" s="1" a="1"/>
  <c r="J5" i="5" s="1"/>
  <c r="J6" i="5" s="1" a="1"/>
  <c r="J6" i="5" s="1"/>
  <c r="J7" i="5" s="1" a="1"/>
  <c r="J7" i="5" s="1"/>
  <c r="J8" i="5" s="1" a="1"/>
  <c r="J8" i="5" s="1"/>
  <c r="M4" i="5"/>
  <c r="M5" i="5" s="1"/>
  <c r="M6" i="5" s="1"/>
  <c r="M7" i="5" s="1"/>
  <c r="M8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M93" i="5" s="1"/>
  <c r="M94" i="5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M119" i="5" s="1"/>
  <c r="M120" i="5" s="1"/>
  <c r="M121" i="5" s="1"/>
  <c r="M122" i="5" s="1"/>
  <c r="M123" i="5" s="1"/>
  <c r="M124" i="5" s="1"/>
  <c r="M125" i="5" s="1"/>
  <c r="M126" i="5" s="1"/>
  <c r="M127" i="5" s="1"/>
  <c r="M128" i="5" s="1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M141" i="5" s="1"/>
  <c r="M142" i="5" s="1"/>
  <c r="M143" i="5" s="1"/>
  <c r="M144" i="5" s="1"/>
  <c r="M145" i="5" s="1"/>
  <c r="M146" i="5" s="1"/>
  <c r="M147" i="5" s="1"/>
  <c r="M148" i="5" s="1"/>
  <c r="M149" i="5" s="1"/>
  <c r="M150" i="5" s="1"/>
  <c r="M151" i="5" s="1"/>
  <c r="M152" i="5" s="1"/>
  <c r="M153" i="5" s="1"/>
  <c r="M154" i="5" s="1"/>
  <c r="M155" i="5" s="1"/>
  <c r="M156" i="5" s="1"/>
  <c r="M157" i="5" s="1"/>
  <c r="L8" i="5"/>
  <c r="L9" i="5" s="1"/>
  <c r="L10" i="5" s="1"/>
  <c r="L11" i="5" s="1"/>
  <c r="L12" i="5" s="1"/>
  <c r="L14" i="5" s="1"/>
  <c r="L15" i="5" s="1"/>
  <c r="L16" i="5" s="1"/>
  <c r="L17" i="5" s="1"/>
  <c r="L18" i="5" s="1"/>
  <c r="L19" i="5" s="1"/>
  <c r="W3" i="5" a="1"/>
  <c r="W3" i="5" s="1"/>
  <c r="F4" i="5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57" i="5" s="1"/>
  <c r="A24" i="5" a="1"/>
  <c r="A24" i="5" s="1"/>
  <c r="AT96" i="1" a="1"/>
  <c r="AT96" i="1" s="1"/>
  <c r="AT73" i="1" a="1"/>
  <c r="AT73" i="1" s="1"/>
  <c r="AT56" i="1" a="1"/>
  <c r="AT56" i="1" s="1"/>
  <c r="AT41" i="1" a="1"/>
  <c r="AT41" i="1" s="1"/>
  <c r="AT23" i="1" a="1"/>
  <c r="AT23" i="1" s="1"/>
  <c r="AL13" i="1"/>
  <c r="Q24" i="1"/>
  <c r="S24" i="1" s="1"/>
  <c r="Q33" i="1"/>
  <c r="R33" i="1" s="1"/>
  <c r="Q42" i="1"/>
  <c r="R42" i="1" s="1"/>
  <c r="Q60" i="1"/>
  <c r="S60" i="1" s="1"/>
  <c r="Q73" i="1"/>
  <c r="Q81" i="1"/>
  <c r="R81" i="1" s="1"/>
  <c r="Q12" i="1"/>
  <c r="R12" i="1" s="1"/>
  <c r="Q83" i="1"/>
  <c r="R83" i="1" s="1"/>
  <c r="Q242" i="1"/>
  <c r="S242" i="1" s="1"/>
  <c r="Q196" i="1"/>
  <c r="Q187" i="1"/>
  <c r="S187" i="1" s="1"/>
  <c r="Q17" i="1"/>
  <c r="R17" i="1" s="1"/>
  <c r="Q36" i="1"/>
  <c r="R36" i="1" s="1"/>
  <c r="Q28" i="1"/>
  <c r="S28" i="1" s="1"/>
  <c r="Q201" i="1"/>
  <c r="S201" i="1" s="1"/>
  <c r="Q158" i="1"/>
  <c r="R158" i="1" s="1"/>
  <c r="Q162" i="1"/>
  <c r="R162" i="1" s="1"/>
  <c r="Q102" i="1"/>
  <c r="R102" i="1" s="1"/>
  <c r="Q214" i="1"/>
  <c r="R214" i="1" s="1"/>
  <c r="Q62" i="1"/>
  <c r="S62" i="1" s="1"/>
  <c r="Q39" i="1"/>
  <c r="R39" i="1" s="1"/>
  <c r="Q89" i="1"/>
  <c r="R89" i="1" s="1"/>
  <c r="Q53" i="1"/>
  <c r="R53" i="1" s="1"/>
  <c r="Q61" i="1"/>
  <c r="R61" i="1" s="1"/>
  <c r="Q69" i="1"/>
  <c r="S69" i="1" s="1"/>
  <c r="Q23" i="1"/>
  <c r="S23" i="1" s="1"/>
  <c r="Q79" i="1"/>
  <c r="R79" i="1" s="1"/>
  <c r="Q91" i="1"/>
  <c r="R91" i="1" s="1"/>
  <c r="Q38" i="1"/>
  <c r="R38" i="1" s="1"/>
  <c r="Q34" i="1"/>
  <c r="R34" i="1" s="1"/>
  <c r="Q67" i="1"/>
  <c r="S67" i="1" s="1"/>
  <c r="Q152" i="1"/>
  <c r="S152" i="1" s="1"/>
  <c r="Q21" i="1"/>
  <c r="S21" i="1" s="1"/>
  <c r="Q37" i="1"/>
  <c r="R37" i="1" s="1"/>
  <c r="Q26" i="1"/>
  <c r="R26" i="1" s="1"/>
  <c r="Q25" i="1"/>
  <c r="R25" i="1" s="1"/>
  <c r="Q13" i="1"/>
  <c r="R13" i="1" s="1"/>
  <c r="Q16" i="1"/>
  <c r="R16" i="1" s="1"/>
  <c r="Q237" i="1"/>
  <c r="R237" i="1" s="1"/>
  <c r="Q14" i="1"/>
  <c r="Q11" i="1"/>
  <c r="R11" i="1" s="1"/>
  <c r="Q65" i="1"/>
  <c r="S65" i="1" s="1"/>
  <c r="Q46" i="1"/>
  <c r="R46" i="1" s="1"/>
  <c r="Q103" i="1"/>
  <c r="R103" i="1" s="1"/>
  <c r="Q169" i="1"/>
  <c r="R169" i="1" s="1"/>
  <c r="Q43" i="1"/>
  <c r="R43" i="1" s="1"/>
  <c r="Q175" i="1"/>
  <c r="S175" i="1" s="1"/>
  <c r="Q35" i="1"/>
  <c r="R35" i="1" s="1"/>
  <c r="Q221" i="1"/>
  <c r="S221" i="1" s="1"/>
  <c r="Q223" i="1"/>
  <c r="R223" i="1" s="1"/>
  <c r="Q22" i="1"/>
  <c r="R22" i="1" s="1"/>
  <c r="Q77" i="1"/>
  <c r="R77" i="1" s="1"/>
  <c r="Q59" i="1"/>
  <c r="R59" i="1" s="1"/>
  <c r="Q164" i="1"/>
  <c r="R164" i="1" s="1"/>
  <c r="Q104" i="1"/>
  <c r="R104" i="1" s="1"/>
  <c r="Q47" i="1"/>
  <c r="R47" i="1" s="1"/>
  <c r="Q29" i="1"/>
  <c r="R29" i="1" s="1"/>
  <c r="Q185" i="1"/>
  <c r="R185" i="1" s="1"/>
  <c r="Q198" i="1"/>
  <c r="R198" i="1" s="1"/>
  <c r="Q105" i="1"/>
  <c r="R105" i="1" s="1"/>
  <c r="Q232" i="1"/>
  <c r="R232" i="1" s="1"/>
  <c r="Q88" i="1"/>
  <c r="R88" i="1" s="1"/>
  <c r="Q31" i="1"/>
  <c r="R31" i="1" s="1"/>
  <c r="Q40" i="1"/>
  <c r="R40" i="1" s="1"/>
  <c r="Q55" i="1"/>
  <c r="R55" i="1" s="1"/>
  <c r="Q27" i="1"/>
  <c r="R27" i="1" s="1"/>
  <c r="Q30" i="1"/>
  <c r="R30" i="1" s="1"/>
  <c r="Q48" i="1"/>
  <c r="R48" i="1" s="1"/>
  <c r="Q15" i="1"/>
  <c r="S15" i="1" s="1"/>
  <c r="Q57" i="1"/>
  <c r="S57" i="1" s="1"/>
  <c r="Q52" i="1"/>
  <c r="R52" i="1" s="1"/>
  <c r="Q54" i="1"/>
  <c r="R54" i="1" s="1"/>
  <c r="Q19" i="1"/>
  <c r="R19" i="1" s="1"/>
  <c r="Q100" i="1"/>
  <c r="R100" i="1" s="1"/>
  <c r="Q20" i="1"/>
  <c r="R20" i="1" s="1"/>
  <c r="Q246" i="1"/>
  <c r="R246" i="1" s="1"/>
  <c r="Q216" i="1"/>
  <c r="R216" i="1" s="1"/>
  <c r="Q239" i="1"/>
  <c r="S239" i="1" s="1"/>
  <c r="Q213" i="1"/>
  <c r="S213" i="1" s="1"/>
  <c r="Q199" i="1"/>
  <c r="S199" i="1" s="1"/>
  <c r="Q45" i="1"/>
  <c r="R45" i="1" s="1"/>
  <c r="Q64" i="1"/>
  <c r="R64" i="1" s="1"/>
  <c r="Q228" i="1"/>
  <c r="R228" i="1" s="1"/>
  <c r="Q41" i="1"/>
  <c r="R41" i="1" s="1"/>
  <c r="Q106" i="1"/>
  <c r="R106" i="1" s="1"/>
  <c r="Q70" i="1"/>
  <c r="S70" i="1" s="1"/>
  <c r="Q240" i="1"/>
  <c r="R240" i="1" s="1"/>
  <c r="Q160" i="1"/>
  <c r="R160" i="1" s="1"/>
  <c r="Q182" i="1"/>
  <c r="S182" i="1" s="1"/>
  <c r="Q243" i="1"/>
  <c r="R243" i="1" s="1"/>
  <c r="Q235" i="1"/>
  <c r="Q207" i="1"/>
  <c r="R207" i="1" s="1"/>
  <c r="Q189" i="1"/>
  <c r="R189" i="1" s="1"/>
  <c r="Q80" i="1"/>
  <c r="R80" i="1" s="1"/>
  <c r="Q209" i="1"/>
  <c r="R209" i="1" s="1"/>
  <c r="Q44" i="1"/>
  <c r="R44" i="1" s="1"/>
  <c r="Q190" i="1"/>
  <c r="R190" i="1" s="1"/>
  <c r="Q66" i="1"/>
  <c r="R66" i="1" s="1"/>
  <c r="Q183" i="1"/>
  <c r="R183" i="1" s="1"/>
  <c r="Q107" i="1"/>
  <c r="R107" i="1" s="1"/>
  <c r="Q171" i="1"/>
  <c r="R171" i="1" s="1"/>
  <c r="Q63" i="1"/>
  <c r="R63" i="1" s="1"/>
  <c r="Q200" i="1"/>
  <c r="R200" i="1" s="1"/>
  <c r="Q219" i="1"/>
  <c r="S219" i="1" s="1"/>
  <c r="Q98" i="1"/>
  <c r="S98" i="1" s="1"/>
  <c r="Q74" i="1"/>
  <c r="R74" i="1" s="1"/>
  <c r="Q108" i="1"/>
  <c r="R108" i="1" s="1"/>
  <c r="Q181" i="1"/>
  <c r="R181" i="1" s="1"/>
  <c r="Q50" i="1"/>
  <c r="R50" i="1" s="1"/>
  <c r="Q109" i="1"/>
  <c r="R109" i="1" s="1"/>
  <c r="Q157" i="1"/>
  <c r="S157" i="1" s="1"/>
  <c r="Q166" i="1"/>
  <c r="S166" i="1" s="1"/>
  <c r="Q85" i="1"/>
  <c r="S85" i="1" s="1"/>
  <c r="Q51" i="1"/>
  <c r="S51" i="1" s="1"/>
  <c r="Q58" i="1"/>
  <c r="R58" i="1" s="1"/>
  <c r="Q78" i="1"/>
  <c r="S78" i="1" s="1"/>
  <c r="Q174" i="1"/>
  <c r="R174" i="1" s="1"/>
  <c r="Q110" i="1"/>
  <c r="S110" i="1" s="1"/>
  <c r="Q111" i="1"/>
  <c r="R111" i="1" s="1"/>
  <c r="Q56" i="1"/>
  <c r="R56" i="1" s="1"/>
  <c r="Q211" i="1"/>
  <c r="Q217" i="1"/>
  <c r="R217" i="1" s="1"/>
  <c r="Q155" i="1"/>
  <c r="R155" i="1" s="1"/>
  <c r="Q32" i="1"/>
  <c r="R32" i="1" s="1"/>
  <c r="Q18" i="1"/>
  <c r="R18" i="1" s="1"/>
  <c r="Q112" i="1"/>
  <c r="R112" i="1" s="1"/>
  <c r="Q178" i="1"/>
  <c r="R178" i="1" s="1"/>
  <c r="Q113" i="1"/>
  <c r="R113" i="1" s="1"/>
  <c r="Q114" i="1"/>
  <c r="S114" i="1" s="1"/>
  <c r="Q115" i="1"/>
  <c r="R115" i="1" s="1"/>
  <c r="Q116" i="1"/>
  <c r="Q117" i="1"/>
  <c r="R117" i="1" s="1"/>
  <c r="Q118" i="1"/>
  <c r="R118" i="1" s="1"/>
  <c r="Q119" i="1"/>
  <c r="S119" i="1" s="1"/>
  <c r="Q75" i="1"/>
  <c r="S75" i="1" s="1"/>
  <c r="Q120" i="1"/>
  <c r="R120" i="1" s="1"/>
  <c r="Q93" i="1"/>
  <c r="R93" i="1" s="1"/>
  <c r="Q121" i="1"/>
  <c r="R121" i="1" s="1"/>
  <c r="Q156" i="1"/>
  <c r="R156" i="1" s="1"/>
  <c r="Q167" i="1"/>
  <c r="R167" i="1" s="1"/>
  <c r="Q179" i="1"/>
  <c r="R179" i="1" s="1"/>
  <c r="Q205" i="1"/>
  <c r="R205" i="1" s="1"/>
  <c r="Q184" i="1"/>
  <c r="S184" i="1" s="1"/>
  <c r="Q197" i="1"/>
  <c r="R197" i="1" s="1"/>
  <c r="Q203" i="1"/>
  <c r="S203" i="1" s="1"/>
  <c r="Q151" i="1"/>
  <c r="R151" i="1" s="1"/>
  <c r="Q222" i="1"/>
  <c r="R222" i="1" s="1"/>
  <c r="Q122" i="1"/>
  <c r="S122" i="1" s="1"/>
  <c r="Q215" i="1"/>
  <c r="R215" i="1" s="1"/>
  <c r="Q194" i="1"/>
  <c r="R194" i="1" s="1"/>
  <c r="Q234" i="1"/>
  <c r="R234" i="1" s="1"/>
  <c r="Q123" i="1"/>
  <c r="R123" i="1" s="1"/>
  <c r="Q186" i="1"/>
  <c r="R186" i="1" s="1"/>
  <c r="Q218" i="1"/>
  <c r="R218" i="1" s="1"/>
  <c r="Q244" i="1"/>
  <c r="R244" i="1" s="1"/>
  <c r="Q71" i="1"/>
  <c r="R71" i="1" s="1"/>
  <c r="Q245" i="1"/>
  <c r="R245" i="1" s="1"/>
  <c r="Q204" i="1"/>
  <c r="R204" i="1" s="1"/>
  <c r="Q150" i="1"/>
  <c r="R150" i="1" s="1"/>
  <c r="Q163" i="1"/>
  <c r="R163" i="1" s="1"/>
  <c r="Q84" i="1"/>
  <c r="R84" i="1" s="1"/>
  <c r="Q212" i="1"/>
  <c r="R212" i="1" s="1"/>
  <c r="Q159" i="1"/>
  <c r="R159" i="1" s="1"/>
  <c r="Q124" i="1"/>
  <c r="R124" i="1" s="1"/>
  <c r="Q125" i="1"/>
  <c r="R125" i="1" s="1"/>
  <c r="Q191" i="1"/>
  <c r="R191" i="1" s="1"/>
  <c r="Q154" i="1"/>
  <c r="R154" i="1" s="1"/>
  <c r="Q192" i="1"/>
  <c r="R192" i="1" s="1"/>
  <c r="Q49" i="1"/>
  <c r="S49" i="1" s="1"/>
  <c r="Q176" i="1"/>
  <c r="R176" i="1" s="1"/>
  <c r="Q126" i="1"/>
  <c r="R126" i="1" s="1"/>
  <c r="Q127" i="1"/>
  <c r="R127" i="1" s="1"/>
  <c r="Q177" i="1"/>
  <c r="R177" i="1" s="1"/>
  <c r="Q82" i="1"/>
  <c r="R82" i="1" s="1"/>
  <c r="Q68" i="1"/>
  <c r="R68" i="1" s="1"/>
  <c r="Q172" i="1"/>
  <c r="R172" i="1" s="1"/>
  <c r="Q168" i="1"/>
  <c r="S168" i="1" s="1"/>
  <c r="Q165" i="1"/>
  <c r="R165" i="1" s="1"/>
  <c r="Q180" i="1"/>
  <c r="R180" i="1" s="1"/>
  <c r="Q95" i="1"/>
  <c r="R95" i="1" s="1"/>
  <c r="Q225" i="1"/>
  <c r="R225" i="1" s="1"/>
  <c r="Q226" i="1"/>
  <c r="R226" i="1" s="1"/>
  <c r="Q188" i="1"/>
  <c r="R188" i="1" s="1"/>
  <c r="Q238" i="1"/>
  <c r="R238" i="1" s="1"/>
  <c r="Q170" i="1"/>
  <c r="R170" i="1" s="1"/>
  <c r="Q206" i="1"/>
  <c r="R206" i="1" s="1"/>
  <c r="Q173" i="1"/>
  <c r="R173" i="1" s="1"/>
  <c r="Q72" i="1"/>
  <c r="R72" i="1" s="1"/>
  <c r="Q128" i="1"/>
  <c r="R128" i="1" s="1"/>
  <c r="Q210" i="1"/>
  <c r="R210" i="1" s="1"/>
  <c r="Q148" i="1"/>
  <c r="R148" i="1" s="1"/>
  <c r="Q220" i="1"/>
  <c r="R220" i="1" s="1"/>
  <c r="Q129" i="1"/>
  <c r="S129" i="1" s="1"/>
  <c r="Q227" i="1"/>
  <c r="R227" i="1" s="1"/>
  <c r="Q97" i="1"/>
  <c r="R97" i="1" s="1"/>
  <c r="Q130" i="1"/>
  <c r="R130" i="1" s="1"/>
  <c r="Q90" i="1"/>
  <c r="R90" i="1" s="1"/>
  <c r="Q131" i="1"/>
  <c r="R131" i="1" s="1"/>
  <c r="Q208" i="1"/>
  <c r="R208" i="1" s="1"/>
  <c r="Q86" i="1"/>
  <c r="R86" i="1" s="1"/>
  <c r="Q96" i="1"/>
  <c r="S96" i="1" s="1"/>
  <c r="Q132" i="1"/>
  <c r="R132" i="1" s="1"/>
  <c r="Q133" i="1"/>
  <c r="R133" i="1" s="1"/>
  <c r="Q134" i="1"/>
  <c r="R134" i="1" s="1"/>
  <c r="Q76" i="1"/>
  <c r="R76" i="1" s="1"/>
  <c r="Q161" i="1"/>
  <c r="R161" i="1" s="1"/>
  <c r="Q202" i="1"/>
  <c r="R202" i="1" s="1"/>
  <c r="Q94" i="1"/>
  <c r="S94" i="1" s="1"/>
  <c r="Q87" i="1"/>
  <c r="R87" i="1" s="1"/>
  <c r="Q135" i="1"/>
  <c r="R135" i="1" s="1"/>
  <c r="Q224" i="1"/>
  <c r="S224" i="1" s="1"/>
  <c r="Q92" i="1"/>
  <c r="R92" i="1" s="1"/>
  <c r="Q153" i="1"/>
  <c r="S153" i="1" s="1"/>
  <c r="Q99" i="1"/>
  <c r="R99" i="1" s="1"/>
  <c r="Q136" i="1"/>
  <c r="R136" i="1" s="1"/>
  <c r="Q195" i="1"/>
  <c r="S195" i="1" s="1"/>
  <c r="Q137" i="1"/>
  <c r="R137" i="1" s="1"/>
  <c r="Q138" i="1"/>
  <c r="R138" i="1" s="1"/>
  <c r="Q101" i="1"/>
  <c r="S101" i="1" s="1"/>
  <c r="Q193" i="1"/>
  <c r="R193" i="1" s="1"/>
  <c r="Q149" i="1"/>
  <c r="R149" i="1" s="1"/>
  <c r="Q139" i="1"/>
  <c r="R139" i="1" s="1"/>
  <c r="Q140" i="1"/>
  <c r="R140" i="1" s="1"/>
  <c r="Q141" i="1"/>
  <c r="R141" i="1" s="1"/>
  <c r="Q241" i="1"/>
  <c r="R241" i="1" s="1"/>
  <c r="Q233" i="1"/>
  <c r="R233" i="1" s="1"/>
  <c r="Q142" i="1"/>
  <c r="R142" i="1" s="1"/>
  <c r="Q143" i="1"/>
  <c r="R143" i="1" s="1"/>
  <c r="Q144" i="1"/>
  <c r="S144" i="1" s="1"/>
  <c r="Q145" i="1"/>
  <c r="R145" i="1" s="1"/>
  <c r="Q146" i="1"/>
  <c r="R146" i="1" s="1"/>
  <c r="Q229" i="1"/>
  <c r="R229" i="1" s="1"/>
  <c r="Q230" i="1"/>
  <c r="R230" i="1" s="1"/>
  <c r="Q236" i="1"/>
  <c r="R236" i="1" s="1"/>
  <c r="Q147" i="1"/>
  <c r="S147" i="1" s="1"/>
  <c r="Q231" i="1"/>
  <c r="R231" i="1" s="1"/>
  <c r="B251" i="1"/>
  <c r="S273" i="1"/>
  <c r="AF24" i="1"/>
  <c r="N24" i="1"/>
  <c r="N42" i="1"/>
  <c r="O42" i="1" s="1"/>
  <c r="N73" i="1"/>
  <c r="O73" i="1" s="1"/>
  <c r="N81" i="1"/>
  <c r="O81" i="1" s="1"/>
  <c r="N12" i="1"/>
  <c r="O12" i="1" s="1"/>
  <c r="N17" i="1"/>
  <c r="O17" i="1" s="1"/>
  <c r="N36" i="1"/>
  <c r="O36" i="1" s="1"/>
  <c r="N28" i="1"/>
  <c r="O28" i="1" s="1"/>
  <c r="N39" i="1"/>
  <c r="O39" i="1" s="1"/>
  <c r="N23" i="1"/>
  <c r="O23" i="1" s="1"/>
  <c r="N67" i="1"/>
  <c r="O67" i="1" s="1"/>
  <c r="N21" i="1"/>
  <c r="O21" i="1" s="1"/>
  <c r="N14" i="1"/>
  <c r="N43" i="1"/>
  <c r="O43" i="1" s="1"/>
  <c r="N29" i="1"/>
  <c r="O29" i="1" s="1"/>
  <c r="N31" i="1"/>
  <c r="O31" i="1" s="1"/>
  <c r="N55" i="1"/>
  <c r="O55" i="1" s="1"/>
  <c r="N27" i="1"/>
  <c r="O27" i="1" s="1"/>
  <c r="N48" i="1"/>
  <c r="O48" i="1" s="1"/>
  <c r="N15" i="1"/>
  <c r="O15" i="1" s="1"/>
  <c r="N57" i="1"/>
  <c r="O57" i="1" s="1"/>
  <c r="N54" i="1"/>
  <c r="O54" i="1" s="1"/>
  <c r="N70" i="1"/>
  <c r="O70" i="1" s="1"/>
  <c r="N74" i="1"/>
  <c r="O74" i="1" s="1"/>
  <c r="N58" i="1"/>
  <c r="O58" i="1" s="1"/>
  <c r="N30" i="1"/>
  <c r="O30" i="1" s="1"/>
  <c r="N32" i="1"/>
  <c r="O32" i="1" s="1"/>
  <c r="N96" i="1"/>
  <c r="O96" i="1" s="1"/>
  <c r="N53" i="1"/>
  <c r="O53" i="1" s="1"/>
  <c r="N94" i="1"/>
  <c r="O94" i="1" s="1"/>
  <c r="N78" i="1"/>
  <c r="O78" i="1" s="1"/>
  <c r="N35" i="1"/>
  <c r="O35" i="1" s="1"/>
  <c r="N44" i="1"/>
  <c r="O44" i="1" s="1"/>
  <c r="N37" i="1"/>
  <c r="O37" i="1" s="1"/>
  <c r="N26" i="1"/>
  <c r="O26" i="1" s="1"/>
  <c r="N25" i="1"/>
  <c r="O25" i="1" s="1"/>
  <c r="N13" i="1"/>
  <c r="N16" i="1"/>
  <c r="O16" i="1" s="1"/>
  <c r="N51" i="1"/>
  <c r="O51" i="1" s="1"/>
  <c r="N71" i="1"/>
  <c r="O71" i="1" s="1"/>
  <c r="N11" i="1"/>
  <c r="N72" i="1"/>
  <c r="O72" i="1" s="1"/>
  <c r="N46" i="1"/>
  <c r="O46" i="1" s="1"/>
  <c r="N60" i="1"/>
  <c r="O60" i="1" s="1"/>
  <c r="N98" i="1"/>
  <c r="O98" i="1" s="1"/>
  <c r="N88" i="1"/>
  <c r="O88" i="1" s="1"/>
  <c r="N40" i="1"/>
  <c r="O40" i="1" s="1"/>
  <c r="N50" i="1"/>
  <c r="O50" i="1" s="1"/>
  <c r="N38" i="1"/>
  <c r="O38" i="1" s="1"/>
  <c r="N59" i="1"/>
  <c r="O59" i="1" s="1"/>
  <c r="N22" i="1"/>
  <c r="O22" i="1" s="1"/>
  <c r="N68" i="1"/>
  <c r="O68" i="1" s="1"/>
  <c r="N69" i="1"/>
  <c r="O69" i="1" s="1"/>
  <c r="N56" i="1"/>
  <c r="O56" i="1" s="1"/>
  <c r="N82" i="1"/>
  <c r="O82" i="1" s="1"/>
  <c r="N47" i="1"/>
  <c r="O47" i="1" s="1"/>
  <c r="N91" i="1"/>
  <c r="O91" i="1" s="1"/>
  <c r="N77" i="1"/>
  <c r="O77" i="1" s="1"/>
  <c r="N52" i="1"/>
  <c r="O52" i="1" s="1"/>
  <c r="N87" i="1"/>
  <c r="O87" i="1" s="1"/>
  <c r="N18" i="1"/>
  <c r="O18" i="1" s="1"/>
  <c r="N75" i="1"/>
  <c r="O75" i="1" s="1"/>
  <c r="N79" i="1"/>
  <c r="O79" i="1" s="1"/>
  <c r="N97" i="1"/>
  <c r="O97" i="1" s="1"/>
  <c r="N95" i="1"/>
  <c r="O95" i="1" s="1"/>
  <c r="N80" i="1"/>
  <c r="O80" i="1" s="1"/>
  <c r="N63" i="1"/>
  <c r="O63" i="1" s="1"/>
  <c r="N34" i="1"/>
  <c r="O34" i="1" s="1"/>
  <c r="N84" i="1"/>
  <c r="O84" i="1" s="1"/>
  <c r="N83" i="1"/>
  <c r="O83" i="1" s="1"/>
  <c r="N61" i="1"/>
  <c r="O61" i="1" s="1"/>
  <c r="N33" i="1"/>
  <c r="O33" i="1" s="1"/>
  <c r="N19" i="1"/>
  <c r="O19" i="1" s="1"/>
  <c r="N85" i="1"/>
  <c r="O85" i="1" s="1"/>
  <c r="N20" i="1"/>
  <c r="O20" i="1" s="1"/>
  <c r="N93" i="1"/>
  <c r="O93" i="1" s="1"/>
  <c r="N65" i="1"/>
  <c r="O65" i="1" s="1"/>
  <c r="N92" i="1"/>
  <c r="O92" i="1" s="1"/>
  <c r="N101" i="1"/>
  <c r="O101" i="1" s="1"/>
  <c r="N90" i="1"/>
  <c r="O90" i="1" s="1"/>
  <c r="N45" i="1"/>
  <c r="O45" i="1" s="1"/>
  <c r="N64" i="1"/>
  <c r="O64" i="1" s="1"/>
  <c r="N66" i="1"/>
  <c r="O66" i="1" s="1"/>
  <c r="N41" i="1"/>
  <c r="O41" i="1" s="1"/>
  <c r="N76" i="1"/>
  <c r="O76" i="1" s="1"/>
  <c r="N99" i="1"/>
  <c r="O99" i="1" s="1"/>
  <c r="N62" i="1"/>
  <c r="O62" i="1" s="1"/>
  <c r="N49" i="1"/>
  <c r="O49" i="1" s="1"/>
  <c r="N86" i="1"/>
  <c r="O86" i="1" s="1"/>
  <c r="N100" i="1"/>
  <c r="O100" i="1" s="1"/>
  <c r="N89" i="1"/>
  <c r="O89" i="1" s="1"/>
  <c r="N231" i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39" i="1"/>
  <c r="O139" i="1" s="1"/>
  <c r="N149" i="1"/>
  <c r="O149" i="1" s="1"/>
  <c r="N138" i="1"/>
  <c r="O138" i="1" s="1"/>
  <c r="N137" i="1"/>
  <c r="O137" i="1" s="1"/>
  <c r="N136" i="1"/>
  <c r="O136" i="1" s="1"/>
  <c r="N153" i="1"/>
  <c r="O153" i="1" s="1"/>
  <c r="N135" i="1"/>
  <c r="O135" i="1" s="1"/>
  <c r="N236" i="1"/>
  <c r="O236" i="1" s="1"/>
  <c r="N230" i="1"/>
  <c r="O230" i="1" s="1"/>
  <c r="N134" i="1"/>
  <c r="O134" i="1" s="1"/>
  <c r="N133" i="1"/>
  <c r="O133" i="1" s="1"/>
  <c r="N132" i="1"/>
  <c r="O132" i="1" s="1"/>
  <c r="N229" i="1"/>
  <c r="O229" i="1" s="1"/>
  <c r="N131" i="1"/>
  <c r="O131" i="1" s="1"/>
  <c r="N233" i="1"/>
  <c r="O233" i="1" s="1"/>
  <c r="N129" i="1"/>
  <c r="O129" i="1" s="1"/>
  <c r="N148" i="1"/>
  <c r="O148" i="1" s="1"/>
  <c r="N128" i="1"/>
  <c r="O128" i="1" s="1"/>
  <c r="N241" i="1"/>
  <c r="O241" i="1" s="1"/>
  <c r="N127" i="1"/>
  <c r="O127" i="1" s="1"/>
  <c r="N126" i="1"/>
  <c r="O126" i="1" s="1"/>
  <c r="N215" i="1"/>
  <c r="O215" i="1" s="1"/>
  <c r="N125" i="1"/>
  <c r="O125" i="1" s="1"/>
  <c r="N124" i="1"/>
  <c r="O124" i="1" s="1"/>
  <c r="N192" i="1"/>
  <c r="O192" i="1" s="1"/>
  <c r="N123" i="1"/>
  <c r="O123" i="1" s="1"/>
  <c r="N178" i="1"/>
  <c r="O178" i="1" s="1"/>
  <c r="N222" i="1"/>
  <c r="O222" i="1" s="1"/>
  <c r="N184" i="1"/>
  <c r="O184" i="1" s="1"/>
  <c r="N121" i="1"/>
  <c r="O121" i="1" s="1"/>
  <c r="N205" i="1"/>
  <c r="O205" i="1" s="1"/>
  <c r="N217" i="1"/>
  <c r="O217" i="1" s="1"/>
  <c r="N113" i="1"/>
  <c r="O113" i="1" s="1"/>
  <c r="N185" i="1"/>
  <c r="O185" i="1" s="1"/>
  <c r="N155" i="1"/>
  <c r="O155" i="1" s="1"/>
  <c r="N111" i="1"/>
  <c r="O111" i="1" s="1"/>
  <c r="N110" i="1"/>
  <c r="O110" i="1" s="1"/>
  <c r="N207" i="1"/>
  <c r="O207" i="1" s="1"/>
  <c r="N193" i="1"/>
  <c r="O193" i="1" s="1"/>
  <c r="N195" i="1"/>
  <c r="O195" i="1" s="1"/>
  <c r="N201" i="1"/>
  <c r="O201" i="1" s="1"/>
  <c r="N152" i="1"/>
  <c r="O152" i="1" s="1"/>
  <c r="N174" i="1"/>
  <c r="O174" i="1" s="1"/>
  <c r="N175" i="1"/>
  <c r="O175" i="1" s="1"/>
  <c r="N173" i="1"/>
  <c r="O173" i="1" s="1"/>
  <c r="N109" i="1"/>
  <c r="O109" i="1" s="1"/>
  <c r="N170" i="1"/>
  <c r="O170" i="1" s="1"/>
  <c r="N165" i="1"/>
  <c r="O165" i="1" s="1"/>
  <c r="N108" i="1"/>
  <c r="O108" i="1" s="1"/>
  <c r="N154" i="1"/>
  <c r="O154" i="1" s="1"/>
  <c r="N171" i="1"/>
  <c r="O171" i="1" s="1"/>
  <c r="N200" i="1"/>
  <c r="O200" i="1" s="1"/>
  <c r="N107" i="1"/>
  <c r="O107" i="1" s="1"/>
  <c r="N219" i="1"/>
  <c r="O219" i="1" s="1"/>
  <c r="N150" i="1"/>
  <c r="O150" i="1" s="1"/>
  <c r="N160" i="1"/>
  <c r="O160" i="1" s="1"/>
  <c r="N106" i="1"/>
  <c r="O106" i="1" s="1"/>
  <c r="N228" i="1"/>
  <c r="O228" i="1" s="1"/>
  <c r="N202" i="1"/>
  <c r="O202" i="1" s="1"/>
  <c r="N168" i="1"/>
  <c r="O168" i="1" s="1"/>
  <c r="N189" i="1"/>
  <c r="O189" i="1" s="1"/>
  <c r="N196" i="1"/>
  <c r="O196" i="1" s="1"/>
  <c r="N181" i="1"/>
  <c r="O181" i="1" s="1"/>
  <c r="N166" i="1"/>
  <c r="O166" i="1" s="1"/>
  <c r="N208" i="1"/>
  <c r="O208" i="1" s="1"/>
  <c r="N243" i="1"/>
  <c r="O243" i="1" s="1"/>
  <c r="N245" i="1"/>
  <c r="O245" i="1" s="1"/>
  <c r="N213" i="1"/>
  <c r="O213" i="1" s="1"/>
  <c r="N216" i="1"/>
  <c r="O216" i="1" s="1"/>
  <c r="N172" i="1"/>
  <c r="O172" i="1" s="1"/>
  <c r="N151" i="1"/>
  <c r="O151" i="1" s="1"/>
  <c r="N120" i="1"/>
  <c r="O120" i="1" s="1"/>
  <c r="N224" i="1"/>
  <c r="O224" i="1" s="1"/>
  <c r="N183" i="1"/>
  <c r="O183" i="1" s="1"/>
  <c r="N105" i="1"/>
  <c r="O105" i="1" s="1"/>
  <c r="N104" i="1"/>
  <c r="O104" i="1" s="1"/>
  <c r="N164" i="1"/>
  <c r="O164" i="1" s="1"/>
  <c r="N242" i="1"/>
  <c r="O242" i="1" s="1"/>
  <c r="N214" i="1"/>
  <c r="O214" i="1" s="1"/>
  <c r="N176" i="1"/>
  <c r="O176" i="1" s="1"/>
  <c r="N223" i="1"/>
  <c r="O223" i="1" s="1"/>
  <c r="N227" i="1"/>
  <c r="O227" i="1" s="1"/>
  <c r="N182" i="1"/>
  <c r="O182" i="1" s="1"/>
  <c r="N112" i="1"/>
  <c r="O112" i="1" s="1"/>
  <c r="N186" i="1"/>
  <c r="O186" i="1" s="1"/>
  <c r="N103" i="1"/>
  <c r="O103" i="1" s="1"/>
  <c r="N210" i="1"/>
  <c r="O210" i="1" s="1"/>
  <c r="N188" i="1"/>
  <c r="O188" i="1" s="1"/>
  <c r="N209" i="1"/>
  <c r="O209" i="1" s="1"/>
  <c r="N199" i="1"/>
  <c r="O199" i="1" s="1"/>
  <c r="N220" i="1"/>
  <c r="O220" i="1" s="1"/>
  <c r="N237" i="1"/>
  <c r="O237" i="1" s="1"/>
  <c r="N197" i="1"/>
  <c r="O197" i="1" s="1"/>
  <c r="N180" i="1"/>
  <c r="O180" i="1" s="1"/>
  <c r="N206" i="1"/>
  <c r="O206" i="1" s="1"/>
  <c r="N122" i="1"/>
  <c r="O122" i="1" s="1"/>
  <c r="N102" i="1"/>
  <c r="O102" i="1" s="1"/>
  <c r="N162" i="1"/>
  <c r="O162" i="1" s="1"/>
  <c r="N177" i="1"/>
  <c r="O177" i="1" s="1"/>
  <c r="N187" i="1"/>
  <c r="O187" i="1" s="1"/>
  <c r="N159" i="1"/>
  <c r="O159" i="1" s="1"/>
  <c r="N232" i="1"/>
  <c r="O232" i="1" s="1"/>
  <c r="N246" i="1"/>
  <c r="O246" i="1" s="1"/>
  <c r="N169" i="1"/>
  <c r="O169" i="1" s="1"/>
  <c r="N114" i="1"/>
  <c r="O114" i="1" s="1"/>
  <c r="N115" i="1"/>
  <c r="O115" i="1" s="1"/>
  <c r="N116" i="1"/>
  <c r="O116" i="1" s="1"/>
  <c r="N239" i="1"/>
  <c r="O239" i="1" s="1"/>
  <c r="N234" i="1"/>
  <c r="O234" i="1" s="1"/>
  <c r="N179" i="1"/>
  <c r="O179" i="1" s="1"/>
  <c r="N240" i="1"/>
  <c r="O240" i="1" s="1"/>
  <c r="N221" i="1"/>
  <c r="O221" i="1" s="1"/>
  <c r="N163" i="1"/>
  <c r="O163" i="1" s="1"/>
  <c r="N225" i="1"/>
  <c r="O225" i="1" s="1"/>
  <c r="N211" i="1"/>
  <c r="O211" i="1" s="1"/>
  <c r="N235" i="1"/>
  <c r="O235" i="1" s="1"/>
  <c r="N204" i="1"/>
  <c r="O204" i="1" s="1"/>
  <c r="N158" i="1"/>
  <c r="O158" i="1" s="1"/>
  <c r="N218" i="1"/>
  <c r="O218" i="1" s="1"/>
  <c r="N117" i="1"/>
  <c r="O117" i="1" s="1"/>
  <c r="N198" i="1"/>
  <c r="O198" i="1" s="1"/>
  <c r="N191" i="1"/>
  <c r="O191" i="1" s="1"/>
  <c r="N194" i="1"/>
  <c r="O194" i="1" s="1"/>
  <c r="N226" i="1"/>
  <c r="O226" i="1" s="1"/>
  <c r="N244" i="1"/>
  <c r="O244" i="1" s="1"/>
  <c r="N118" i="1"/>
  <c r="O118" i="1" s="1"/>
  <c r="N157" i="1"/>
  <c r="O157" i="1" s="1"/>
  <c r="N212" i="1"/>
  <c r="O212" i="1" s="1"/>
  <c r="N156" i="1"/>
  <c r="O156" i="1" s="1"/>
  <c r="N119" i="1"/>
  <c r="O119" i="1" s="1"/>
  <c r="N238" i="1"/>
  <c r="O238" i="1" s="1"/>
  <c r="N190" i="1"/>
  <c r="O190" i="1" s="1"/>
  <c r="N203" i="1"/>
  <c r="O203" i="1" s="1"/>
  <c r="N130" i="1"/>
  <c r="O130" i="1" s="1"/>
  <c r="N161" i="1"/>
  <c r="O161" i="1" s="1"/>
  <c r="N167" i="1"/>
  <c r="O167" i="1" s="1"/>
  <c r="N146" i="1"/>
  <c r="O146" i="1" s="1"/>
  <c r="N147" i="1"/>
  <c r="O147" i="1" s="1"/>
  <c r="AE195" i="1"/>
  <c r="D250" i="1"/>
  <c r="E250" i="1"/>
  <c r="F250" i="1"/>
  <c r="G250" i="1"/>
  <c r="H250" i="1"/>
  <c r="C250" i="1"/>
  <c r="B250" i="1"/>
  <c r="D247" i="1"/>
  <c r="E247" i="1"/>
  <c r="F247" i="1"/>
  <c r="G247" i="1"/>
  <c r="H253" i="1" s="1"/>
  <c r="I81" i="1"/>
  <c r="J81" i="1"/>
  <c r="K81" i="1"/>
  <c r="L81" i="1"/>
  <c r="M81" i="1"/>
  <c r="X81" i="1"/>
  <c r="Y81" i="1"/>
  <c r="Z81" i="1"/>
  <c r="AA81" i="1"/>
  <c r="AD81" i="1"/>
  <c r="AE81" i="1"/>
  <c r="AF81" i="1"/>
  <c r="AG81" i="1"/>
  <c r="I140" i="1"/>
  <c r="J140" i="1"/>
  <c r="K140" i="1"/>
  <c r="L140" i="1"/>
  <c r="M140" i="1"/>
  <c r="X140" i="1"/>
  <c r="Y140" i="1"/>
  <c r="Z140" i="1"/>
  <c r="AA140" i="1"/>
  <c r="AD140" i="1"/>
  <c r="AE140" i="1"/>
  <c r="AF140" i="1"/>
  <c r="AG140" i="1"/>
  <c r="I141" i="1"/>
  <c r="J141" i="1"/>
  <c r="K141" i="1"/>
  <c r="L141" i="1"/>
  <c r="M141" i="1"/>
  <c r="X141" i="1"/>
  <c r="Y141" i="1"/>
  <c r="Z141" i="1"/>
  <c r="AA141" i="1"/>
  <c r="AD141" i="1"/>
  <c r="AE141" i="1"/>
  <c r="AF141" i="1"/>
  <c r="AG141" i="1"/>
  <c r="I142" i="1"/>
  <c r="J142" i="1"/>
  <c r="K142" i="1"/>
  <c r="L142" i="1"/>
  <c r="M142" i="1"/>
  <c r="X142" i="1"/>
  <c r="Y142" i="1"/>
  <c r="Z142" i="1"/>
  <c r="AA142" i="1"/>
  <c r="AD142" i="1"/>
  <c r="AE142" i="1"/>
  <c r="AF142" i="1"/>
  <c r="AG142" i="1"/>
  <c r="I143" i="1"/>
  <c r="J143" i="1"/>
  <c r="K143" i="1"/>
  <c r="L143" i="1"/>
  <c r="M143" i="1"/>
  <c r="X143" i="1"/>
  <c r="Y143" i="1"/>
  <c r="Z143" i="1"/>
  <c r="AA143" i="1"/>
  <c r="AD143" i="1"/>
  <c r="AE143" i="1"/>
  <c r="AF143" i="1"/>
  <c r="AG143" i="1"/>
  <c r="I144" i="1"/>
  <c r="J144" i="1"/>
  <c r="K144" i="1"/>
  <c r="L144" i="1"/>
  <c r="M144" i="1"/>
  <c r="X144" i="1"/>
  <c r="Y144" i="1"/>
  <c r="Z144" i="1"/>
  <c r="AA144" i="1"/>
  <c r="AD144" i="1"/>
  <c r="AE144" i="1"/>
  <c r="AF144" i="1"/>
  <c r="AG144" i="1"/>
  <c r="I145" i="1"/>
  <c r="J145" i="1"/>
  <c r="K145" i="1"/>
  <c r="L145" i="1"/>
  <c r="M145" i="1"/>
  <c r="X145" i="1"/>
  <c r="Y145" i="1"/>
  <c r="Z145" i="1"/>
  <c r="AA145" i="1"/>
  <c r="AD145" i="1"/>
  <c r="AE145" i="1"/>
  <c r="AF145" i="1"/>
  <c r="AG145" i="1"/>
  <c r="I139" i="1"/>
  <c r="J139" i="1"/>
  <c r="K139" i="1"/>
  <c r="L139" i="1"/>
  <c r="M139" i="1"/>
  <c r="X139" i="1"/>
  <c r="Y139" i="1"/>
  <c r="Z139" i="1"/>
  <c r="AA139" i="1"/>
  <c r="AD139" i="1"/>
  <c r="AE139" i="1"/>
  <c r="AF139" i="1"/>
  <c r="AG139" i="1"/>
  <c r="I149" i="1"/>
  <c r="J149" i="1"/>
  <c r="K149" i="1"/>
  <c r="L149" i="1"/>
  <c r="M149" i="1"/>
  <c r="X149" i="1"/>
  <c r="Y149" i="1"/>
  <c r="Z149" i="1"/>
  <c r="AA149" i="1"/>
  <c r="AD149" i="1"/>
  <c r="AE149" i="1"/>
  <c r="AF149" i="1"/>
  <c r="AG149" i="1"/>
  <c r="I138" i="1"/>
  <c r="J138" i="1"/>
  <c r="K138" i="1"/>
  <c r="L138" i="1"/>
  <c r="M138" i="1"/>
  <c r="X138" i="1"/>
  <c r="Y138" i="1"/>
  <c r="Z138" i="1"/>
  <c r="AA138" i="1"/>
  <c r="AD138" i="1"/>
  <c r="AE138" i="1"/>
  <c r="AF138" i="1"/>
  <c r="AG138" i="1"/>
  <c r="I101" i="1"/>
  <c r="J101" i="1"/>
  <c r="K101" i="1"/>
  <c r="L101" i="1"/>
  <c r="M101" i="1"/>
  <c r="X101" i="1"/>
  <c r="Y101" i="1"/>
  <c r="Z101" i="1"/>
  <c r="AA101" i="1"/>
  <c r="AD101" i="1"/>
  <c r="AE101" i="1"/>
  <c r="AF101" i="1"/>
  <c r="AG101" i="1"/>
  <c r="I137" i="1"/>
  <c r="J137" i="1"/>
  <c r="K137" i="1"/>
  <c r="L137" i="1"/>
  <c r="M137" i="1"/>
  <c r="X137" i="1"/>
  <c r="Y137" i="1"/>
  <c r="Z137" i="1"/>
  <c r="AA137" i="1"/>
  <c r="AD137" i="1"/>
  <c r="AE137" i="1"/>
  <c r="AF137" i="1"/>
  <c r="AG137" i="1"/>
  <c r="I136" i="1"/>
  <c r="J136" i="1"/>
  <c r="K136" i="1"/>
  <c r="L136" i="1"/>
  <c r="M136" i="1"/>
  <c r="X136" i="1"/>
  <c r="Y136" i="1"/>
  <c r="Z136" i="1"/>
  <c r="AA136" i="1"/>
  <c r="AD136" i="1"/>
  <c r="AE136" i="1"/>
  <c r="AF136" i="1"/>
  <c r="AG136" i="1"/>
  <c r="I99" i="1"/>
  <c r="J99" i="1"/>
  <c r="K99" i="1"/>
  <c r="L99" i="1"/>
  <c r="M99" i="1"/>
  <c r="X99" i="1"/>
  <c r="Y99" i="1"/>
  <c r="Z99" i="1"/>
  <c r="AA99" i="1"/>
  <c r="AD99" i="1"/>
  <c r="AE99" i="1"/>
  <c r="AF99" i="1"/>
  <c r="AG99" i="1"/>
  <c r="I92" i="1"/>
  <c r="J92" i="1"/>
  <c r="K92" i="1"/>
  <c r="L92" i="1"/>
  <c r="M92" i="1"/>
  <c r="X92" i="1"/>
  <c r="Y92" i="1"/>
  <c r="Z92" i="1"/>
  <c r="AA92" i="1"/>
  <c r="AD92" i="1"/>
  <c r="AE92" i="1"/>
  <c r="AF92" i="1"/>
  <c r="AG92" i="1"/>
  <c r="I153" i="1"/>
  <c r="J153" i="1"/>
  <c r="K153" i="1"/>
  <c r="L153" i="1"/>
  <c r="M153" i="1"/>
  <c r="X153" i="1"/>
  <c r="Y153" i="1"/>
  <c r="Z153" i="1"/>
  <c r="AA153" i="1"/>
  <c r="AD153" i="1"/>
  <c r="AE153" i="1"/>
  <c r="AF153" i="1"/>
  <c r="AG153" i="1"/>
  <c r="I87" i="1"/>
  <c r="J87" i="1"/>
  <c r="K87" i="1"/>
  <c r="L87" i="1"/>
  <c r="M87" i="1"/>
  <c r="X87" i="1"/>
  <c r="Y87" i="1"/>
  <c r="Z87" i="1"/>
  <c r="AA87" i="1"/>
  <c r="AD87" i="1"/>
  <c r="AE87" i="1"/>
  <c r="AF87" i="1"/>
  <c r="AG87" i="1"/>
  <c r="I135" i="1"/>
  <c r="J135" i="1"/>
  <c r="K135" i="1"/>
  <c r="L135" i="1"/>
  <c r="M135" i="1"/>
  <c r="X135" i="1"/>
  <c r="Y135" i="1"/>
  <c r="Z135" i="1"/>
  <c r="AA135" i="1"/>
  <c r="AD135" i="1"/>
  <c r="AE135" i="1"/>
  <c r="AF135" i="1"/>
  <c r="AG135" i="1"/>
  <c r="I76" i="1"/>
  <c r="J76" i="1"/>
  <c r="K76" i="1"/>
  <c r="L76" i="1"/>
  <c r="M76" i="1"/>
  <c r="X76" i="1"/>
  <c r="Y76" i="1"/>
  <c r="Z76" i="1"/>
  <c r="AA76" i="1"/>
  <c r="AD76" i="1"/>
  <c r="AE76" i="1"/>
  <c r="AF76" i="1"/>
  <c r="AG76" i="1"/>
  <c r="I73" i="1"/>
  <c r="J73" i="1"/>
  <c r="K73" i="1"/>
  <c r="L73" i="1"/>
  <c r="M73" i="1"/>
  <c r="X73" i="1"/>
  <c r="Y73" i="1"/>
  <c r="Z73" i="1"/>
  <c r="AA73" i="1"/>
  <c r="AD73" i="1"/>
  <c r="AE73" i="1"/>
  <c r="AF73" i="1"/>
  <c r="AG73" i="1"/>
  <c r="J24" i="1"/>
  <c r="K24" i="1"/>
  <c r="L24" i="1"/>
  <c r="X24" i="1"/>
  <c r="Y24" i="1"/>
  <c r="Z24" i="1"/>
  <c r="AA24" i="1"/>
  <c r="AD24" i="1"/>
  <c r="AE24" i="1"/>
  <c r="AG24" i="1"/>
  <c r="I134" i="1"/>
  <c r="J134" i="1"/>
  <c r="K134" i="1"/>
  <c r="L134" i="1"/>
  <c r="M134" i="1"/>
  <c r="X134" i="1"/>
  <c r="Y134" i="1"/>
  <c r="Z134" i="1"/>
  <c r="AA134" i="1"/>
  <c r="AD134" i="1"/>
  <c r="AE134" i="1"/>
  <c r="AF134" i="1"/>
  <c r="AG134" i="1"/>
  <c r="I86" i="1"/>
  <c r="J86" i="1"/>
  <c r="K86" i="1"/>
  <c r="L86" i="1"/>
  <c r="M86" i="1"/>
  <c r="X86" i="1"/>
  <c r="Y86" i="1"/>
  <c r="Z86" i="1"/>
  <c r="AA86" i="1"/>
  <c r="AD86" i="1"/>
  <c r="AE86" i="1"/>
  <c r="AF86" i="1"/>
  <c r="AG86" i="1"/>
  <c r="I133" i="1"/>
  <c r="J133" i="1"/>
  <c r="K133" i="1"/>
  <c r="L133" i="1"/>
  <c r="M133" i="1"/>
  <c r="X133" i="1"/>
  <c r="Y133" i="1"/>
  <c r="Z133" i="1"/>
  <c r="AA133" i="1"/>
  <c r="AD133" i="1"/>
  <c r="AE133" i="1"/>
  <c r="AF133" i="1"/>
  <c r="AG133" i="1"/>
  <c r="I132" i="1"/>
  <c r="J132" i="1"/>
  <c r="K132" i="1"/>
  <c r="L132" i="1"/>
  <c r="M132" i="1"/>
  <c r="X132" i="1"/>
  <c r="Y132" i="1"/>
  <c r="Z132" i="1"/>
  <c r="AA132" i="1"/>
  <c r="AD132" i="1"/>
  <c r="AE132" i="1"/>
  <c r="AF132" i="1"/>
  <c r="AG132" i="1"/>
  <c r="I98" i="1"/>
  <c r="J98" i="1"/>
  <c r="K98" i="1"/>
  <c r="L98" i="1"/>
  <c r="M98" i="1"/>
  <c r="X98" i="1"/>
  <c r="Y98" i="1"/>
  <c r="Z98" i="1"/>
  <c r="AA98" i="1"/>
  <c r="AD98" i="1"/>
  <c r="AE98" i="1"/>
  <c r="AF98" i="1"/>
  <c r="AG98" i="1"/>
  <c r="I131" i="1"/>
  <c r="J131" i="1"/>
  <c r="K131" i="1"/>
  <c r="L131" i="1"/>
  <c r="M131" i="1"/>
  <c r="X131" i="1"/>
  <c r="Y131" i="1"/>
  <c r="Z131" i="1"/>
  <c r="AA131" i="1"/>
  <c r="AD131" i="1"/>
  <c r="AE131" i="1"/>
  <c r="AF131" i="1"/>
  <c r="AG131" i="1"/>
  <c r="I90" i="1"/>
  <c r="J90" i="1"/>
  <c r="K90" i="1"/>
  <c r="L90" i="1"/>
  <c r="M90" i="1"/>
  <c r="X90" i="1"/>
  <c r="Y90" i="1"/>
  <c r="Z90" i="1"/>
  <c r="AA90" i="1"/>
  <c r="AD90" i="1"/>
  <c r="AE90" i="1"/>
  <c r="AF90" i="1"/>
  <c r="AG90" i="1"/>
  <c r="I42" i="1"/>
  <c r="K42" i="1"/>
  <c r="L42" i="1"/>
  <c r="M42" i="1"/>
  <c r="X42" i="1"/>
  <c r="Y42" i="1"/>
  <c r="Z42" i="1"/>
  <c r="AA42" i="1"/>
  <c r="AD42" i="1"/>
  <c r="AE42" i="1"/>
  <c r="AF42" i="1"/>
  <c r="AG42" i="1"/>
  <c r="I97" i="1"/>
  <c r="J97" i="1"/>
  <c r="K97" i="1"/>
  <c r="L97" i="1"/>
  <c r="M97" i="1"/>
  <c r="X97" i="1"/>
  <c r="Y97" i="1"/>
  <c r="Z97" i="1"/>
  <c r="AA97" i="1"/>
  <c r="AD97" i="1"/>
  <c r="AE97" i="1"/>
  <c r="AF97" i="1"/>
  <c r="AG97" i="1"/>
  <c r="I129" i="1"/>
  <c r="J129" i="1"/>
  <c r="K129" i="1"/>
  <c r="L129" i="1"/>
  <c r="M129" i="1"/>
  <c r="X129" i="1"/>
  <c r="Y129" i="1"/>
  <c r="Z129" i="1"/>
  <c r="AA129" i="1"/>
  <c r="AD129" i="1"/>
  <c r="AE129" i="1"/>
  <c r="AF129" i="1"/>
  <c r="AG129" i="1"/>
  <c r="I148" i="1"/>
  <c r="J148" i="1"/>
  <c r="K148" i="1"/>
  <c r="L148" i="1"/>
  <c r="M148" i="1"/>
  <c r="X148" i="1"/>
  <c r="Y148" i="1"/>
  <c r="Z148" i="1"/>
  <c r="AA148" i="1"/>
  <c r="AD148" i="1"/>
  <c r="AE148" i="1"/>
  <c r="AF148" i="1"/>
  <c r="AG148" i="1"/>
  <c r="I72" i="1"/>
  <c r="J72" i="1"/>
  <c r="K72" i="1"/>
  <c r="L72" i="1"/>
  <c r="M72" i="1"/>
  <c r="X72" i="1"/>
  <c r="Y72" i="1"/>
  <c r="Z72" i="1"/>
  <c r="AA72" i="1"/>
  <c r="AD72" i="1"/>
  <c r="AE72" i="1"/>
  <c r="AF72" i="1"/>
  <c r="AG72" i="1"/>
  <c r="I128" i="1"/>
  <c r="J128" i="1"/>
  <c r="K128" i="1"/>
  <c r="L128" i="1"/>
  <c r="M128" i="1"/>
  <c r="X128" i="1"/>
  <c r="Y128" i="1"/>
  <c r="Z128" i="1"/>
  <c r="AA128" i="1"/>
  <c r="AD128" i="1"/>
  <c r="AE128" i="1"/>
  <c r="AF128" i="1"/>
  <c r="AG128" i="1"/>
  <c r="I95" i="1"/>
  <c r="J95" i="1"/>
  <c r="K95" i="1"/>
  <c r="L95" i="1"/>
  <c r="M95" i="1"/>
  <c r="X95" i="1"/>
  <c r="Y95" i="1"/>
  <c r="Z95" i="1"/>
  <c r="AA95" i="1"/>
  <c r="AD95" i="1"/>
  <c r="AE95" i="1"/>
  <c r="AF95" i="1"/>
  <c r="AG95" i="1"/>
  <c r="I57" i="1"/>
  <c r="J57" i="1"/>
  <c r="K57" i="1"/>
  <c r="L57" i="1"/>
  <c r="M57" i="1"/>
  <c r="X57" i="1"/>
  <c r="Y57" i="1"/>
  <c r="Z57" i="1"/>
  <c r="AA57" i="1"/>
  <c r="AD57" i="1"/>
  <c r="AE57" i="1"/>
  <c r="AF57" i="1"/>
  <c r="AG57" i="1"/>
  <c r="I82" i="1"/>
  <c r="J82" i="1"/>
  <c r="K82" i="1"/>
  <c r="L82" i="1"/>
  <c r="M82" i="1"/>
  <c r="X82" i="1"/>
  <c r="Y82" i="1"/>
  <c r="Z82" i="1"/>
  <c r="AA82" i="1"/>
  <c r="AD82" i="1"/>
  <c r="AE82" i="1"/>
  <c r="AF82" i="1"/>
  <c r="AG82" i="1"/>
  <c r="I68" i="1"/>
  <c r="J68" i="1"/>
  <c r="K68" i="1"/>
  <c r="L68" i="1"/>
  <c r="M68" i="1"/>
  <c r="X68" i="1"/>
  <c r="Y68" i="1"/>
  <c r="Z68" i="1"/>
  <c r="AA68" i="1"/>
  <c r="AD68" i="1"/>
  <c r="AE68" i="1"/>
  <c r="AF68" i="1"/>
  <c r="AG68" i="1"/>
  <c r="I127" i="1"/>
  <c r="J127" i="1"/>
  <c r="K127" i="1"/>
  <c r="L127" i="1"/>
  <c r="M127" i="1"/>
  <c r="X127" i="1"/>
  <c r="Y127" i="1"/>
  <c r="Z127" i="1"/>
  <c r="AA127" i="1"/>
  <c r="AD127" i="1"/>
  <c r="AE127" i="1"/>
  <c r="AF127" i="1"/>
  <c r="AG127" i="1"/>
  <c r="I126" i="1"/>
  <c r="J126" i="1"/>
  <c r="K126" i="1"/>
  <c r="L126" i="1"/>
  <c r="M126" i="1"/>
  <c r="X126" i="1"/>
  <c r="Y126" i="1"/>
  <c r="Z126" i="1"/>
  <c r="AA126" i="1"/>
  <c r="AD126" i="1"/>
  <c r="AE126" i="1"/>
  <c r="AF126" i="1"/>
  <c r="AG126" i="1"/>
  <c r="I49" i="1"/>
  <c r="J49" i="1"/>
  <c r="K49" i="1"/>
  <c r="L49" i="1"/>
  <c r="M49" i="1"/>
  <c r="X49" i="1"/>
  <c r="Y49" i="1"/>
  <c r="Z49" i="1"/>
  <c r="AA49" i="1"/>
  <c r="AD49" i="1"/>
  <c r="AE49" i="1"/>
  <c r="AF49" i="1"/>
  <c r="AG49" i="1"/>
  <c r="I39" i="1"/>
  <c r="J39" i="1"/>
  <c r="K39" i="1"/>
  <c r="L39" i="1"/>
  <c r="M39" i="1"/>
  <c r="X39" i="1"/>
  <c r="Y39" i="1"/>
  <c r="Z39" i="1"/>
  <c r="AA39" i="1"/>
  <c r="AD39" i="1"/>
  <c r="AE39" i="1"/>
  <c r="AF39" i="1"/>
  <c r="AG39" i="1"/>
  <c r="I125" i="1"/>
  <c r="J125" i="1"/>
  <c r="K125" i="1"/>
  <c r="L125" i="1"/>
  <c r="M125" i="1"/>
  <c r="X125" i="1"/>
  <c r="Y125" i="1"/>
  <c r="Z125" i="1"/>
  <c r="AA125" i="1"/>
  <c r="AD125" i="1"/>
  <c r="AE125" i="1"/>
  <c r="AF125" i="1"/>
  <c r="AG125" i="1"/>
  <c r="I124" i="1"/>
  <c r="J124" i="1"/>
  <c r="K124" i="1"/>
  <c r="L124" i="1"/>
  <c r="M124" i="1"/>
  <c r="X124" i="1"/>
  <c r="Y124" i="1"/>
  <c r="Z124" i="1"/>
  <c r="AA124" i="1"/>
  <c r="AD124" i="1"/>
  <c r="AE124" i="1"/>
  <c r="AF124" i="1"/>
  <c r="AG124" i="1"/>
  <c r="I192" i="1"/>
  <c r="J192" i="1"/>
  <c r="K192" i="1"/>
  <c r="L192" i="1"/>
  <c r="M192" i="1"/>
  <c r="X192" i="1"/>
  <c r="Y192" i="1"/>
  <c r="Z192" i="1"/>
  <c r="AA192" i="1"/>
  <c r="AD192" i="1"/>
  <c r="AE192" i="1"/>
  <c r="AF192" i="1"/>
  <c r="AG192" i="1"/>
  <c r="I70" i="1"/>
  <c r="J70" i="1"/>
  <c r="K70" i="1"/>
  <c r="L70" i="1"/>
  <c r="M70" i="1"/>
  <c r="X70" i="1"/>
  <c r="Y70" i="1"/>
  <c r="Z70" i="1"/>
  <c r="AA70" i="1"/>
  <c r="AD70" i="1"/>
  <c r="AE70" i="1"/>
  <c r="AF70" i="1"/>
  <c r="AG70" i="1"/>
  <c r="I17" i="1"/>
  <c r="J17" i="1"/>
  <c r="K17" i="1"/>
  <c r="L17" i="1"/>
  <c r="M17" i="1"/>
  <c r="X17" i="1"/>
  <c r="Y17" i="1"/>
  <c r="Z17" i="1"/>
  <c r="AA17" i="1"/>
  <c r="AD17" i="1"/>
  <c r="AE17" i="1"/>
  <c r="AF17" i="1"/>
  <c r="AG17" i="1"/>
  <c r="I36" i="1"/>
  <c r="J36" i="1"/>
  <c r="K36" i="1"/>
  <c r="L36" i="1"/>
  <c r="M36" i="1"/>
  <c r="X36" i="1"/>
  <c r="Y36" i="1"/>
  <c r="Z36" i="1"/>
  <c r="AA36" i="1"/>
  <c r="AD36" i="1"/>
  <c r="AE36" i="1"/>
  <c r="AF36" i="1"/>
  <c r="AG36" i="1"/>
  <c r="I84" i="1"/>
  <c r="J84" i="1"/>
  <c r="K84" i="1"/>
  <c r="L84" i="1"/>
  <c r="M84" i="1"/>
  <c r="X84" i="1"/>
  <c r="Y84" i="1"/>
  <c r="Z84" i="1"/>
  <c r="AA84" i="1"/>
  <c r="AD84" i="1"/>
  <c r="AE84" i="1"/>
  <c r="AF84" i="1"/>
  <c r="AG84" i="1"/>
  <c r="I93" i="1"/>
  <c r="J93" i="1"/>
  <c r="K93" i="1"/>
  <c r="L93" i="1"/>
  <c r="M93" i="1"/>
  <c r="X93" i="1"/>
  <c r="Y93" i="1"/>
  <c r="Z93" i="1"/>
  <c r="AA93" i="1"/>
  <c r="AD93" i="1"/>
  <c r="AE93" i="1"/>
  <c r="AF93" i="1"/>
  <c r="AG93" i="1"/>
  <c r="I28" i="1"/>
  <c r="J28" i="1"/>
  <c r="K28" i="1"/>
  <c r="L28" i="1"/>
  <c r="M28" i="1"/>
  <c r="X28" i="1"/>
  <c r="Y28" i="1"/>
  <c r="Z28" i="1"/>
  <c r="AA28" i="1"/>
  <c r="AD28" i="1"/>
  <c r="AE28" i="1"/>
  <c r="AF28" i="1"/>
  <c r="AG28" i="1"/>
  <c r="I123" i="1"/>
  <c r="J123" i="1"/>
  <c r="K123" i="1"/>
  <c r="L123" i="1"/>
  <c r="M123" i="1"/>
  <c r="X123" i="1"/>
  <c r="Y123" i="1"/>
  <c r="Z123" i="1"/>
  <c r="AA123" i="1"/>
  <c r="AD123" i="1"/>
  <c r="AE123" i="1"/>
  <c r="AF123" i="1"/>
  <c r="AG123" i="1"/>
  <c r="I12" i="1"/>
  <c r="J12" i="1"/>
  <c r="K12" i="1"/>
  <c r="L12" i="1"/>
  <c r="M12" i="1"/>
  <c r="X12" i="1"/>
  <c r="Y12" i="1"/>
  <c r="Z12" i="1"/>
  <c r="AA12" i="1"/>
  <c r="AD12" i="1"/>
  <c r="AE12" i="1"/>
  <c r="AF12" i="1"/>
  <c r="AG12" i="1"/>
  <c r="I91" i="1"/>
  <c r="J91" i="1"/>
  <c r="K91" i="1"/>
  <c r="L91" i="1"/>
  <c r="M91" i="1"/>
  <c r="X91" i="1"/>
  <c r="Y91" i="1"/>
  <c r="Z91" i="1"/>
  <c r="AA91" i="1"/>
  <c r="AD91" i="1"/>
  <c r="AE91" i="1"/>
  <c r="AF91" i="1"/>
  <c r="AG91" i="1"/>
  <c r="I88" i="1"/>
  <c r="J88" i="1"/>
  <c r="K88" i="1"/>
  <c r="L88" i="1"/>
  <c r="M88" i="1"/>
  <c r="X88" i="1"/>
  <c r="Y88" i="1"/>
  <c r="Z88" i="1"/>
  <c r="AA88" i="1"/>
  <c r="AD88" i="1"/>
  <c r="AE88" i="1"/>
  <c r="AF88" i="1"/>
  <c r="AG88" i="1"/>
  <c r="I67" i="1"/>
  <c r="J67" i="1"/>
  <c r="K67" i="1"/>
  <c r="L67" i="1"/>
  <c r="M67" i="1"/>
  <c r="X67" i="1"/>
  <c r="Y67" i="1"/>
  <c r="Z67" i="1"/>
  <c r="AA67" i="1"/>
  <c r="AD67" i="1"/>
  <c r="AE67" i="1"/>
  <c r="AF67" i="1"/>
  <c r="AG67" i="1"/>
  <c r="I32" i="1"/>
  <c r="J32" i="1"/>
  <c r="K32" i="1"/>
  <c r="L32" i="1"/>
  <c r="M32" i="1"/>
  <c r="X32" i="1"/>
  <c r="Y32" i="1"/>
  <c r="Z32" i="1"/>
  <c r="AA32" i="1"/>
  <c r="AD32" i="1"/>
  <c r="AE32" i="1"/>
  <c r="AF32" i="1"/>
  <c r="AG32" i="1"/>
  <c r="I18" i="1"/>
  <c r="J18" i="1"/>
  <c r="K18" i="1"/>
  <c r="L18" i="1"/>
  <c r="M18" i="1"/>
  <c r="X18" i="1"/>
  <c r="Y18" i="1"/>
  <c r="Z18" i="1"/>
  <c r="AA18" i="1"/>
  <c r="AD18" i="1"/>
  <c r="AE18" i="1"/>
  <c r="AF18" i="1"/>
  <c r="AG18" i="1"/>
  <c r="I178" i="1"/>
  <c r="J178" i="1"/>
  <c r="K178" i="1"/>
  <c r="L178" i="1"/>
  <c r="M178" i="1"/>
  <c r="X178" i="1"/>
  <c r="Y178" i="1"/>
  <c r="Z178" i="1"/>
  <c r="AA178" i="1"/>
  <c r="AD178" i="1"/>
  <c r="AE178" i="1"/>
  <c r="AF178" i="1"/>
  <c r="AG178" i="1"/>
  <c r="I231" i="1"/>
  <c r="J231" i="1"/>
  <c r="K231" i="1"/>
  <c r="L231" i="1"/>
  <c r="M231" i="1"/>
  <c r="X231" i="1"/>
  <c r="Y231" i="1"/>
  <c r="Z231" i="1"/>
  <c r="AA231" i="1"/>
  <c r="AD231" i="1"/>
  <c r="AE231" i="1"/>
  <c r="AF231" i="1"/>
  <c r="AG231" i="1"/>
  <c r="I152" i="1"/>
  <c r="J152" i="1"/>
  <c r="K152" i="1"/>
  <c r="L152" i="1"/>
  <c r="M152" i="1"/>
  <c r="X152" i="1"/>
  <c r="Y152" i="1"/>
  <c r="Z152" i="1"/>
  <c r="AA152" i="1"/>
  <c r="AD152" i="1"/>
  <c r="AE152" i="1"/>
  <c r="AF152" i="1"/>
  <c r="AG152" i="1"/>
  <c r="I121" i="1"/>
  <c r="J121" i="1"/>
  <c r="K121" i="1"/>
  <c r="L121" i="1"/>
  <c r="M121" i="1"/>
  <c r="X121" i="1"/>
  <c r="Y121" i="1"/>
  <c r="Z121" i="1"/>
  <c r="AA121" i="1"/>
  <c r="AD121" i="1"/>
  <c r="AE121" i="1"/>
  <c r="AF121" i="1"/>
  <c r="AG121" i="1"/>
  <c r="I230" i="1"/>
  <c r="J230" i="1"/>
  <c r="K230" i="1"/>
  <c r="L230" i="1"/>
  <c r="M230" i="1"/>
  <c r="X230" i="1"/>
  <c r="Y230" i="1"/>
  <c r="Z230" i="1"/>
  <c r="AA230" i="1"/>
  <c r="AD230" i="1"/>
  <c r="AE230" i="1"/>
  <c r="AF230" i="1"/>
  <c r="AG230" i="1"/>
  <c r="I236" i="1"/>
  <c r="J236" i="1"/>
  <c r="K236" i="1"/>
  <c r="L236" i="1"/>
  <c r="M236" i="1"/>
  <c r="X236" i="1"/>
  <c r="Y236" i="1"/>
  <c r="Z236" i="1"/>
  <c r="AA236" i="1"/>
  <c r="AD236" i="1"/>
  <c r="AE236" i="1"/>
  <c r="AF236" i="1"/>
  <c r="AG236" i="1"/>
  <c r="I113" i="1"/>
  <c r="J113" i="1"/>
  <c r="K113" i="1"/>
  <c r="L113" i="1"/>
  <c r="M113" i="1"/>
  <c r="X113" i="1"/>
  <c r="Y113" i="1"/>
  <c r="Z113" i="1"/>
  <c r="AA113" i="1"/>
  <c r="AD113" i="1"/>
  <c r="AE113" i="1"/>
  <c r="AF113" i="1"/>
  <c r="AG113" i="1"/>
  <c r="I75" i="1"/>
  <c r="J75" i="1"/>
  <c r="K75" i="1"/>
  <c r="L75" i="1"/>
  <c r="M75" i="1"/>
  <c r="X75" i="1"/>
  <c r="Y75" i="1"/>
  <c r="Z75" i="1"/>
  <c r="AA75" i="1"/>
  <c r="AD75" i="1"/>
  <c r="AE75" i="1"/>
  <c r="AF75" i="1"/>
  <c r="AG75" i="1"/>
  <c r="I193" i="1"/>
  <c r="J193" i="1"/>
  <c r="K193" i="1"/>
  <c r="L193" i="1"/>
  <c r="M193" i="1"/>
  <c r="X193" i="1"/>
  <c r="Y193" i="1"/>
  <c r="Z193" i="1"/>
  <c r="AA193" i="1"/>
  <c r="AD193" i="1"/>
  <c r="AE193" i="1"/>
  <c r="AF193" i="1"/>
  <c r="AG193" i="1"/>
  <c r="I56" i="1"/>
  <c r="J56" i="1"/>
  <c r="K56" i="1"/>
  <c r="L56" i="1"/>
  <c r="M56" i="1"/>
  <c r="X56" i="1"/>
  <c r="Y56" i="1"/>
  <c r="Z56" i="1"/>
  <c r="AA56" i="1"/>
  <c r="AD56" i="1"/>
  <c r="AE56" i="1"/>
  <c r="AF56" i="1"/>
  <c r="AG56" i="1"/>
  <c r="I155" i="1"/>
  <c r="J155" i="1"/>
  <c r="K155" i="1"/>
  <c r="L155" i="1"/>
  <c r="M155" i="1"/>
  <c r="X155" i="1"/>
  <c r="Y155" i="1"/>
  <c r="Z155" i="1"/>
  <c r="AA155" i="1"/>
  <c r="AD155" i="1"/>
  <c r="AE155" i="1"/>
  <c r="AF155" i="1"/>
  <c r="AG155" i="1"/>
  <c r="I111" i="1"/>
  <c r="J111" i="1"/>
  <c r="K111" i="1"/>
  <c r="L111" i="1"/>
  <c r="M111" i="1"/>
  <c r="X111" i="1"/>
  <c r="Y111" i="1"/>
  <c r="Z111" i="1"/>
  <c r="AA111" i="1"/>
  <c r="AD111" i="1"/>
  <c r="AE111" i="1"/>
  <c r="AF111" i="1"/>
  <c r="AG111" i="1"/>
  <c r="I110" i="1"/>
  <c r="J110" i="1"/>
  <c r="K110" i="1"/>
  <c r="L110" i="1"/>
  <c r="M110" i="1"/>
  <c r="X110" i="1"/>
  <c r="Y110" i="1"/>
  <c r="Z110" i="1"/>
  <c r="AA110" i="1"/>
  <c r="AD110" i="1"/>
  <c r="AE110" i="1"/>
  <c r="AF110" i="1"/>
  <c r="AG110" i="1"/>
  <c r="I229" i="1"/>
  <c r="J229" i="1"/>
  <c r="K229" i="1"/>
  <c r="L229" i="1"/>
  <c r="M229" i="1"/>
  <c r="X229" i="1"/>
  <c r="Y229" i="1"/>
  <c r="Z229" i="1"/>
  <c r="AA229" i="1"/>
  <c r="AD229" i="1"/>
  <c r="AE229" i="1"/>
  <c r="AF229" i="1"/>
  <c r="AG229" i="1"/>
  <c r="I185" i="1"/>
  <c r="J185" i="1"/>
  <c r="K185" i="1"/>
  <c r="L185" i="1"/>
  <c r="M185" i="1"/>
  <c r="X185" i="1"/>
  <c r="Y185" i="1"/>
  <c r="Z185" i="1"/>
  <c r="AA185" i="1"/>
  <c r="AD185" i="1"/>
  <c r="AE185" i="1"/>
  <c r="AF185" i="1"/>
  <c r="AG185" i="1"/>
  <c r="I205" i="1"/>
  <c r="J205" i="1"/>
  <c r="K205" i="1"/>
  <c r="L205" i="1"/>
  <c r="M205" i="1"/>
  <c r="X205" i="1"/>
  <c r="Y205" i="1"/>
  <c r="Z205" i="1"/>
  <c r="AA205" i="1"/>
  <c r="AD205" i="1"/>
  <c r="AE205" i="1"/>
  <c r="AF205" i="1"/>
  <c r="AG205" i="1"/>
  <c r="I215" i="1"/>
  <c r="J215" i="1"/>
  <c r="K215" i="1"/>
  <c r="L215" i="1"/>
  <c r="M215" i="1"/>
  <c r="X215" i="1"/>
  <c r="Y215" i="1"/>
  <c r="Z215" i="1"/>
  <c r="AA215" i="1"/>
  <c r="AD215" i="1"/>
  <c r="AE215" i="1"/>
  <c r="AF215" i="1"/>
  <c r="AG215" i="1"/>
  <c r="I85" i="1"/>
  <c r="J85" i="1"/>
  <c r="K85" i="1"/>
  <c r="L85" i="1"/>
  <c r="M85" i="1"/>
  <c r="X85" i="1"/>
  <c r="Y85" i="1"/>
  <c r="Z85" i="1"/>
  <c r="AA85" i="1"/>
  <c r="AD85" i="1"/>
  <c r="AE85" i="1"/>
  <c r="AF85" i="1"/>
  <c r="AG85" i="1"/>
  <c r="I217" i="1"/>
  <c r="J217" i="1"/>
  <c r="K217" i="1"/>
  <c r="L217" i="1"/>
  <c r="M217" i="1"/>
  <c r="X217" i="1"/>
  <c r="Y217" i="1"/>
  <c r="Z217" i="1"/>
  <c r="AA217" i="1"/>
  <c r="AD217" i="1"/>
  <c r="AE217" i="1"/>
  <c r="AF217" i="1"/>
  <c r="AG217" i="1"/>
  <c r="I174" i="1"/>
  <c r="J174" i="1"/>
  <c r="K174" i="1"/>
  <c r="L174" i="1"/>
  <c r="M174" i="1"/>
  <c r="X174" i="1"/>
  <c r="Y174" i="1"/>
  <c r="Z174" i="1"/>
  <c r="AA174" i="1"/>
  <c r="AD174" i="1"/>
  <c r="AE174" i="1"/>
  <c r="AF174" i="1"/>
  <c r="AG174" i="1"/>
  <c r="I50" i="1"/>
  <c r="J50" i="1"/>
  <c r="K50" i="1"/>
  <c r="L50" i="1"/>
  <c r="M50" i="1"/>
  <c r="X50" i="1"/>
  <c r="Y50" i="1"/>
  <c r="Z50" i="1"/>
  <c r="AA50" i="1"/>
  <c r="AD50" i="1"/>
  <c r="AE50" i="1"/>
  <c r="AF50" i="1"/>
  <c r="AG50" i="1"/>
  <c r="I233" i="1"/>
  <c r="J233" i="1"/>
  <c r="K233" i="1"/>
  <c r="L233" i="1"/>
  <c r="M233" i="1"/>
  <c r="X233" i="1"/>
  <c r="Y233" i="1"/>
  <c r="Z233" i="1"/>
  <c r="AA233" i="1"/>
  <c r="AD233" i="1"/>
  <c r="AE233" i="1"/>
  <c r="AF233" i="1"/>
  <c r="AG233" i="1"/>
  <c r="I195" i="1"/>
  <c r="J195" i="1"/>
  <c r="K195" i="1"/>
  <c r="L195" i="1"/>
  <c r="M195" i="1"/>
  <c r="X195" i="1"/>
  <c r="Y195" i="1"/>
  <c r="Z195" i="1"/>
  <c r="AA195" i="1"/>
  <c r="AD195" i="1"/>
  <c r="AF195" i="1"/>
  <c r="AG195" i="1"/>
  <c r="I109" i="1"/>
  <c r="J109" i="1"/>
  <c r="K109" i="1"/>
  <c r="L109" i="1"/>
  <c r="M109" i="1"/>
  <c r="X109" i="1"/>
  <c r="Y109" i="1"/>
  <c r="Z109" i="1"/>
  <c r="AA109" i="1"/>
  <c r="AD109" i="1"/>
  <c r="AE109" i="1"/>
  <c r="AF109" i="1"/>
  <c r="AG109" i="1"/>
  <c r="I222" i="1"/>
  <c r="J222" i="1"/>
  <c r="K222" i="1"/>
  <c r="L222" i="1"/>
  <c r="M222" i="1"/>
  <c r="X222" i="1"/>
  <c r="Y222" i="1"/>
  <c r="Z222" i="1"/>
  <c r="AA222" i="1"/>
  <c r="AD222" i="1"/>
  <c r="AE222" i="1"/>
  <c r="AF222" i="1"/>
  <c r="AG222" i="1"/>
  <c r="I173" i="1"/>
  <c r="J173" i="1"/>
  <c r="K173" i="1"/>
  <c r="L173" i="1"/>
  <c r="M173" i="1"/>
  <c r="X173" i="1"/>
  <c r="Y173" i="1"/>
  <c r="Z173" i="1"/>
  <c r="AA173" i="1"/>
  <c r="AD173" i="1"/>
  <c r="AE173" i="1"/>
  <c r="AF173" i="1"/>
  <c r="AG173" i="1"/>
  <c r="I108" i="1"/>
  <c r="J108" i="1"/>
  <c r="K108" i="1"/>
  <c r="L108" i="1"/>
  <c r="M108" i="1"/>
  <c r="X108" i="1"/>
  <c r="Y108" i="1"/>
  <c r="Z108" i="1"/>
  <c r="AA108" i="1"/>
  <c r="AD108" i="1"/>
  <c r="AE108" i="1"/>
  <c r="AF108" i="1"/>
  <c r="AG108" i="1"/>
  <c r="I184" i="1"/>
  <c r="J184" i="1"/>
  <c r="K184" i="1"/>
  <c r="L184" i="1"/>
  <c r="M184" i="1"/>
  <c r="X184" i="1"/>
  <c r="Y184" i="1"/>
  <c r="Z184" i="1"/>
  <c r="AA184" i="1"/>
  <c r="AD184" i="1"/>
  <c r="AE184" i="1"/>
  <c r="AF184" i="1"/>
  <c r="AG184" i="1"/>
  <c r="I63" i="1"/>
  <c r="J63" i="1"/>
  <c r="K63" i="1"/>
  <c r="L63" i="1"/>
  <c r="M63" i="1"/>
  <c r="X63" i="1"/>
  <c r="Y63" i="1"/>
  <c r="Z63" i="1"/>
  <c r="AA63" i="1"/>
  <c r="AD63" i="1"/>
  <c r="AE63" i="1"/>
  <c r="AF63" i="1"/>
  <c r="AG63" i="1"/>
  <c r="I171" i="1"/>
  <c r="J171" i="1"/>
  <c r="K171" i="1"/>
  <c r="L171" i="1"/>
  <c r="M171" i="1"/>
  <c r="X171" i="1"/>
  <c r="Y171" i="1"/>
  <c r="Z171" i="1"/>
  <c r="AA171" i="1"/>
  <c r="AD171" i="1"/>
  <c r="AE171" i="1"/>
  <c r="AF171" i="1"/>
  <c r="AG171" i="1"/>
  <c r="I200" i="1"/>
  <c r="J200" i="1"/>
  <c r="K200" i="1"/>
  <c r="L200" i="1"/>
  <c r="M200" i="1"/>
  <c r="X200" i="1"/>
  <c r="Y200" i="1"/>
  <c r="Z200" i="1"/>
  <c r="AA200" i="1"/>
  <c r="AD200" i="1"/>
  <c r="AE200" i="1"/>
  <c r="AF200" i="1"/>
  <c r="AG200" i="1"/>
  <c r="I107" i="1"/>
  <c r="J107" i="1"/>
  <c r="K107" i="1"/>
  <c r="L107" i="1"/>
  <c r="M107" i="1"/>
  <c r="X107" i="1"/>
  <c r="Y107" i="1"/>
  <c r="Z107" i="1"/>
  <c r="AA107" i="1"/>
  <c r="AD107" i="1"/>
  <c r="AE107" i="1"/>
  <c r="AF107" i="1"/>
  <c r="AG107" i="1"/>
  <c r="I219" i="1"/>
  <c r="J219" i="1"/>
  <c r="K219" i="1"/>
  <c r="L219" i="1"/>
  <c r="M219" i="1"/>
  <c r="X219" i="1"/>
  <c r="Y219" i="1"/>
  <c r="Z219" i="1"/>
  <c r="AA219" i="1"/>
  <c r="AD219" i="1"/>
  <c r="AE219" i="1"/>
  <c r="AF219" i="1"/>
  <c r="AG219" i="1"/>
  <c r="I241" i="1"/>
  <c r="J241" i="1"/>
  <c r="K241" i="1"/>
  <c r="L241" i="1"/>
  <c r="M241" i="1"/>
  <c r="X241" i="1"/>
  <c r="Y241" i="1"/>
  <c r="Z241" i="1"/>
  <c r="AA241" i="1"/>
  <c r="AD241" i="1"/>
  <c r="AE241" i="1"/>
  <c r="AF241" i="1"/>
  <c r="AG241" i="1"/>
  <c r="I154" i="1"/>
  <c r="J154" i="1"/>
  <c r="K154" i="1"/>
  <c r="L154" i="1"/>
  <c r="M154" i="1"/>
  <c r="X154" i="1"/>
  <c r="Y154" i="1"/>
  <c r="Z154" i="1"/>
  <c r="AA154" i="1"/>
  <c r="AD154" i="1"/>
  <c r="AE154" i="1"/>
  <c r="AF154" i="1"/>
  <c r="AG154" i="1"/>
  <c r="I150" i="1"/>
  <c r="J150" i="1"/>
  <c r="K150" i="1"/>
  <c r="L150" i="1"/>
  <c r="M150" i="1"/>
  <c r="X150" i="1"/>
  <c r="Y150" i="1"/>
  <c r="Z150" i="1"/>
  <c r="AA150" i="1"/>
  <c r="AD150" i="1"/>
  <c r="AE150" i="1"/>
  <c r="AF150" i="1"/>
  <c r="AG150" i="1"/>
  <c r="I165" i="1"/>
  <c r="J165" i="1"/>
  <c r="K165" i="1"/>
  <c r="L165" i="1"/>
  <c r="M165" i="1"/>
  <c r="X165" i="1"/>
  <c r="Y165" i="1"/>
  <c r="Z165" i="1"/>
  <c r="AA165" i="1"/>
  <c r="AD165" i="1"/>
  <c r="AE165" i="1"/>
  <c r="AF165" i="1"/>
  <c r="AG165" i="1"/>
  <c r="I175" i="1"/>
  <c r="J175" i="1"/>
  <c r="K175" i="1"/>
  <c r="L175" i="1"/>
  <c r="M175" i="1"/>
  <c r="X175" i="1"/>
  <c r="Y175" i="1"/>
  <c r="Z175" i="1"/>
  <c r="AA175" i="1"/>
  <c r="AD175" i="1"/>
  <c r="AE175" i="1"/>
  <c r="AF175" i="1"/>
  <c r="AG175" i="1"/>
  <c r="I80" i="1"/>
  <c r="J80" i="1"/>
  <c r="K80" i="1"/>
  <c r="L80" i="1"/>
  <c r="M80" i="1"/>
  <c r="X80" i="1"/>
  <c r="Y80" i="1"/>
  <c r="Z80" i="1"/>
  <c r="AA80" i="1"/>
  <c r="AD80" i="1"/>
  <c r="AE80" i="1"/>
  <c r="AF80" i="1"/>
  <c r="AG80" i="1"/>
  <c r="I170" i="1"/>
  <c r="J170" i="1"/>
  <c r="K170" i="1"/>
  <c r="L170" i="1"/>
  <c r="M170" i="1"/>
  <c r="X170" i="1"/>
  <c r="Y170" i="1"/>
  <c r="Z170" i="1"/>
  <c r="AA170" i="1"/>
  <c r="AD170" i="1"/>
  <c r="AE170" i="1"/>
  <c r="AF170" i="1"/>
  <c r="AG170" i="1"/>
  <c r="I207" i="1"/>
  <c r="J207" i="1"/>
  <c r="K207" i="1"/>
  <c r="L207" i="1"/>
  <c r="M207" i="1"/>
  <c r="X207" i="1"/>
  <c r="Y207" i="1"/>
  <c r="Z207" i="1"/>
  <c r="AA207" i="1"/>
  <c r="AD207" i="1"/>
  <c r="AE207" i="1"/>
  <c r="AF207" i="1"/>
  <c r="AG207" i="1"/>
  <c r="I160" i="1"/>
  <c r="J160" i="1"/>
  <c r="K160" i="1"/>
  <c r="L160" i="1"/>
  <c r="M160" i="1"/>
  <c r="X160" i="1"/>
  <c r="Y160" i="1"/>
  <c r="Z160" i="1"/>
  <c r="AA160" i="1"/>
  <c r="AD160" i="1"/>
  <c r="AE160" i="1"/>
  <c r="AF160" i="1"/>
  <c r="AG160" i="1"/>
  <c r="I201" i="1"/>
  <c r="J201" i="1"/>
  <c r="K201" i="1"/>
  <c r="L201" i="1"/>
  <c r="M201" i="1"/>
  <c r="X201" i="1"/>
  <c r="Y201" i="1"/>
  <c r="Z201" i="1"/>
  <c r="AA201" i="1"/>
  <c r="AD201" i="1"/>
  <c r="AE201" i="1"/>
  <c r="AF201" i="1"/>
  <c r="AG201" i="1"/>
  <c r="I106" i="1"/>
  <c r="J106" i="1"/>
  <c r="K106" i="1"/>
  <c r="L106" i="1"/>
  <c r="M106" i="1"/>
  <c r="X106" i="1"/>
  <c r="Y106" i="1"/>
  <c r="Z106" i="1"/>
  <c r="AA106" i="1"/>
  <c r="AD106" i="1"/>
  <c r="AE106" i="1"/>
  <c r="AF106" i="1"/>
  <c r="AG106" i="1"/>
  <c r="I66" i="1"/>
  <c r="J66" i="1"/>
  <c r="K66" i="1"/>
  <c r="L66" i="1"/>
  <c r="M66" i="1"/>
  <c r="X66" i="1"/>
  <c r="Y66" i="1"/>
  <c r="Z66" i="1"/>
  <c r="AA66" i="1"/>
  <c r="AD66" i="1"/>
  <c r="AE66" i="1"/>
  <c r="AF66" i="1"/>
  <c r="AG66" i="1"/>
  <c r="I228" i="1"/>
  <c r="J228" i="1"/>
  <c r="K228" i="1"/>
  <c r="L228" i="1"/>
  <c r="M228" i="1"/>
  <c r="X228" i="1"/>
  <c r="Y228" i="1"/>
  <c r="Z228" i="1"/>
  <c r="AA228" i="1"/>
  <c r="AD228" i="1"/>
  <c r="AE228" i="1"/>
  <c r="AF228" i="1"/>
  <c r="AG228" i="1"/>
  <c r="I202" i="1"/>
  <c r="J202" i="1"/>
  <c r="K202" i="1"/>
  <c r="L202" i="1"/>
  <c r="M202" i="1"/>
  <c r="X202" i="1"/>
  <c r="Y202" i="1"/>
  <c r="Z202" i="1"/>
  <c r="AA202" i="1"/>
  <c r="AD202" i="1"/>
  <c r="AE202" i="1"/>
  <c r="AF202" i="1"/>
  <c r="AG202" i="1"/>
  <c r="I168" i="1"/>
  <c r="J168" i="1"/>
  <c r="K168" i="1"/>
  <c r="L168" i="1"/>
  <c r="M168" i="1"/>
  <c r="X168" i="1"/>
  <c r="Y168" i="1"/>
  <c r="Z168" i="1"/>
  <c r="AA168" i="1"/>
  <c r="AD168" i="1"/>
  <c r="AE168" i="1"/>
  <c r="AF168" i="1"/>
  <c r="AG168" i="1"/>
  <c r="I189" i="1"/>
  <c r="J189" i="1"/>
  <c r="K189" i="1"/>
  <c r="L189" i="1"/>
  <c r="M189" i="1"/>
  <c r="X189" i="1"/>
  <c r="Y189" i="1"/>
  <c r="Z189" i="1"/>
  <c r="AA189" i="1"/>
  <c r="AD189" i="1"/>
  <c r="AE189" i="1"/>
  <c r="AF189" i="1"/>
  <c r="AG189" i="1"/>
  <c r="I196" i="1"/>
  <c r="J196" i="1"/>
  <c r="K196" i="1"/>
  <c r="L196" i="1"/>
  <c r="M196" i="1"/>
  <c r="R196" i="1"/>
  <c r="X196" i="1"/>
  <c r="Y196" i="1"/>
  <c r="Z196" i="1"/>
  <c r="AA196" i="1"/>
  <c r="AD196" i="1"/>
  <c r="AE196" i="1"/>
  <c r="AF196" i="1"/>
  <c r="AG196" i="1"/>
  <c r="I52" i="1"/>
  <c r="J52" i="1"/>
  <c r="K52" i="1"/>
  <c r="L52" i="1"/>
  <c r="M52" i="1"/>
  <c r="X52" i="1"/>
  <c r="Y52" i="1"/>
  <c r="Z52" i="1"/>
  <c r="AA52" i="1"/>
  <c r="AD52" i="1"/>
  <c r="AE52" i="1"/>
  <c r="AF52" i="1"/>
  <c r="AG52" i="1"/>
  <c r="I181" i="1"/>
  <c r="J181" i="1"/>
  <c r="K181" i="1"/>
  <c r="L181" i="1"/>
  <c r="M181" i="1"/>
  <c r="X181" i="1"/>
  <c r="Y181" i="1"/>
  <c r="Z181" i="1"/>
  <c r="AA181" i="1"/>
  <c r="AD181" i="1"/>
  <c r="AE181" i="1"/>
  <c r="AF181" i="1"/>
  <c r="AG181" i="1"/>
  <c r="I166" i="1"/>
  <c r="J166" i="1"/>
  <c r="K166" i="1"/>
  <c r="L166" i="1"/>
  <c r="M166" i="1"/>
  <c r="X166" i="1"/>
  <c r="Y166" i="1"/>
  <c r="Z166" i="1"/>
  <c r="AA166" i="1"/>
  <c r="AD166" i="1"/>
  <c r="AE166" i="1"/>
  <c r="AF166" i="1"/>
  <c r="AG166" i="1"/>
  <c r="I100" i="1"/>
  <c r="J100" i="1"/>
  <c r="K100" i="1"/>
  <c r="L100" i="1"/>
  <c r="M100" i="1"/>
  <c r="X100" i="1"/>
  <c r="Y100" i="1"/>
  <c r="Z100" i="1"/>
  <c r="AA100" i="1"/>
  <c r="AD100" i="1"/>
  <c r="AE100" i="1"/>
  <c r="AF100" i="1"/>
  <c r="AG100" i="1"/>
  <c r="I208" i="1"/>
  <c r="J208" i="1"/>
  <c r="K208" i="1"/>
  <c r="L208" i="1"/>
  <c r="M208" i="1"/>
  <c r="X208" i="1"/>
  <c r="Y208" i="1"/>
  <c r="Z208" i="1"/>
  <c r="AA208" i="1"/>
  <c r="AD208" i="1"/>
  <c r="AE208" i="1"/>
  <c r="AF208" i="1"/>
  <c r="AG208" i="1"/>
  <c r="I243" i="1"/>
  <c r="J243" i="1"/>
  <c r="K243" i="1"/>
  <c r="L243" i="1"/>
  <c r="M243" i="1"/>
  <c r="X243" i="1"/>
  <c r="Y243" i="1"/>
  <c r="Z243" i="1"/>
  <c r="AA243" i="1"/>
  <c r="AD243" i="1"/>
  <c r="AE243" i="1"/>
  <c r="AF243" i="1"/>
  <c r="AG243" i="1"/>
  <c r="I245" i="1"/>
  <c r="J245" i="1"/>
  <c r="K245" i="1"/>
  <c r="L245" i="1"/>
  <c r="M245" i="1"/>
  <c r="X245" i="1"/>
  <c r="Y245" i="1"/>
  <c r="Z245" i="1"/>
  <c r="AA245" i="1"/>
  <c r="AD245" i="1"/>
  <c r="AE245" i="1"/>
  <c r="AF245" i="1"/>
  <c r="AG245" i="1"/>
  <c r="I213" i="1"/>
  <c r="J213" i="1"/>
  <c r="K213" i="1"/>
  <c r="L213" i="1"/>
  <c r="M213" i="1"/>
  <c r="X213" i="1"/>
  <c r="Y213" i="1"/>
  <c r="Z213" i="1"/>
  <c r="AA213" i="1"/>
  <c r="AD213" i="1"/>
  <c r="AE213" i="1"/>
  <c r="AF213" i="1"/>
  <c r="AG213" i="1"/>
  <c r="I216" i="1"/>
  <c r="J216" i="1"/>
  <c r="K216" i="1"/>
  <c r="L216" i="1"/>
  <c r="M216" i="1"/>
  <c r="X216" i="1"/>
  <c r="Y216" i="1"/>
  <c r="Z216" i="1"/>
  <c r="AA216" i="1"/>
  <c r="AD216" i="1"/>
  <c r="AE216" i="1"/>
  <c r="AF216" i="1"/>
  <c r="AG216" i="1"/>
  <c r="I172" i="1"/>
  <c r="J172" i="1"/>
  <c r="K172" i="1"/>
  <c r="L172" i="1"/>
  <c r="M172" i="1"/>
  <c r="X172" i="1"/>
  <c r="Y172" i="1"/>
  <c r="Z172" i="1"/>
  <c r="AA172" i="1"/>
  <c r="AD172" i="1"/>
  <c r="AE172" i="1"/>
  <c r="AF172" i="1"/>
  <c r="AG172" i="1"/>
  <c r="I151" i="1"/>
  <c r="J151" i="1"/>
  <c r="K151" i="1"/>
  <c r="L151" i="1"/>
  <c r="M151" i="1"/>
  <c r="X151" i="1"/>
  <c r="Y151" i="1"/>
  <c r="Z151" i="1"/>
  <c r="AA151" i="1"/>
  <c r="AD151" i="1"/>
  <c r="AE151" i="1"/>
  <c r="AF151" i="1"/>
  <c r="AG151" i="1"/>
  <c r="I120" i="1"/>
  <c r="J120" i="1"/>
  <c r="K120" i="1"/>
  <c r="L120" i="1"/>
  <c r="M120" i="1"/>
  <c r="X120" i="1"/>
  <c r="Y120" i="1"/>
  <c r="Z120" i="1"/>
  <c r="AA120" i="1"/>
  <c r="AD120" i="1"/>
  <c r="AE120" i="1"/>
  <c r="AF120" i="1"/>
  <c r="AG120" i="1"/>
  <c r="I224" i="1"/>
  <c r="J224" i="1"/>
  <c r="K224" i="1"/>
  <c r="L224" i="1"/>
  <c r="M224" i="1"/>
  <c r="X224" i="1"/>
  <c r="Y224" i="1"/>
  <c r="Z224" i="1"/>
  <c r="AA224" i="1"/>
  <c r="AD224" i="1"/>
  <c r="AE224" i="1"/>
  <c r="AF224" i="1"/>
  <c r="AG224" i="1"/>
  <c r="I183" i="1"/>
  <c r="J183" i="1"/>
  <c r="K183" i="1"/>
  <c r="L183" i="1"/>
  <c r="M183" i="1"/>
  <c r="X183" i="1"/>
  <c r="Y183" i="1"/>
  <c r="Z183" i="1"/>
  <c r="AA183" i="1"/>
  <c r="AD183" i="1"/>
  <c r="AE183" i="1"/>
  <c r="AF183" i="1"/>
  <c r="AG183" i="1"/>
  <c r="I54" i="1"/>
  <c r="J54" i="1"/>
  <c r="K54" i="1"/>
  <c r="L54" i="1"/>
  <c r="M54" i="1"/>
  <c r="X54" i="1"/>
  <c r="Y54" i="1"/>
  <c r="Z54" i="1"/>
  <c r="AA54" i="1"/>
  <c r="AD54" i="1"/>
  <c r="AE54" i="1"/>
  <c r="AF54" i="1"/>
  <c r="AG54" i="1"/>
  <c r="I74" i="1"/>
  <c r="J74" i="1"/>
  <c r="K74" i="1"/>
  <c r="L74" i="1"/>
  <c r="M74" i="1"/>
  <c r="X74" i="1"/>
  <c r="Y74" i="1"/>
  <c r="Z74" i="1"/>
  <c r="AA74" i="1"/>
  <c r="AD74" i="1"/>
  <c r="AE74" i="1"/>
  <c r="AF74" i="1"/>
  <c r="AG74" i="1"/>
  <c r="I105" i="1"/>
  <c r="J105" i="1"/>
  <c r="K105" i="1"/>
  <c r="L105" i="1"/>
  <c r="M105" i="1"/>
  <c r="X105" i="1"/>
  <c r="Y105" i="1"/>
  <c r="Z105" i="1"/>
  <c r="AA105" i="1"/>
  <c r="AD105" i="1"/>
  <c r="AE105" i="1"/>
  <c r="AF105" i="1"/>
  <c r="AG105" i="1"/>
  <c r="I23" i="1"/>
  <c r="J23" i="1"/>
  <c r="K23" i="1"/>
  <c r="L23" i="1"/>
  <c r="M23" i="1"/>
  <c r="X23" i="1"/>
  <c r="Y23" i="1"/>
  <c r="Z23" i="1"/>
  <c r="AA23" i="1"/>
  <c r="AD23" i="1"/>
  <c r="AE23" i="1"/>
  <c r="AF23" i="1"/>
  <c r="AG23" i="1"/>
  <c r="I55" i="1"/>
  <c r="J55" i="1"/>
  <c r="K55" i="1"/>
  <c r="L55" i="1"/>
  <c r="M55" i="1"/>
  <c r="X55" i="1"/>
  <c r="Y55" i="1"/>
  <c r="Z55" i="1"/>
  <c r="AA55" i="1"/>
  <c r="AD55" i="1"/>
  <c r="AE55" i="1"/>
  <c r="AF55" i="1"/>
  <c r="AG55" i="1"/>
  <c r="I104" i="1"/>
  <c r="J104" i="1"/>
  <c r="K104" i="1"/>
  <c r="L104" i="1"/>
  <c r="M104" i="1"/>
  <c r="X104" i="1"/>
  <c r="Y104" i="1"/>
  <c r="Z104" i="1"/>
  <c r="AA104" i="1"/>
  <c r="AD104" i="1"/>
  <c r="AE104" i="1"/>
  <c r="AF104" i="1"/>
  <c r="AG104" i="1"/>
  <c r="I164" i="1"/>
  <c r="J164" i="1"/>
  <c r="K164" i="1"/>
  <c r="L164" i="1"/>
  <c r="M164" i="1"/>
  <c r="X164" i="1"/>
  <c r="Y164" i="1"/>
  <c r="Z164" i="1"/>
  <c r="AA164" i="1"/>
  <c r="AD164" i="1"/>
  <c r="AE164" i="1"/>
  <c r="AF164" i="1"/>
  <c r="AG164" i="1"/>
  <c r="I29" i="1"/>
  <c r="J29" i="1"/>
  <c r="K29" i="1"/>
  <c r="L29" i="1"/>
  <c r="M29" i="1"/>
  <c r="X29" i="1"/>
  <c r="Y29" i="1"/>
  <c r="Z29" i="1"/>
  <c r="AA29" i="1"/>
  <c r="AD29" i="1"/>
  <c r="AE29" i="1"/>
  <c r="AF29" i="1"/>
  <c r="AG29" i="1"/>
  <c r="I242" i="1"/>
  <c r="J242" i="1"/>
  <c r="K242" i="1"/>
  <c r="L242" i="1"/>
  <c r="M242" i="1"/>
  <c r="X242" i="1"/>
  <c r="Y242" i="1"/>
  <c r="Z242" i="1"/>
  <c r="AA242" i="1"/>
  <c r="AD242" i="1"/>
  <c r="AE242" i="1"/>
  <c r="AF242" i="1"/>
  <c r="AG242" i="1"/>
  <c r="I214" i="1"/>
  <c r="J214" i="1"/>
  <c r="K214" i="1"/>
  <c r="L214" i="1"/>
  <c r="M214" i="1"/>
  <c r="X214" i="1"/>
  <c r="Y214" i="1"/>
  <c r="Z214" i="1"/>
  <c r="AA214" i="1"/>
  <c r="AD214" i="1"/>
  <c r="AE214" i="1"/>
  <c r="AF214" i="1"/>
  <c r="AG214" i="1"/>
  <c r="I176" i="1"/>
  <c r="J176" i="1"/>
  <c r="K176" i="1"/>
  <c r="L176" i="1"/>
  <c r="M176" i="1"/>
  <c r="X176" i="1"/>
  <c r="Y176" i="1"/>
  <c r="Z176" i="1"/>
  <c r="AA176" i="1"/>
  <c r="AD176" i="1"/>
  <c r="AE176" i="1"/>
  <c r="AF176" i="1"/>
  <c r="AG176" i="1"/>
  <c r="I223" i="1"/>
  <c r="J223" i="1"/>
  <c r="K223" i="1"/>
  <c r="L223" i="1"/>
  <c r="M223" i="1"/>
  <c r="X223" i="1"/>
  <c r="Y223" i="1"/>
  <c r="Z223" i="1"/>
  <c r="AA223" i="1"/>
  <c r="AD223" i="1"/>
  <c r="AE223" i="1"/>
  <c r="AF223" i="1"/>
  <c r="AG223" i="1"/>
  <c r="I227" i="1"/>
  <c r="J227" i="1"/>
  <c r="K227" i="1"/>
  <c r="L227" i="1"/>
  <c r="M227" i="1"/>
  <c r="X227" i="1"/>
  <c r="Y227" i="1"/>
  <c r="Z227" i="1"/>
  <c r="AA227" i="1"/>
  <c r="AD227" i="1"/>
  <c r="AE227" i="1"/>
  <c r="AF227" i="1"/>
  <c r="AG227" i="1"/>
  <c r="I182" i="1"/>
  <c r="J182" i="1"/>
  <c r="K182" i="1"/>
  <c r="L182" i="1"/>
  <c r="M182" i="1"/>
  <c r="X182" i="1"/>
  <c r="Y182" i="1"/>
  <c r="Z182" i="1"/>
  <c r="AA182" i="1"/>
  <c r="AD182" i="1"/>
  <c r="AE182" i="1"/>
  <c r="AF182" i="1"/>
  <c r="AG182" i="1"/>
  <c r="I112" i="1"/>
  <c r="J112" i="1"/>
  <c r="K112" i="1"/>
  <c r="L112" i="1"/>
  <c r="M112" i="1"/>
  <c r="X112" i="1"/>
  <c r="Y112" i="1"/>
  <c r="Z112" i="1"/>
  <c r="AA112" i="1"/>
  <c r="AD112" i="1"/>
  <c r="AE112" i="1"/>
  <c r="AF112" i="1"/>
  <c r="AG112" i="1"/>
  <c r="I48" i="1"/>
  <c r="J48" i="1"/>
  <c r="K48" i="1"/>
  <c r="L48" i="1"/>
  <c r="M48" i="1"/>
  <c r="X48" i="1"/>
  <c r="Y48" i="1"/>
  <c r="Z48" i="1"/>
  <c r="AA48" i="1"/>
  <c r="AD48" i="1"/>
  <c r="AE48" i="1"/>
  <c r="AF48" i="1"/>
  <c r="AG48" i="1"/>
  <c r="I186" i="1"/>
  <c r="J186" i="1"/>
  <c r="K186" i="1"/>
  <c r="L186" i="1"/>
  <c r="M186" i="1"/>
  <c r="X186" i="1"/>
  <c r="Y186" i="1"/>
  <c r="Z186" i="1"/>
  <c r="AA186" i="1"/>
  <c r="AD186" i="1"/>
  <c r="AE186" i="1"/>
  <c r="AF186" i="1"/>
  <c r="AG186" i="1"/>
  <c r="I103" i="1"/>
  <c r="J103" i="1"/>
  <c r="K103" i="1"/>
  <c r="L103" i="1"/>
  <c r="M103" i="1"/>
  <c r="X103" i="1"/>
  <c r="Y103" i="1"/>
  <c r="Z103" i="1"/>
  <c r="AA103" i="1"/>
  <c r="AD103" i="1"/>
  <c r="AE103" i="1"/>
  <c r="AF103" i="1"/>
  <c r="AG103" i="1"/>
  <c r="I65" i="1"/>
  <c r="J65" i="1"/>
  <c r="K65" i="1"/>
  <c r="L65" i="1"/>
  <c r="M65" i="1"/>
  <c r="X65" i="1"/>
  <c r="Y65" i="1"/>
  <c r="Z65" i="1"/>
  <c r="AA65" i="1"/>
  <c r="AD65" i="1"/>
  <c r="AE65" i="1"/>
  <c r="AF65" i="1"/>
  <c r="AG65" i="1"/>
  <c r="I210" i="1"/>
  <c r="J210" i="1"/>
  <c r="K210" i="1"/>
  <c r="L210" i="1"/>
  <c r="M210" i="1"/>
  <c r="X210" i="1"/>
  <c r="Y210" i="1"/>
  <c r="Z210" i="1"/>
  <c r="AA210" i="1"/>
  <c r="AD210" i="1"/>
  <c r="AE210" i="1"/>
  <c r="AF210" i="1"/>
  <c r="AG210" i="1"/>
  <c r="I188" i="1"/>
  <c r="J188" i="1"/>
  <c r="K188" i="1"/>
  <c r="L188" i="1"/>
  <c r="M188" i="1"/>
  <c r="X188" i="1"/>
  <c r="Y188" i="1"/>
  <c r="Z188" i="1"/>
  <c r="AA188" i="1"/>
  <c r="AD188" i="1"/>
  <c r="AE188" i="1"/>
  <c r="AF188" i="1"/>
  <c r="AG188" i="1"/>
  <c r="I34" i="1"/>
  <c r="J34" i="1"/>
  <c r="K34" i="1"/>
  <c r="L34" i="1"/>
  <c r="M34" i="1"/>
  <c r="X34" i="1"/>
  <c r="Y34" i="1"/>
  <c r="Z34" i="1"/>
  <c r="AA34" i="1"/>
  <c r="AD34" i="1"/>
  <c r="AE34" i="1"/>
  <c r="AF34" i="1"/>
  <c r="AG34" i="1"/>
  <c r="I209" i="1"/>
  <c r="J209" i="1"/>
  <c r="K209" i="1"/>
  <c r="L209" i="1"/>
  <c r="M209" i="1"/>
  <c r="X209" i="1"/>
  <c r="Y209" i="1"/>
  <c r="Z209" i="1"/>
  <c r="AA209" i="1"/>
  <c r="AD209" i="1"/>
  <c r="AE209" i="1"/>
  <c r="AF209" i="1"/>
  <c r="AG209" i="1"/>
  <c r="I199" i="1"/>
  <c r="J199" i="1"/>
  <c r="K199" i="1"/>
  <c r="L199" i="1"/>
  <c r="M199" i="1"/>
  <c r="X199" i="1"/>
  <c r="Y199" i="1"/>
  <c r="Z199" i="1"/>
  <c r="AA199" i="1"/>
  <c r="AD199" i="1"/>
  <c r="AE199" i="1"/>
  <c r="AF199" i="1"/>
  <c r="AG199" i="1"/>
  <c r="I220" i="1"/>
  <c r="J220" i="1"/>
  <c r="K220" i="1"/>
  <c r="L220" i="1"/>
  <c r="M220" i="1"/>
  <c r="X220" i="1"/>
  <c r="Y220" i="1"/>
  <c r="Z220" i="1"/>
  <c r="AA220" i="1"/>
  <c r="AD220" i="1"/>
  <c r="AE220" i="1"/>
  <c r="AF220" i="1"/>
  <c r="AG220" i="1"/>
  <c r="I237" i="1"/>
  <c r="J237" i="1"/>
  <c r="K237" i="1"/>
  <c r="L237" i="1"/>
  <c r="M237" i="1"/>
  <c r="X237" i="1"/>
  <c r="Y237" i="1"/>
  <c r="Z237" i="1"/>
  <c r="AA237" i="1"/>
  <c r="AD237" i="1"/>
  <c r="AE237" i="1"/>
  <c r="AF237" i="1"/>
  <c r="AG237" i="1"/>
  <c r="I197" i="1"/>
  <c r="J197" i="1"/>
  <c r="K197" i="1"/>
  <c r="L197" i="1"/>
  <c r="M197" i="1"/>
  <c r="X197" i="1"/>
  <c r="Y197" i="1"/>
  <c r="Z197" i="1"/>
  <c r="AA197" i="1"/>
  <c r="AD197" i="1"/>
  <c r="AE197" i="1"/>
  <c r="AF197" i="1"/>
  <c r="AG197" i="1"/>
  <c r="I53" i="1"/>
  <c r="J53" i="1"/>
  <c r="K53" i="1"/>
  <c r="L53" i="1"/>
  <c r="M53" i="1"/>
  <c r="X53" i="1"/>
  <c r="Y53" i="1"/>
  <c r="Z53" i="1"/>
  <c r="AA53" i="1"/>
  <c r="AD53" i="1"/>
  <c r="AE53" i="1"/>
  <c r="AF53" i="1"/>
  <c r="AG53" i="1"/>
  <c r="I78" i="1"/>
  <c r="J78" i="1"/>
  <c r="K78" i="1"/>
  <c r="L78" i="1"/>
  <c r="M78" i="1"/>
  <c r="X78" i="1"/>
  <c r="Y78" i="1"/>
  <c r="Z78" i="1"/>
  <c r="AA78" i="1"/>
  <c r="AD78" i="1"/>
  <c r="AE78" i="1"/>
  <c r="AF78" i="1"/>
  <c r="AG78" i="1"/>
  <c r="I180" i="1"/>
  <c r="J180" i="1"/>
  <c r="K180" i="1"/>
  <c r="L180" i="1"/>
  <c r="M180" i="1"/>
  <c r="X180" i="1"/>
  <c r="Y180" i="1"/>
  <c r="Z180" i="1"/>
  <c r="AA180" i="1"/>
  <c r="AD180" i="1"/>
  <c r="AE180" i="1"/>
  <c r="AF180" i="1"/>
  <c r="AG180" i="1"/>
  <c r="I61" i="1"/>
  <c r="J61" i="1"/>
  <c r="K61" i="1"/>
  <c r="L61" i="1"/>
  <c r="M61" i="1"/>
  <c r="X61" i="1"/>
  <c r="Y61" i="1"/>
  <c r="Z61" i="1"/>
  <c r="AA61" i="1"/>
  <c r="AD61" i="1"/>
  <c r="AE61" i="1"/>
  <c r="AF61" i="1"/>
  <c r="AG61" i="1"/>
  <c r="I206" i="1"/>
  <c r="J206" i="1"/>
  <c r="K206" i="1"/>
  <c r="L206" i="1"/>
  <c r="M206" i="1"/>
  <c r="X206" i="1"/>
  <c r="Y206" i="1"/>
  <c r="Z206" i="1"/>
  <c r="AA206" i="1"/>
  <c r="AD206" i="1"/>
  <c r="AE206" i="1"/>
  <c r="AF206" i="1"/>
  <c r="AG206" i="1"/>
  <c r="I89" i="1"/>
  <c r="J89" i="1"/>
  <c r="K89" i="1"/>
  <c r="L89" i="1"/>
  <c r="M89" i="1"/>
  <c r="X89" i="1"/>
  <c r="Y89" i="1"/>
  <c r="Z89" i="1"/>
  <c r="AA89" i="1"/>
  <c r="AD89" i="1"/>
  <c r="AE89" i="1"/>
  <c r="AF89" i="1"/>
  <c r="AG89" i="1"/>
  <c r="I122" i="1"/>
  <c r="J122" i="1"/>
  <c r="K122" i="1"/>
  <c r="L122" i="1"/>
  <c r="M122" i="1"/>
  <c r="X122" i="1"/>
  <c r="Y122" i="1"/>
  <c r="Z122" i="1"/>
  <c r="AA122" i="1"/>
  <c r="AD122" i="1"/>
  <c r="AE122" i="1"/>
  <c r="AF122" i="1"/>
  <c r="AG122" i="1"/>
  <c r="I62" i="1"/>
  <c r="J62" i="1"/>
  <c r="K62" i="1"/>
  <c r="L62" i="1"/>
  <c r="M62" i="1"/>
  <c r="X62" i="1"/>
  <c r="Y62" i="1"/>
  <c r="Z62" i="1"/>
  <c r="AA62" i="1"/>
  <c r="AD62" i="1"/>
  <c r="AE62" i="1"/>
  <c r="AF62" i="1"/>
  <c r="AG62" i="1"/>
  <c r="I102" i="1"/>
  <c r="J102" i="1"/>
  <c r="K102" i="1"/>
  <c r="L102" i="1"/>
  <c r="M102" i="1"/>
  <c r="X102" i="1"/>
  <c r="Y102" i="1"/>
  <c r="Z102" i="1"/>
  <c r="AA102" i="1"/>
  <c r="AD102" i="1"/>
  <c r="AE102" i="1"/>
  <c r="AF102" i="1"/>
  <c r="AG102" i="1"/>
  <c r="I162" i="1"/>
  <c r="J162" i="1"/>
  <c r="K162" i="1"/>
  <c r="L162" i="1"/>
  <c r="M162" i="1"/>
  <c r="X162" i="1"/>
  <c r="Y162" i="1"/>
  <c r="Z162" i="1"/>
  <c r="AA162" i="1"/>
  <c r="AD162" i="1"/>
  <c r="AE162" i="1"/>
  <c r="AF162" i="1"/>
  <c r="AG162" i="1"/>
  <c r="I31" i="1"/>
  <c r="J31" i="1"/>
  <c r="K31" i="1"/>
  <c r="L31" i="1"/>
  <c r="M31" i="1"/>
  <c r="X31" i="1"/>
  <c r="Y31" i="1"/>
  <c r="Z31" i="1"/>
  <c r="AA31" i="1"/>
  <c r="AD31" i="1"/>
  <c r="AE31" i="1"/>
  <c r="AF31" i="1"/>
  <c r="AG31" i="1"/>
  <c r="I60" i="1"/>
  <c r="J60" i="1"/>
  <c r="K60" i="1"/>
  <c r="L60" i="1"/>
  <c r="M60" i="1"/>
  <c r="X60" i="1"/>
  <c r="Y60" i="1"/>
  <c r="Z60" i="1"/>
  <c r="AA60" i="1"/>
  <c r="AD60" i="1"/>
  <c r="AE60" i="1"/>
  <c r="AF60" i="1"/>
  <c r="AG60" i="1"/>
  <c r="I27" i="1"/>
  <c r="J27" i="1"/>
  <c r="K27" i="1"/>
  <c r="L27" i="1"/>
  <c r="M27" i="1"/>
  <c r="X27" i="1"/>
  <c r="Y27" i="1"/>
  <c r="Z27" i="1"/>
  <c r="AA27" i="1"/>
  <c r="AD27" i="1"/>
  <c r="AE27" i="1"/>
  <c r="AF27" i="1"/>
  <c r="AG27" i="1"/>
  <c r="I177" i="1"/>
  <c r="J177" i="1"/>
  <c r="K177" i="1"/>
  <c r="L177" i="1"/>
  <c r="M177" i="1"/>
  <c r="X177" i="1"/>
  <c r="Y177" i="1"/>
  <c r="Z177" i="1"/>
  <c r="AA177" i="1"/>
  <c r="AD177" i="1"/>
  <c r="AE177" i="1"/>
  <c r="AF177" i="1"/>
  <c r="AG177" i="1"/>
  <c r="I43" i="1"/>
  <c r="J43" i="1"/>
  <c r="K43" i="1"/>
  <c r="L43" i="1"/>
  <c r="M43" i="1"/>
  <c r="X43" i="1"/>
  <c r="Y43" i="1"/>
  <c r="Z43" i="1"/>
  <c r="AA43" i="1"/>
  <c r="AD43" i="1"/>
  <c r="AE43" i="1"/>
  <c r="AF43" i="1"/>
  <c r="AG43" i="1"/>
  <c r="I19" i="1"/>
  <c r="J19" i="1"/>
  <c r="K19" i="1"/>
  <c r="L19" i="1"/>
  <c r="M19" i="1"/>
  <c r="X19" i="1"/>
  <c r="Y19" i="1"/>
  <c r="Z19" i="1"/>
  <c r="AA19" i="1"/>
  <c r="AD19" i="1"/>
  <c r="AE19" i="1"/>
  <c r="AF19" i="1"/>
  <c r="AG19" i="1"/>
  <c r="I187" i="1"/>
  <c r="J187" i="1"/>
  <c r="K187" i="1"/>
  <c r="L187" i="1"/>
  <c r="M187" i="1"/>
  <c r="X187" i="1"/>
  <c r="Y187" i="1"/>
  <c r="Z187" i="1"/>
  <c r="AA187" i="1"/>
  <c r="AD187" i="1"/>
  <c r="AE187" i="1"/>
  <c r="AF187" i="1"/>
  <c r="AG187" i="1"/>
  <c r="I83" i="1"/>
  <c r="J83" i="1"/>
  <c r="K83" i="1"/>
  <c r="L83" i="1"/>
  <c r="M83" i="1"/>
  <c r="X83" i="1"/>
  <c r="Y83" i="1"/>
  <c r="Z83" i="1"/>
  <c r="AA83" i="1"/>
  <c r="AD83" i="1"/>
  <c r="AE83" i="1"/>
  <c r="AF83" i="1"/>
  <c r="AG83" i="1"/>
  <c r="I159" i="1"/>
  <c r="J159" i="1"/>
  <c r="K159" i="1"/>
  <c r="L159" i="1"/>
  <c r="M159" i="1"/>
  <c r="X159" i="1"/>
  <c r="Y159" i="1"/>
  <c r="Z159" i="1"/>
  <c r="AA159" i="1"/>
  <c r="AD159" i="1"/>
  <c r="AE159" i="1"/>
  <c r="AF159" i="1"/>
  <c r="AG159" i="1"/>
  <c r="I232" i="1"/>
  <c r="J232" i="1"/>
  <c r="K232" i="1"/>
  <c r="L232" i="1"/>
  <c r="M232" i="1"/>
  <c r="X232" i="1"/>
  <c r="Y232" i="1"/>
  <c r="Z232" i="1"/>
  <c r="AA232" i="1"/>
  <c r="AD232" i="1"/>
  <c r="AE232" i="1"/>
  <c r="AF232" i="1"/>
  <c r="AG232" i="1"/>
  <c r="I33" i="1"/>
  <c r="J33" i="1"/>
  <c r="K33" i="1"/>
  <c r="L33" i="1"/>
  <c r="M33" i="1"/>
  <c r="X33" i="1"/>
  <c r="Y33" i="1"/>
  <c r="Z33" i="1"/>
  <c r="AA33" i="1"/>
  <c r="AD33" i="1"/>
  <c r="AE33" i="1"/>
  <c r="AF33" i="1"/>
  <c r="AG33" i="1"/>
  <c r="I96" i="1"/>
  <c r="J96" i="1"/>
  <c r="K96" i="1"/>
  <c r="L96" i="1"/>
  <c r="M96" i="1"/>
  <c r="X96" i="1"/>
  <c r="Y96" i="1"/>
  <c r="Z96" i="1"/>
  <c r="AA96" i="1"/>
  <c r="AD96" i="1"/>
  <c r="AE96" i="1"/>
  <c r="AF96" i="1"/>
  <c r="AG96" i="1"/>
  <c r="I37" i="1"/>
  <c r="J37" i="1"/>
  <c r="K37" i="1"/>
  <c r="L37" i="1"/>
  <c r="M37" i="1"/>
  <c r="X37" i="1"/>
  <c r="Y37" i="1"/>
  <c r="Z37" i="1"/>
  <c r="AA37" i="1"/>
  <c r="AD37" i="1"/>
  <c r="AE37" i="1"/>
  <c r="AF37" i="1"/>
  <c r="AG37" i="1"/>
  <c r="I246" i="1"/>
  <c r="J246" i="1"/>
  <c r="K246" i="1"/>
  <c r="L246" i="1"/>
  <c r="M246" i="1"/>
  <c r="X246" i="1"/>
  <c r="Y246" i="1"/>
  <c r="Z246" i="1"/>
  <c r="AA246" i="1"/>
  <c r="AD246" i="1"/>
  <c r="AE246" i="1"/>
  <c r="AF246" i="1"/>
  <c r="AG246" i="1"/>
  <c r="I169" i="1"/>
  <c r="J169" i="1"/>
  <c r="K169" i="1"/>
  <c r="L169" i="1"/>
  <c r="M169" i="1"/>
  <c r="X169" i="1"/>
  <c r="Y169" i="1"/>
  <c r="Z169" i="1"/>
  <c r="AA169" i="1"/>
  <c r="AD169" i="1"/>
  <c r="AE169" i="1"/>
  <c r="AF169" i="1"/>
  <c r="AG169" i="1"/>
  <c r="I14" i="1"/>
  <c r="J14" i="1"/>
  <c r="K14" i="1"/>
  <c r="L14" i="1"/>
  <c r="M14" i="1"/>
  <c r="X14" i="1"/>
  <c r="Y14" i="1"/>
  <c r="Z14" i="1"/>
  <c r="AA14" i="1"/>
  <c r="AD14" i="1"/>
  <c r="AE14" i="1"/>
  <c r="AF14" i="1"/>
  <c r="AG14" i="1"/>
  <c r="I114" i="1"/>
  <c r="J114" i="1"/>
  <c r="K114" i="1"/>
  <c r="L114" i="1"/>
  <c r="M114" i="1"/>
  <c r="X114" i="1"/>
  <c r="Y114" i="1"/>
  <c r="Z114" i="1"/>
  <c r="AA114" i="1"/>
  <c r="AD114" i="1"/>
  <c r="AE114" i="1"/>
  <c r="AF114" i="1"/>
  <c r="AG114" i="1"/>
  <c r="I22" i="1"/>
  <c r="J22" i="1"/>
  <c r="K22" i="1"/>
  <c r="L22" i="1"/>
  <c r="M22" i="1"/>
  <c r="X22" i="1"/>
  <c r="Y22" i="1"/>
  <c r="Z22" i="1"/>
  <c r="AA22" i="1"/>
  <c r="AD22" i="1"/>
  <c r="AE22" i="1"/>
  <c r="AF22" i="1"/>
  <c r="AG22" i="1"/>
  <c r="I58" i="1"/>
  <c r="J58" i="1"/>
  <c r="K58" i="1"/>
  <c r="L58" i="1"/>
  <c r="M58" i="1"/>
  <c r="X58" i="1"/>
  <c r="Y58" i="1"/>
  <c r="Z58" i="1"/>
  <c r="AA58" i="1"/>
  <c r="AD58" i="1"/>
  <c r="AE58" i="1"/>
  <c r="AF58" i="1"/>
  <c r="AG58" i="1"/>
  <c r="I115" i="1"/>
  <c r="J115" i="1"/>
  <c r="K115" i="1"/>
  <c r="L115" i="1"/>
  <c r="M115" i="1"/>
  <c r="X115" i="1"/>
  <c r="Y115" i="1"/>
  <c r="Z115" i="1"/>
  <c r="AA115" i="1"/>
  <c r="AD115" i="1"/>
  <c r="AE115" i="1"/>
  <c r="AF115" i="1"/>
  <c r="AG115" i="1"/>
  <c r="I116" i="1"/>
  <c r="J116" i="1"/>
  <c r="K116" i="1"/>
  <c r="L116" i="1"/>
  <c r="M116" i="1"/>
  <c r="R116" i="1"/>
  <c r="X116" i="1"/>
  <c r="Y116" i="1"/>
  <c r="Z116" i="1"/>
  <c r="AA116" i="1"/>
  <c r="AD116" i="1"/>
  <c r="AE116" i="1"/>
  <c r="AF116" i="1"/>
  <c r="AG116" i="1"/>
  <c r="I239" i="1"/>
  <c r="J239" i="1"/>
  <c r="K239" i="1"/>
  <c r="L239" i="1"/>
  <c r="M239" i="1"/>
  <c r="X239" i="1"/>
  <c r="Y239" i="1"/>
  <c r="Z239" i="1"/>
  <c r="AA239" i="1"/>
  <c r="AD239" i="1"/>
  <c r="AE239" i="1"/>
  <c r="AF239" i="1"/>
  <c r="AG239" i="1"/>
  <c r="I234" i="1"/>
  <c r="J234" i="1"/>
  <c r="K234" i="1"/>
  <c r="L234" i="1"/>
  <c r="M234" i="1"/>
  <c r="X234" i="1"/>
  <c r="Y234" i="1"/>
  <c r="Z234" i="1"/>
  <c r="AA234" i="1"/>
  <c r="AD234" i="1"/>
  <c r="AE234" i="1"/>
  <c r="AF234" i="1"/>
  <c r="AG234" i="1"/>
  <c r="I179" i="1"/>
  <c r="J179" i="1"/>
  <c r="K179" i="1"/>
  <c r="L179" i="1"/>
  <c r="M179" i="1"/>
  <c r="X179" i="1"/>
  <c r="Y179" i="1"/>
  <c r="Z179" i="1"/>
  <c r="AA179" i="1"/>
  <c r="AD179" i="1"/>
  <c r="AE179" i="1"/>
  <c r="AF179" i="1"/>
  <c r="AG179" i="1"/>
  <c r="I46" i="1"/>
  <c r="J46" i="1"/>
  <c r="K46" i="1"/>
  <c r="L46" i="1"/>
  <c r="M46" i="1"/>
  <c r="X46" i="1"/>
  <c r="Y46" i="1"/>
  <c r="Z46" i="1"/>
  <c r="AA46" i="1"/>
  <c r="AD46" i="1"/>
  <c r="AE46" i="1"/>
  <c r="AF46" i="1"/>
  <c r="AG46" i="1"/>
  <c r="I240" i="1"/>
  <c r="J240" i="1"/>
  <c r="K240" i="1"/>
  <c r="L240" i="1"/>
  <c r="M240" i="1"/>
  <c r="X240" i="1"/>
  <c r="Y240" i="1"/>
  <c r="Z240" i="1"/>
  <c r="AA240" i="1"/>
  <c r="AD240" i="1"/>
  <c r="AE240" i="1"/>
  <c r="AF240" i="1"/>
  <c r="AG240" i="1"/>
  <c r="I69" i="1"/>
  <c r="J69" i="1"/>
  <c r="K69" i="1"/>
  <c r="L69" i="1"/>
  <c r="M69" i="1"/>
  <c r="X69" i="1"/>
  <c r="Y69" i="1"/>
  <c r="Z69" i="1"/>
  <c r="AA69" i="1"/>
  <c r="AD69" i="1"/>
  <c r="AE69" i="1"/>
  <c r="AF69" i="1"/>
  <c r="AG69" i="1"/>
  <c r="I25" i="1"/>
  <c r="J25" i="1"/>
  <c r="K25" i="1"/>
  <c r="L25" i="1"/>
  <c r="M25" i="1"/>
  <c r="X25" i="1"/>
  <c r="Y25" i="1"/>
  <c r="Z25" i="1"/>
  <c r="AA25" i="1"/>
  <c r="AD25" i="1"/>
  <c r="AE25" i="1"/>
  <c r="AF25" i="1"/>
  <c r="AG25" i="1"/>
  <c r="I30" i="1"/>
  <c r="J30" i="1"/>
  <c r="K30" i="1"/>
  <c r="L30" i="1"/>
  <c r="M30" i="1"/>
  <c r="X30" i="1"/>
  <c r="Y30" i="1"/>
  <c r="Z30" i="1"/>
  <c r="AA30" i="1"/>
  <c r="AD30" i="1"/>
  <c r="AE30" i="1"/>
  <c r="AF30" i="1"/>
  <c r="AG30" i="1"/>
  <c r="I11" i="1"/>
  <c r="J11" i="1"/>
  <c r="K11" i="1"/>
  <c r="L11" i="1"/>
  <c r="M11" i="1"/>
  <c r="X11" i="1"/>
  <c r="Y11" i="1"/>
  <c r="Z11" i="1"/>
  <c r="AA11" i="1"/>
  <c r="AD11" i="1"/>
  <c r="AE11" i="1"/>
  <c r="AF11" i="1"/>
  <c r="AG11" i="1"/>
  <c r="I77" i="1"/>
  <c r="J77" i="1"/>
  <c r="K77" i="1"/>
  <c r="L77" i="1"/>
  <c r="M77" i="1"/>
  <c r="X77" i="1"/>
  <c r="Y77" i="1"/>
  <c r="Z77" i="1"/>
  <c r="AA77" i="1"/>
  <c r="AD77" i="1"/>
  <c r="AE77" i="1"/>
  <c r="AF77" i="1"/>
  <c r="AG77" i="1"/>
  <c r="I221" i="1"/>
  <c r="J221" i="1"/>
  <c r="K221" i="1"/>
  <c r="L221" i="1"/>
  <c r="M221" i="1"/>
  <c r="X221" i="1"/>
  <c r="Y221" i="1"/>
  <c r="Z221" i="1"/>
  <c r="AA221" i="1"/>
  <c r="AD221" i="1"/>
  <c r="AE221" i="1"/>
  <c r="AF221" i="1"/>
  <c r="AG221" i="1"/>
  <c r="I163" i="1"/>
  <c r="J163" i="1"/>
  <c r="K163" i="1"/>
  <c r="L163" i="1"/>
  <c r="M163" i="1"/>
  <c r="X163" i="1"/>
  <c r="Y163" i="1"/>
  <c r="Z163" i="1"/>
  <c r="AA163" i="1"/>
  <c r="AD163" i="1"/>
  <c r="AE163" i="1"/>
  <c r="AF163" i="1"/>
  <c r="AG163" i="1"/>
  <c r="I225" i="1"/>
  <c r="J225" i="1"/>
  <c r="K225" i="1"/>
  <c r="L225" i="1"/>
  <c r="M225" i="1"/>
  <c r="X225" i="1"/>
  <c r="Y225" i="1"/>
  <c r="Z225" i="1"/>
  <c r="AA225" i="1"/>
  <c r="AD225" i="1"/>
  <c r="AE225" i="1"/>
  <c r="AF225" i="1"/>
  <c r="AG225" i="1"/>
  <c r="I26" i="1"/>
  <c r="J26" i="1"/>
  <c r="K26" i="1"/>
  <c r="L26" i="1"/>
  <c r="M26" i="1"/>
  <c r="X26" i="1"/>
  <c r="Y26" i="1"/>
  <c r="Z26" i="1"/>
  <c r="AA26" i="1"/>
  <c r="AD26" i="1"/>
  <c r="AE26" i="1"/>
  <c r="AF26" i="1"/>
  <c r="AG26" i="1"/>
  <c r="I211" i="1"/>
  <c r="J211" i="1"/>
  <c r="K211" i="1"/>
  <c r="L211" i="1"/>
  <c r="M211" i="1"/>
  <c r="R211" i="1"/>
  <c r="X211" i="1"/>
  <c r="Y211" i="1"/>
  <c r="Z211" i="1"/>
  <c r="AA211" i="1"/>
  <c r="AD211" i="1"/>
  <c r="AE211" i="1"/>
  <c r="AF211" i="1"/>
  <c r="AG211" i="1"/>
  <c r="I235" i="1"/>
  <c r="J235" i="1"/>
  <c r="K235" i="1"/>
  <c r="L235" i="1"/>
  <c r="M235" i="1"/>
  <c r="S235" i="1"/>
  <c r="X235" i="1"/>
  <c r="Y235" i="1"/>
  <c r="Z235" i="1"/>
  <c r="AA235" i="1"/>
  <c r="AD235" i="1"/>
  <c r="AE235" i="1"/>
  <c r="AF235" i="1"/>
  <c r="AG235" i="1"/>
  <c r="I204" i="1"/>
  <c r="J204" i="1"/>
  <c r="K204" i="1"/>
  <c r="L204" i="1"/>
  <c r="M204" i="1"/>
  <c r="X204" i="1"/>
  <c r="Y204" i="1"/>
  <c r="Z204" i="1"/>
  <c r="AA204" i="1"/>
  <c r="AD204" i="1"/>
  <c r="AE204" i="1"/>
  <c r="AF204" i="1"/>
  <c r="AG204" i="1"/>
  <c r="I35" i="1"/>
  <c r="J35" i="1"/>
  <c r="K35" i="1"/>
  <c r="L35" i="1"/>
  <c r="M35" i="1"/>
  <c r="X35" i="1"/>
  <c r="Y35" i="1"/>
  <c r="Z35" i="1"/>
  <c r="AA35" i="1"/>
  <c r="AD35" i="1"/>
  <c r="AE35" i="1"/>
  <c r="AF35" i="1"/>
  <c r="AG35" i="1"/>
  <c r="I158" i="1"/>
  <c r="J158" i="1"/>
  <c r="K158" i="1"/>
  <c r="L158" i="1"/>
  <c r="M158" i="1"/>
  <c r="X158" i="1"/>
  <c r="Y158" i="1"/>
  <c r="Z158" i="1"/>
  <c r="AA158" i="1"/>
  <c r="AD158" i="1"/>
  <c r="AE158" i="1"/>
  <c r="AF158" i="1"/>
  <c r="AG158" i="1"/>
  <c r="I218" i="1"/>
  <c r="J218" i="1"/>
  <c r="K218" i="1"/>
  <c r="L218" i="1"/>
  <c r="M218" i="1"/>
  <c r="X218" i="1"/>
  <c r="Y218" i="1"/>
  <c r="Z218" i="1"/>
  <c r="AA218" i="1"/>
  <c r="AD218" i="1"/>
  <c r="AE218" i="1"/>
  <c r="AF218" i="1"/>
  <c r="AG218" i="1"/>
  <c r="I15" i="1"/>
  <c r="J15" i="1"/>
  <c r="K15" i="1"/>
  <c r="L15" i="1"/>
  <c r="M15" i="1"/>
  <c r="X15" i="1"/>
  <c r="Y15" i="1"/>
  <c r="Z15" i="1"/>
  <c r="AA15" i="1"/>
  <c r="AD15" i="1"/>
  <c r="AE15" i="1"/>
  <c r="AF15" i="1"/>
  <c r="AG15" i="1"/>
  <c r="I117" i="1"/>
  <c r="J117" i="1"/>
  <c r="K117" i="1"/>
  <c r="L117" i="1"/>
  <c r="M117" i="1"/>
  <c r="X117" i="1"/>
  <c r="Y117" i="1"/>
  <c r="Z117" i="1"/>
  <c r="AA117" i="1"/>
  <c r="AD117" i="1"/>
  <c r="AE117" i="1"/>
  <c r="AF117" i="1"/>
  <c r="AG117" i="1"/>
  <c r="I198" i="1"/>
  <c r="J198" i="1"/>
  <c r="K198" i="1"/>
  <c r="L198" i="1"/>
  <c r="M198" i="1"/>
  <c r="X198" i="1"/>
  <c r="Y198" i="1"/>
  <c r="Z198" i="1"/>
  <c r="AA198" i="1"/>
  <c r="AD198" i="1"/>
  <c r="AE198" i="1"/>
  <c r="AF198" i="1"/>
  <c r="AG198" i="1"/>
  <c r="I13" i="1"/>
  <c r="J13" i="1"/>
  <c r="K13" i="1"/>
  <c r="L13" i="1"/>
  <c r="M13" i="1"/>
  <c r="X13" i="1"/>
  <c r="Y13" i="1"/>
  <c r="Z13" i="1"/>
  <c r="AA13" i="1"/>
  <c r="AD13" i="1"/>
  <c r="AE13" i="1"/>
  <c r="AF13" i="1"/>
  <c r="AG13" i="1"/>
  <c r="I44" i="1"/>
  <c r="J44" i="1"/>
  <c r="K44" i="1"/>
  <c r="L44" i="1"/>
  <c r="M44" i="1"/>
  <c r="X44" i="1"/>
  <c r="Y44" i="1"/>
  <c r="Z44" i="1"/>
  <c r="AA44" i="1"/>
  <c r="AD44" i="1"/>
  <c r="AE44" i="1"/>
  <c r="AF44" i="1"/>
  <c r="AG44" i="1"/>
  <c r="I21" i="1"/>
  <c r="J21" i="1"/>
  <c r="K21" i="1"/>
  <c r="L21" i="1"/>
  <c r="M21" i="1"/>
  <c r="X21" i="1"/>
  <c r="Y21" i="1"/>
  <c r="Z21" i="1"/>
  <c r="AA21" i="1"/>
  <c r="AD21" i="1"/>
  <c r="AE21" i="1"/>
  <c r="AF21" i="1"/>
  <c r="AG21" i="1"/>
  <c r="I191" i="1"/>
  <c r="J191" i="1"/>
  <c r="K191" i="1"/>
  <c r="L191" i="1"/>
  <c r="M191" i="1"/>
  <c r="X191" i="1"/>
  <c r="Y191" i="1"/>
  <c r="Z191" i="1"/>
  <c r="AA191" i="1"/>
  <c r="AD191" i="1"/>
  <c r="AE191" i="1"/>
  <c r="AF191" i="1"/>
  <c r="AG191" i="1"/>
  <c r="I194" i="1"/>
  <c r="J194" i="1"/>
  <c r="K194" i="1"/>
  <c r="L194" i="1"/>
  <c r="M194" i="1"/>
  <c r="X194" i="1"/>
  <c r="Y194" i="1"/>
  <c r="Z194" i="1"/>
  <c r="AA194" i="1"/>
  <c r="AD194" i="1"/>
  <c r="AE194" i="1"/>
  <c r="AF194" i="1"/>
  <c r="AG194" i="1"/>
  <c r="I226" i="1"/>
  <c r="J226" i="1"/>
  <c r="K226" i="1"/>
  <c r="L226" i="1"/>
  <c r="M226" i="1"/>
  <c r="X226" i="1"/>
  <c r="Y226" i="1"/>
  <c r="Z226" i="1"/>
  <c r="AA226" i="1"/>
  <c r="AD226" i="1"/>
  <c r="AE226" i="1"/>
  <c r="AF226" i="1"/>
  <c r="AG226" i="1"/>
  <c r="I41" i="1"/>
  <c r="J41" i="1"/>
  <c r="K41" i="1"/>
  <c r="L41" i="1"/>
  <c r="M41" i="1"/>
  <c r="X41" i="1"/>
  <c r="Y41" i="1"/>
  <c r="Z41" i="1"/>
  <c r="AA41" i="1"/>
  <c r="AD41" i="1"/>
  <c r="AE41" i="1"/>
  <c r="AF41" i="1"/>
  <c r="AG41" i="1"/>
  <c r="I94" i="1"/>
  <c r="J94" i="1"/>
  <c r="K94" i="1"/>
  <c r="L94" i="1"/>
  <c r="M94" i="1"/>
  <c r="X94" i="1"/>
  <c r="Y94" i="1"/>
  <c r="Z94" i="1"/>
  <c r="AA94" i="1"/>
  <c r="AD94" i="1"/>
  <c r="AE94" i="1"/>
  <c r="AF94" i="1"/>
  <c r="AG94" i="1"/>
  <c r="I244" i="1"/>
  <c r="J244" i="1"/>
  <c r="K244" i="1"/>
  <c r="L244" i="1"/>
  <c r="M244" i="1"/>
  <c r="X244" i="1"/>
  <c r="Y244" i="1"/>
  <c r="Z244" i="1"/>
  <c r="AA244" i="1"/>
  <c r="AD244" i="1"/>
  <c r="AE244" i="1"/>
  <c r="AF244" i="1"/>
  <c r="AG244" i="1"/>
  <c r="I59" i="1"/>
  <c r="J59" i="1"/>
  <c r="K59" i="1"/>
  <c r="L59" i="1"/>
  <c r="M59" i="1"/>
  <c r="X59" i="1"/>
  <c r="Y59" i="1"/>
  <c r="Z59" i="1"/>
  <c r="AA59" i="1"/>
  <c r="AD59" i="1"/>
  <c r="AE59" i="1"/>
  <c r="AF59" i="1"/>
  <c r="AG59" i="1"/>
  <c r="I79" i="1"/>
  <c r="J79" i="1"/>
  <c r="K79" i="1"/>
  <c r="L79" i="1"/>
  <c r="M79" i="1"/>
  <c r="X79" i="1"/>
  <c r="Y79" i="1"/>
  <c r="Z79" i="1"/>
  <c r="AA79" i="1"/>
  <c r="AD79" i="1"/>
  <c r="AE79" i="1"/>
  <c r="AF79" i="1"/>
  <c r="AG79" i="1"/>
  <c r="I118" i="1"/>
  <c r="J118" i="1"/>
  <c r="K118" i="1"/>
  <c r="L118" i="1"/>
  <c r="M118" i="1"/>
  <c r="X118" i="1"/>
  <c r="Y118" i="1"/>
  <c r="Z118" i="1"/>
  <c r="AA118" i="1"/>
  <c r="AD118" i="1"/>
  <c r="AE118" i="1"/>
  <c r="AF118" i="1"/>
  <c r="AG118" i="1"/>
  <c r="I157" i="1"/>
  <c r="J157" i="1"/>
  <c r="K157" i="1"/>
  <c r="L157" i="1"/>
  <c r="M157" i="1"/>
  <c r="X157" i="1"/>
  <c r="Y157" i="1"/>
  <c r="Z157" i="1"/>
  <c r="AA157" i="1"/>
  <c r="AD157" i="1"/>
  <c r="AE157" i="1"/>
  <c r="AF157" i="1"/>
  <c r="AG157" i="1"/>
  <c r="I212" i="1"/>
  <c r="J212" i="1"/>
  <c r="K212" i="1"/>
  <c r="L212" i="1"/>
  <c r="M212" i="1"/>
  <c r="X212" i="1"/>
  <c r="Y212" i="1"/>
  <c r="Z212" i="1"/>
  <c r="AA212" i="1"/>
  <c r="AD212" i="1"/>
  <c r="AE212" i="1"/>
  <c r="AF212" i="1"/>
  <c r="AG212" i="1"/>
  <c r="I156" i="1"/>
  <c r="J156" i="1"/>
  <c r="K156" i="1"/>
  <c r="L156" i="1"/>
  <c r="M156" i="1"/>
  <c r="X156" i="1"/>
  <c r="Y156" i="1"/>
  <c r="Z156" i="1"/>
  <c r="AA156" i="1"/>
  <c r="AD156" i="1"/>
  <c r="AE156" i="1"/>
  <c r="AF156" i="1"/>
  <c r="AG156" i="1"/>
  <c r="I45" i="1"/>
  <c r="J45" i="1"/>
  <c r="K45" i="1"/>
  <c r="L45" i="1"/>
  <c r="M45" i="1"/>
  <c r="X45" i="1"/>
  <c r="Y45" i="1"/>
  <c r="Z45" i="1"/>
  <c r="AA45" i="1"/>
  <c r="AD45" i="1"/>
  <c r="AE45" i="1"/>
  <c r="AF45" i="1"/>
  <c r="AG45" i="1"/>
  <c r="I71" i="1"/>
  <c r="J71" i="1"/>
  <c r="K71" i="1"/>
  <c r="L71" i="1"/>
  <c r="M71" i="1"/>
  <c r="X71" i="1"/>
  <c r="Y71" i="1"/>
  <c r="Z71" i="1"/>
  <c r="AA71" i="1"/>
  <c r="AD71" i="1"/>
  <c r="AE71" i="1"/>
  <c r="AF71" i="1"/>
  <c r="AG71" i="1"/>
  <c r="I119" i="1"/>
  <c r="J119" i="1"/>
  <c r="K119" i="1"/>
  <c r="L119" i="1"/>
  <c r="M119" i="1"/>
  <c r="X119" i="1"/>
  <c r="Y119" i="1"/>
  <c r="Z119" i="1"/>
  <c r="AA119" i="1"/>
  <c r="AD119" i="1"/>
  <c r="AE119" i="1"/>
  <c r="AF119" i="1"/>
  <c r="AG119" i="1"/>
  <c r="I238" i="1"/>
  <c r="J238" i="1"/>
  <c r="K238" i="1"/>
  <c r="L238" i="1"/>
  <c r="M238" i="1"/>
  <c r="X238" i="1"/>
  <c r="Y238" i="1"/>
  <c r="Z238" i="1"/>
  <c r="AA238" i="1"/>
  <c r="AD238" i="1"/>
  <c r="AE238" i="1"/>
  <c r="AF238" i="1"/>
  <c r="AG238" i="1"/>
  <c r="I40" i="1"/>
  <c r="J40" i="1"/>
  <c r="K40" i="1"/>
  <c r="L40" i="1"/>
  <c r="M40" i="1"/>
  <c r="X40" i="1"/>
  <c r="Y40" i="1"/>
  <c r="Z40" i="1"/>
  <c r="AA40" i="1"/>
  <c r="AD40" i="1"/>
  <c r="AE40" i="1"/>
  <c r="AF40" i="1"/>
  <c r="AG40" i="1"/>
  <c r="I47" i="1"/>
  <c r="J47" i="1"/>
  <c r="K47" i="1"/>
  <c r="L47" i="1"/>
  <c r="M47" i="1"/>
  <c r="X47" i="1"/>
  <c r="Y47" i="1"/>
  <c r="Z47" i="1"/>
  <c r="AA47" i="1"/>
  <c r="AD47" i="1"/>
  <c r="AE47" i="1"/>
  <c r="AF47" i="1"/>
  <c r="AG47" i="1"/>
  <c r="I190" i="1"/>
  <c r="J190" i="1"/>
  <c r="K190" i="1"/>
  <c r="L190" i="1"/>
  <c r="M190" i="1"/>
  <c r="X190" i="1"/>
  <c r="Y190" i="1"/>
  <c r="Z190" i="1"/>
  <c r="AA190" i="1"/>
  <c r="AD190" i="1"/>
  <c r="AE190" i="1"/>
  <c r="AF190" i="1"/>
  <c r="AG190" i="1"/>
  <c r="I203" i="1"/>
  <c r="J203" i="1"/>
  <c r="K203" i="1"/>
  <c r="L203" i="1"/>
  <c r="M203" i="1"/>
  <c r="X203" i="1"/>
  <c r="Y203" i="1"/>
  <c r="Z203" i="1"/>
  <c r="AA203" i="1"/>
  <c r="AD203" i="1"/>
  <c r="AE203" i="1"/>
  <c r="AF203" i="1"/>
  <c r="AG203" i="1"/>
  <c r="I20" i="1"/>
  <c r="J20" i="1"/>
  <c r="K20" i="1"/>
  <c r="L20" i="1"/>
  <c r="M20" i="1"/>
  <c r="X20" i="1"/>
  <c r="Y20" i="1"/>
  <c r="Z20" i="1"/>
  <c r="AA20" i="1"/>
  <c r="AD20" i="1"/>
  <c r="AE20" i="1"/>
  <c r="AF20" i="1"/>
  <c r="AG20" i="1"/>
  <c r="I130" i="1"/>
  <c r="J130" i="1"/>
  <c r="K130" i="1"/>
  <c r="L130" i="1"/>
  <c r="M130" i="1"/>
  <c r="X130" i="1"/>
  <c r="Y130" i="1"/>
  <c r="Z130" i="1"/>
  <c r="AA130" i="1"/>
  <c r="AD130" i="1"/>
  <c r="AE130" i="1"/>
  <c r="AF130" i="1"/>
  <c r="AG130" i="1"/>
  <c r="I16" i="1"/>
  <c r="J16" i="1"/>
  <c r="K16" i="1"/>
  <c r="L16" i="1"/>
  <c r="M16" i="1"/>
  <c r="X16" i="1"/>
  <c r="Y16" i="1"/>
  <c r="Z16" i="1"/>
  <c r="AA16" i="1"/>
  <c r="AD16" i="1"/>
  <c r="AE16" i="1"/>
  <c r="AF16" i="1"/>
  <c r="AG16" i="1"/>
  <c r="I64" i="1"/>
  <c r="J64" i="1"/>
  <c r="K64" i="1"/>
  <c r="L64" i="1"/>
  <c r="M64" i="1"/>
  <c r="X64" i="1"/>
  <c r="Y64" i="1"/>
  <c r="Z64" i="1"/>
  <c r="AA64" i="1"/>
  <c r="AD64" i="1"/>
  <c r="AE64" i="1"/>
  <c r="AF64" i="1"/>
  <c r="AG64" i="1"/>
  <c r="I51" i="1"/>
  <c r="J51" i="1"/>
  <c r="K51" i="1"/>
  <c r="L51" i="1"/>
  <c r="M51" i="1"/>
  <c r="X51" i="1"/>
  <c r="Y51" i="1"/>
  <c r="Z51" i="1"/>
  <c r="AA51" i="1"/>
  <c r="AD51" i="1"/>
  <c r="AE51" i="1"/>
  <c r="AF51" i="1"/>
  <c r="AG51" i="1"/>
  <c r="I161" i="1"/>
  <c r="J161" i="1"/>
  <c r="K161" i="1"/>
  <c r="L161" i="1"/>
  <c r="M161" i="1"/>
  <c r="X161" i="1"/>
  <c r="Y161" i="1"/>
  <c r="Z161" i="1"/>
  <c r="AA161" i="1"/>
  <c r="AD161" i="1"/>
  <c r="AE161" i="1"/>
  <c r="AF161" i="1"/>
  <c r="AG161" i="1"/>
  <c r="I167" i="1"/>
  <c r="J167" i="1"/>
  <c r="K167" i="1"/>
  <c r="L167" i="1"/>
  <c r="M167" i="1"/>
  <c r="X167" i="1"/>
  <c r="Y167" i="1"/>
  <c r="Z167" i="1"/>
  <c r="AA167" i="1"/>
  <c r="AD167" i="1"/>
  <c r="AE167" i="1"/>
  <c r="AF167" i="1"/>
  <c r="AG167" i="1"/>
  <c r="I38" i="1"/>
  <c r="J38" i="1"/>
  <c r="K38" i="1"/>
  <c r="L38" i="1"/>
  <c r="M38" i="1"/>
  <c r="X38" i="1"/>
  <c r="Y38" i="1"/>
  <c r="Z38" i="1"/>
  <c r="AA38" i="1"/>
  <c r="AD38" i="1"/>
  <c r="AE38" i="1"/>
  <c r="AF38" i="1"/>
  <c r="AG38" i="1"/>
  <c r="I146" i="1"/>
  <c r="J146" i="1"/>
  <c r="K146" i="1"/>
  <c r="L146" i="1"/>
  <c r="M146" i="1"/>
  <c r="X146" i="1"/>
  <c r="Y146" i="1"/>
  <c r="Z146" i="1"/>
  <c r="AA146" i="1"/>
  <c r="AD146" i="1"/>
  <c r="AE146" i="1"/>
  <c r="AF146" i="1"/>
  <c r="AG146" i="1"/>
  <c r="I147" i="1"/>
  <c r="J147" i="1"/>
  <c r="K147" i="1"/>
  <c r="L147" i="1"/>
  <c r="M147" i="1"/>
  <c r="X147" i="1"/>
  <c r="Y147" i="1"/>
  <c r="Z147" i="1"/>
  <c r="AA147" i="1"/>
  <c r="AD147" i="1"/>
  <c r="AE147" i="1"/>
  <c r="AF147" i="1"/>
  <c r="AG147" i="1"/>
  <c r="AH249" i="1"/>
  <c r="H256" i="1" l="1"/>
  <c r="H255" i="1"/>
  <c r="N247" i="1"/>
  <c r="O13" i="1"/>
  <c r="C283" i="1"/>
  <c r="C284" i="1" s="1"/>
  <c r="O231" i="1"/>
  <c r="O24" i="1"/>
  <c r="O14" i="1"/>
  <c r="O250" i="1"/>
  <c r="N250" i="1"/>
  <c r="AA251" i="1"/>
  <c r="AA252" i="1"/>
  <c r="AA250" i="1"/>
  <c r="Z251" i="1"/>
  <c r="Z252" i="1"/>
  <c r="Z250" i="1"/>
  <c r="Y252" i="1"/>
  <c r="Y250" i="1"/>
  <c r="Y251" i="1"/>
  <c r="X252" i="1"/>
  <c r="X250" i="1"/>
  <c r="X251" i="1"/>
  <c r="O11" i="1"/>
  <c r="K3" i="1"/>
  <c r="F4" i="1"/>
  <c r="F5" i="1"/>
  <c r="D4" i="1"/>
  <c r="D5" i="1"/>
  <c r="B3" i="7"/>
  <c r="B3" i="1"/>
  <c r="B5" i="1"/>
  <c r="B4" i="1"/>
  <c r="P92" i="1"/>
  <c r="C254" i="1"/>
  <c r="P250" i="1"/>
  <c r="Q250" i="1"/>
  <c r="Q249" i="1" a="1"/>
  <c r="Q249" i="1" s="1"/>
  <c r="R14" i="1"/>
  <c r="Q247" i="1"/>
  <c r="R21" i="6"/>
  <c r="S21" i="6"/>
  <c r="T17" i="6"/>
  <c r="R31" i="6"/>
  <c r="S31" i="6"/>
  <c r="P19" i="6"/>
  <c r="T27" i="6"/>
  <c r="T7" i="6"/>
  <c r="P29" i="6"/>
  <c r="Q243" i="6"/>
  <c r="Q242" i="6"/>
  <c r="Q240" i="6"/>
  <c r="R4" i="6"/>
  <c r="S4" i="6"/>
  <c r="S13" i="6"/>
  <c r="R13" i="6"/>
  <c r="T9" i="6"/>
  <c r="AB56" i="6"/>
  <c r="AB73" i="6"/>
  <c r="T135" i="6"/>
  <c r="R144" i="6"/>
  <c r="S144" i="6"/>
  <c r="R172" i="6"/>
  <c r="S172" i="6"/>
  <c r="T61" i="6"/>
  <c r="T68" i="6"/>
  <c r="T69" i="6"/>
  <c r="T104" i="6"/>
  <c r="S107" i="6"/>
  <c r="R107" i="6"/>
  <c r="T115" i="6"/>
  <c r="AB115" i="6"/>
  <c r="T118" i="6"/>
  <c r="T119" i="6"/>
  <c r="T120" i="6"/>
  <c r="T128" i="6"/>
  <c r="T145" i="6"/>
  <c r="S151" i="6"/>
  <c r="R151" i="6"/>
  <c r="T152" i="6"/>
  <c r="T170" i="6"/>
  <c r="R176" i="6"/>
  <c r="T186" i="6"/>
  <c r="R192" i="6"/>
  <c r="S192" i="6"/>
  <c r="T206" i="6"/>
  <c r="S117" i="6"/>
  <c r="R117" i="6"/>
  <c r="AB141" i="6"/>
  <c r="T161" i="6"/>
  <c r="T174" i="6"/>
  <c r="S181" i="6"/>
  <c r="R181" i="6"/>
  <c r="T198" i="6"/>
  <c r="AB200" i="6"/>
  <c r="R204" i="6"/>
  <c r="R39" i="6"/>
  <c r="R83" i="6"/>
  <c r="R86" i="6"/>
  <c r="T97" i="6"/>
  <c r="S106" i="6"/>
  <c r="R106" i="6"/>
  <c r="S112" i="6"/>
  <c r="R124" i="6"/>
  <c r="T134" i="6"/>
  <c r="R162" i="6"/>
  <c r="S162" i="6"/>
  <c r="S199" i="6"/>
  <c r="R199" i="6"/>
  <c r="R229" i="6"/>
  <c r="I243" i="6"/>
  <c r="I240" i="6"/>
  <c r="AF240" i="6"/>
  <c r="R5" i="6"/>
  <c r="R14" i="6"/>
  <c r="R22" i="6"/>
  <c r="R32" i="6"/>
  <c r="R40" i="6"/>
  <c r="R50" i="6"/>
  <c r="P64" i="6"/>
  <c r="P65" i="6"/>
  <c r="R74" i="6"/>
  <c r="R75" i="6"/>
  <c r="R87" i="6"/>
  <c r="P110" i="6"/>
  <c r="P128" i="6"/>
  <c r="T132" i="6"/>
  <c r="R138" i="6"/>
  <c r="T140" i="6"/>
  <c r="T175" i="6"/>
  <c r="S191" i="6"/>
  <c r="R191" i="6"/>
  <c r="R202" i="6"/>
  <c r="S202" i="6"/>
  <c r="P206" i="6"/>
  <c r="J243" i="6"/>
  <c r="J240" i="6"/>
  <c r="T4" i="6"/>
  <c r="R6" i="6"/>
  <c r="R15" i="6"/>
  <c r="R23" i="6"/>
  <c r="R33" i="6"/>
  <c r="R41" i="6"/>
  <c r="R51" i="6"/>
  <c r="R52" i="6"/>
  <c r="S53" i="6"/>
  <c r="R55" i="6"/>
  <c r="R56" i="6"/>
  <c r="R57" i="6"/>
  <c r="R73" i="6"/>
  <c r="R76" i="6"/>
  <c r="S80" i="6"/>
  <c r="R80" i="6"/>
  <c r="R88" i="6"/>
  <c r="R89" i="6"/>
  <c r="AB102" i="6"/>
  <c r="P103" i="6"/>
  <c r="R111" i="6"/>
  <c r="S122" i="6"/>
  <c r="S130" i="6"/>
  <c r="S136" i="6"/>
  <c r="T143" i="6"/>
  <c r="T156" i="6"/>
  <c r="R165" i="6"/>
  <c r="T172" i="6"/>
  <c r="T184" i="6"/>
  <c r="P193" i="6"/>
  <c r="T196" i="6"/>
  <c r="P201" i="6"/>
  <c r="K243" i="6"/>
  <c r="K240" i="6"/>
  <c r="X243" i="6"/>
  <c r="AB48" i="6"/>
  <c r="T122" i="6"/>
  <c r="P134" i="6"/>
  <c r="T149" i="6"/>
  <c r="P159" i="6"/>
  <c r="P160" i="6"/>
  <c r="T162" i="6"/>
  <c r="P182" i="6"/>
  <c r="S219" i="6"/>
  <c r="R219" i="6"/>
  <c r="T51" i="6"/>
  <c r="S70" i="6"/>
  <c r="R70" i="6"/>
  <c r="R78" i="6"/>
  <c r="R79" i="6"/>
  <c r="T88" i="6"/>
  <c r="T89" i="6"/>
  <c r="P102" i="6"/>
  <c r="S110" i="6"/>
  <c r="R110" i="6"/>
  <c r="R115" i="6"/>
  <c r="P126" i="6"/>
  <c r="R129" i="6"/>
  <c r="S135" i="6"/>
  <c r="T137" i="6"/>
  <c r="T148" i="6"/>
  <c r="P158" i="6"/>
  <c r="S180" i="6"/>
  <c r="T188" i="6"/>
  <c r="S198" i="6"/>
  <c r="R198" i="6"/>
  <c r="T220" i="6"/>
  <c r="R26" i="6"/>
  <c r="R44" i="6"/>
  <c r="R60" i="6"/>
  <c r="R67" i="6"/>
  <c r="P93" i="6"/>
  <c r="R98" i="6"/>
  <c r="P113" i="6"/>
  <c r="T116" i="6"/>
  <c r="R120" i="6"/>
  <c r="R128" i="6"/>
  <c r="S141" i="6"/>
  <c r="R141" i="6"/>
  <c r="S145" i="6"/>
  <c r="T147" i="6"/>
  <c r="P156" i="6"/>
  <c r="S164" i="6"/>
  <c r="T171" i="6"/>
  <c r="P192" i="6"/>
  <c r="T199" i="6"/>
  <c r="L243" i="6"/>
  <c r="L240" i="6"/>
  <c r="M243" i="6"/>
  <c r="M240" i="6"/>
  <c r="R8" i="6"/>
  <c r="R62" i="6"/>
  <c r="R69" i="6"/>
  <c r="T78" i="6"/>
  <c r="T79" i="6"/>
  <c r="P101" i="6"/>
  <c r="T105" i="6"/>
  <c r="R108" i="6"/>
  <c r="S108" i="6"/>
  <c r="T111" i="6"/>
  <c r="T130" i="6"/>
  <c r="R134" i="6"/>
  <c r="S134" i="6"/>
  <c r="T142" i="6"/>
  <c r="P166" i="6"/>
  <c r="T187" i="6"/>
  <c r="S189" i="6"/>
  <c r="R189" i="6"/>
  <c r="S200" i="6"/>
  <c r="R200" i="6"/>
  <c r="T153" i="6"/>
  <c r="T154" i="6"/>
  <c r="P170" i="6"/>
  <c r="T178" i="6"/>
  <c r="T180" i="6"/>
  <c r="AB192" i="6"/>
  <c r="T204" i="6"/>
  <c r="T216" i="6"/>
  <c r="AB220" i="6"/>
  <c r="T228" i="6"/>
  <c r="T232" i="6"/>
  <c r="T113" i="6"/>
  <c r="R132" i="6"/>
  <c r="S132" i="6"/>
  <c r="R171" i="6"/>
  <c r="S186" i="6"/>
  <c r="R188" i="6"/>
  <c r="T190" i="6"/>
  <c r="S196" i="6"/>
  <c r="T223" i="6"/>
  <c r="P97" i="6"/>
  <c r="P125" i="6"/>
  <c r="S131" i="6"/>
  <c r="R131" i="6"/>
  <c r="T138" i="6"/>
  <c r="AB139" i="6"/>
  <c r="R142" i="6"/>
  <c r="S142" i="6"/>
  <c r="AB151" i="6"/>
  <c r="R161" i="6"/>
  <c r="T164" i="6"/>
  <c r="S168" i="6"/>
  <c r="AB175" i="6"/>
  <c r="P176" i="6"/>
  <c r="S185" i="6"/>
  <c r="AB190" i="6"/>
  <c r="S195" i="6"/>
  <c r="AB202" i="6"/>
  <c r="S208" i="6"/>
  <c r="R208" i="6"/>
  <c r="R217" i="6"/>
  <c r="T218" i="6"/>
  <c r="T227" i="6"/>
  <c r="AB150" i="6"/>
  <c r="T163" i="6"/>
  <c r="R182" i="6"/>
  <c r="S182" i="6"/>
  <c r="AB201" i="6"/>
  <c r="T222" i="6"/>
  <c r="T226" i="6"/>
  <c r="P228" i="6"/>
  <c r="AB231" i="6"/>
  <c r="P232" i="6"/>
  <c r="AB234" i="6"/>
  <c r="T230" i="6"/>
  <c r="R239" i="6"/>
  <c r="P144" i="6"/>
  <c r="T150" i="6"/>
  <c r="P194" i="6"/>
  <c r="T200" i="6"/>
  <c r="T236" i="6"/>
  <c r="T237" i="6"/>
  <c r="S214" i="6"/>
  <c r="R221" i="6"/>
  <c r="S222" i="6"/>
  <c r="S234" i="6"/>
  <c r="T239" i="6"/>
  <c r="P104" i="6"/>
  <c r="T110" i="6"/>
  <c r="P154" i="6"/>
  <c r="T160" i="6"/>
  <c r="P204" i="6"/>
  <c r="T210" i="6"/>
  <c r="T212" i="6"/>
  <c r="S231" i="6"/>
  <c r="R231" i="6"/>
  <c r="H5" i="5" a="1"/>
  <c r="H5" i="5" s="1"/>
  <c r="J9" i="5" a="1"/>
  <c r="J9" i="5" s="1"/>
  <c r="J10" i="5" s="1" a="1"/>
  <c r="J10" i="5" s="1"/>
  <c r="J11" i="5" s="1" a="1"/>
  <c r="J11" i="5" s="1"/>
  <c r="J12" i="5" s="1" a="1"/>
  <c r="J12" i="5" s="1"/>
  <c r="G5" i="5" a="1"/>
  <c r="G5" i="5" s="1"/>
  <c r="L20" i="5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K6" i="5" a="1"/>
  <c r="K6" i="5" s="1"/>
  <c r="K7" i="5" s="1" a="1"/>
  <c r="K7" i="5" s="1"/>
  <c r="K8" i="5" s="1" a="1"/>
  <c r="K8" i="5" s="1"/>
  <c r="K9" i="5" s="1" a="1"/>
  <c r="K9" i="5" s="1"/>
  <c r="K10" i="5" s="1" a="1"/>
  <c r="K10" i="5" s="1"/>
  <c r="K11" i="5" s="1" a="1"/>
  <c r="K11" i="5" s="1"/>
  <c r="K12" i="5" s="1" a="1"/>
  <c r="K12" i="5" s="1"/>
  <c r="K13" i="5" s="1" a="1"/>
  <c r="K13" i="5" s="1"/>
  <c r="K14" i="5" s="1" a="1"/>
  <c r="K14" i="5" s="1"/>
  <c r="K15" i="5" s="1" a="1"/>
  <c r="K15" i="5" s="1"/>
  <c r="K16" i="5" s="1" a="1"/>
  <c r="K16" i="5" s="1"/>
  <c r="K17" i="5" s="1" a="1"/>
  <c r="K17" i="5" s="1"/>
  <c r="K18" i="5" s="1" a="1"/>
  <c r="K18" i="5" s="1"/>
  <c r="K19" i="5" s="1" a="1"/>
  <c r="K19" i="5" s="1"/>
  <c r="K20" i="5" s="1" a="1"/>
  <c r="K20" i="5" s="1"/>
  <c r="K21" i="5" s="1" a="1"/>
  <c r="K21" i="5" s="1"/>
  <c r="K22" i="5" s="1" a="1"/>
  <c r="K22" i="5" s="1"/>
  <c r="K23" i="5" s="1" a="1"/>
  <c r="K23" i="5" s="1"/>
  <c r="K24" i="5" s="1" a="1"/>
  <c r="K24" i="5" s="1"/>
  <c r="K25" i="5" s="1" a="1"/>
  <c r="K25" i="5" s="1"/>
  <c r="K26" i="5" s="1" a="1"/>
  <c r="K26" i="5" s="1"/>
  <c r="K27" i="5" s="1" a="1"/>
  <c r="K27" i="5" s="1"/>
  <c r="K28" i="5" s="1" a="1"/>
  <c r="K28" i="5" s="1"/>
  <c r="K29" i="5" s="1" a="1"/>
  <c r="K29" i="5" s="1"/>
  <c r="K30" i="5" s="1" a="1"/>
  <c r="K30" i="5" s="1"/>
  <c r="K31" i="5" s="1" a="1"/>
  <c r="K31" i="5" s="1"/>
  <c r="K32" i="5" s="1" a="1"/>
  <c r="K32" i="5" s="1"/>
  <c r="K33" i="5" s="1" a="1"/>
  <c r="K33" i="5" s="1"/>
  <c r="K34" i="5" s="1" a="1"/>
  <c r="K34" i="5" s="1"/>
  <c r="K35" i="5" s="1" a="1"/>
  <c r="K35" i="5" s="1"/>
  <c r="K36" i="5" s="1" a="1"/>
  <c r="K36" i="5" s="1"/>
  <c r="K37" i="5" s="1" a="1"/>
  <c r="K37" i="5" s="1"/>
  <c r="K38" i="5" s="1" a="1"/>
  <c r="K38" i="5" s="1"/>
  <c r="K39" i="5" s="1" a="1"/>
  <c r="K39" i="5" s="1"/>
  <c r="K40" i="5" s="1" a="1"/>
  <c r="K40" i="5" s="1"/>
  <c r="K41" i="5" s="1" a="1"/>
  <c r="K41" i="5" s="1"/>
  <c r="K42" i="5" s="1" a="1"/>
  <c r="K42" i="5" s="1"/>
  <c r="K43" i="5" s="1" a="1"/>
  <c r="K43" i="5" s="1"/>
  <c r="K44" i="5" s="1" a="1"/>
  <c r="K44" i="5" s="1"/>
  <c r="K45" i="5" s="1" a="1"/>
  <c r="K45" i="5" s="1"/>
  <c r="K46" i="5" s="1" a="1"/>
  <c r="K46" i="5" s="1"/>
  <c r="K47" i="5" s="1" a="1"/>
  <c r="K47" i="5" s="1"/>
  <c r="K48" i="5" s="1" a="1"/>
  <c r="K48" i="5" s="1"/>
  <c r="K49" i="5" s="1" a="1"/>
  <c r="K49" i="5" s="1"/>
  <c r="K50" i="5" s="1" a="1"/>
  <c r="K50" i="5" s="1"/>
  <c r="K51" i="5" s="1" a="1"/>
  <c r="K51" i="5" s="1"/>
  <c r="K52" i="5" s="1" a="1"/>
  <c r="K52" i="5" s="1"/>
  <c r="K53" i="5" s="1" a="1"/>
  <c r="K53" i="5" s="1"/>
  <c r="K54" i="5" s="1" a="1"/>
  <c r="K54" i="5" s="1"/>
  <c r="K55" i="5" s="1" a="1"/>
  <c r="K55" i="5" s="1"/>
  <c r="K56" i="5" s="1" a="1"/>
  <c r="K56" i="5" s="1"/>
  <c r="K57" i="5" s="1" a="1"/>
  <c r="K57" i="5" s="1"/>
  <c r="K58" i="5" s="1" a="1"/>
  <c r="K58" i="5" s="1"/>
  <c r="K59" i="5" s="1" a="1"/>
  <c r="K59" i="5" s="1"/>
  <c r="K60" i="5" s="1" a="1"/>
  <c r="K60" i="5" s="1"/>
  <c r="K61" i="5" s="1" a="1"/>
  <c r="K61" i="5" s="1"/>
  <c r="K62" i="5" s="1" a="1"/>
  <c r="K62" i="5" s="1"/>
  <c r="K63" i="5" s="1" a="1"/>
  <c r="K63" i="5" s="1"/>
  <c r="K64" i="5" s="1" a="1"/>
  <c r="K64" i="5" s="1"/>
  <c r="K65" i="5" s="1" a="1"/>
  <c r="K65" i="5" s="1"/>
  <c r="K66" i="5" s="1" a="1"/>
  <c r="K66" i="5" s="1"/>
  <c r="K67" i="5" s="1" a="1"/>
  <c r="K67" i="5" s="1"/>
  <c r="K68" i="5" s="1" a="1"/>
  <c r="K68" i="5" s="1"/>
  <c r="K69" i="5" s="1" a="1"/>
  <c r="K69" i="5" s="1"/>
  <c r="K70" i="5" s="1" a="1"/>
  <c r="K70" i="5" s="1"/>
  <c r="K71" i="5" s="1" a="1"/>
  <c r="K71" i="5" s="1"/>
  <c r="K72" i="5" s="1" a="1"/>
  <c r="K72" i="5" s="1"/>
  <c r="K73" i="5" s="1" a="1"/>
  <c r="K73" i="5" s="1"/>
  <c r="K74" i="5" s="1" a="1"/>
  <c r="K74" i="5" s="1"/>
  <c r="K75" i="5" s="1" a="1"/>
  <c r="K75" i="5" s="1"/>
  <c r="K76" i="5" s="1" a="1"/>
  <c r="K76" i="5" s="1"/>
  <c r="K77" i="5" s="1" a="1"/>
  <c r="K77" i="5" s="1"/>
  <c r="K78" i="5" s="1" a="1"/>
  <c r="K78" i="5" s="1"/>
  <c r="K79" i="5" s="1" a="1"/>
  <c r="K79" i="5" s="1"/>
  <c r="K80" i="5" s="1" a="1"/>
  <c r="K80" i="5" s="1"/>
  <c r="K81" i="5" s="1" a="1"/>
  <c r="K81" i="5" s="1"/>
  <c r="K82" i="5" s="1" a="1"/>
  <c r="K82" i="5" s="1"/>
  <c r="K83" i="5" s="1" a="1"/>
  <c r="K83" i="5" s="1"/>
  <c r="K84" i="5" s="1" a="1"/>
  <c r="K84" i="5" s="1"/>
  <c r="K85" i="5" s="1" a="1"/>
  <c r="K85" i="5" s="1"/>
  <c r="K86" i="5" s="1" a="1"/>
  <c r="K86" i="5" s="1"/>
  <c r="K87" i="5" s="1" a="1"/>
  <c r="K87" i="5" s="1"/>
  <c r="K88" i="5" s="1" a="1"/>
  <c r="K88" i="5" s="1"/>
  <c r="K89" i="5" s="1" a="1"/>
  <c r="K89" i="5" s="1"/>
  <c r="K90" i="5" s="1" a="1"/>
  <c r="K90" i="5" s="1"/>
  <c r="K91" i="5" s="1" a="1"/>
  <c r="K91" i="5" s="1"/>
  <c r="K92" i="5" s="1" a="1"/>
  <c r="K92" i="5" s="1"/>
  <c r="K93" i="5" s="1" a="1"/>
  <c r="K93" i="5" s="1"/>
  <c r="K94" i="5" s="1" a="1"/>
  <c r="K94" i="5" s="1"/>
  <c r="K95" i="5" s="1" a="1"/>
  <c r="K95" i="5" s="1"/>
  <c r="K96" i="5" s="1" a="1"/>
  <c r="K96" i="5" s="1"/>
  <c r="K97" i="5" s="1" a="1"/>
  <c r="K97" i="5" s="1"/>
  <c r="K98" i="5" s="1" a="1"/>
  <c r="K98" i="5" s="1"/>
  <c r="K99" i="5" s="1" a="1"/>
  <c r="K99" i="5" s="1"/>
  <c r="K100" i="5" s="1" a="1"/>
  <c r="K100" i="5" s="1"/>
  <c r="K101" i="5" s="1" a="1"/>
  <c r="K101" i="5" s="1"/>
  <c r="K102" i="5" s="1" a="1"/>
  <c r="K102" i="5" s="1"/>
  <c r="K103" i="5" s="1" a="1"/>
  <c r="K103" i="5" s="1"/>
  <c r="K104" i="5" s="1" a="1"/>
  <c r="K104" i="5" s="1"/>
  <c r="K105" i="5" s="1" a="1"/>
  <c r="K105" i="5" s="1"/>
  <c r="K106" i="5" s="1" a="1"/>
  <c r="K106" i="5" s="1"/>
  <c r="K107" i="5" s="1" a="1"/>
  <c r="K107" i="5" s="1"/>
  <c r="K108" i="5" s="1" a="1"/>
  <c r="K108" i="5" s="1"/>
  <c r="K109" i="5" s="1" a="1"/>
  <c r="K109" i="5" s="1"/>
  <c r="K110" i="5" s="1" a="1"/>
  <c r="K110" i="5" s="1"/>
  <c r="K111" i="5" s="1" a="1"/>
  <c r="K111" i="5" s="1"/>
  <c r="K112" i="5" s="1" a="1"/>
  <c r="K112" i="5" s="1"/>
  <c r="K113" i="5" s="1" a="1"/>
  <c r="K113" i="5" s="1"/>
  <c r="K114" i="5" s="1" a="1"/>
  <c r="K114" i="5" s="1"/>
  <c r="K115" i="5" s="1" a="1"/>
  <c r="K115" i="5" s="1"/>
  <c r="K116" i="5" s="1" a="1"/>
  <c r="K116" i="5" s="1"/>
  <c r="K117" i="5" s="1" a="1"/>
  <c r="K117" i="5" s="1"/>
  <c r="K118" i="5" s="1" a="1"/>
  <c r="K118" i="5" s="1"/>
  <c r="K119" i="5" s="1" a="1"/>
  <c r="K119" i="5" s="1"/>
  <c r="K120" i="5" s="1" a="1"/>
  <c r="K120" i="5" s="1"/>
  <c r="K121" i="5" s="1" a="1"/>
  <c r="K121" i="5" s="1"/>
  <c r="K122" i="5" s="1" a="1"/>
  <c r="K122" i="5" s="1"/>
  <c r="K123" i="5" s="1" a="1"/>
  <c r="K123" i="5" s="1"/>
  <c r="K124" i="5" s="1" a="1"/>
  <c r="K124" i="5" s="1"/>
  <c r="K125" i="5" s="1" a="1"/>
  <c r="K125" i="5" s="1"/>
  <c r="K126" i="5" s="1" a="1"/>
  <c r="K126" i="5" s="1"/>
  <c r="K127" i="5" s="1" a="1"/>
  <c r="K127" i="5" s="1"/>
  <c r="K128" i="5" s="1" a="1"/>
  <c r="K128" i="5" s="1"/>
  <c r="K129" i="5" s="1" a="1"/>
  <c r="K129" i="5" s="1"/>
  <c r="K130" i="5" s="1" a="1"/>
  <c r="K130" i="5" s="1"/>
  <c r="K131" i="5" s="1" a="1"/>
  <c r="K131" i="5" s="1"/>
  <c r="K132" i="5" s="1" a="1"/>
  <c r="K132" i="5" s="1"/>
  <c r="K133" i="5" s="1" a="1"/>
  <c r="K133" i="5" s="1"/>
  <c r="K134" i="5" s="1" a="1"/>
  <c r="K134" i="5" s="1"/>
  <c r="K135" i="5" s="1" a="1"/>
  <c r="K135" i="5" s="1"/>
  <c r="K136" i="5" s="1" a="1"/>
  <c r="K136" i="5" s="1"/>
  <c r="K137" i="5" s="1" a="1"/>
  <c r="K137" i="5" s="1"/>
  <c r="K138" i="5" s="1" a="1"/>
  <c r="K138" i="5" s="1"/>
  <c r="K139" i="5" s="1" a="1"/>
  <c r="K139" i="5" s="1"/>
  <c r="K140" i="5" s="1" a="1"/>
  <c r="K140" i="5" s="1"/>
  <c r="K141" i="5" s="1" a="1"/>
  <c r="K141" i="5" s="1"/>
  <c r="K142" i="5" s="1" a="1"/>
  <c r="K142" i="5" s="1"/>
  <c r="K143" i="5" s="1" a="1"/>
  <c r="K143" i="5" s="1"/>
  <c r="K144" i="5" s="1" a="1"/>
  <c r="K144" i="5" s="1"/>
  <c r="K145" i="5" s="1" a="1"/>
  <c r="K145" i="5" s="1"/>
  <c r="K146" i="5" s="1" a="1"/>
  <c r="K146" i="5" s="1"/>
  <c r="K147" i="5" s="1" a="1"/>
  <c r="K147" i="5" s="1"/>
  <c r="K148" i="5" s="1" a="1"/>
  <c r="K148" i="5" s="1"/>
  <c r="K149" i="5" s="1" a="1"/>
  <c r="K149" i="5" s="1"/>
  <c r="K150" i="5" s="1" a="1"/>
  <c r="K150" i="5" s="1"/>
  <c r="K151" i="5" s="1" a="1"/>
  <c r="K151" i="5" s="1"/>
  <c r="K152" i="5" s="1" a="1"/>
  <c r="K152" i="5" s="1"/>
  <c r="K153" i="5" s="1" a="1"/>
  <c r="K153" i="5" s="1"/>
  <c r="K154" i="5" s="1" a="1"/>
  <c r="K154" i="5" s="1"/>
  <c r="K155" i="5" s="1" a="1"/>
  <c r="K155" i="5" s="1"/>
  <c r="K156" i="5" s="1" a="1"/>
  <c r="K156" i="5" s="1"/>
  <c r="K157" i="5" s="1" a="1"/>
  <c r="K157" i="5" s="1"/>
  <c r="G6" i="5" a="1"/>
  <c r="G6" i="5" s="1"/>
  <c r="H6" i="5" a="1"/>
  <c r="H6" i="5" s="1"/>
  <c r="R73" i="1"/>
  <c r="G251" i="1"/>
  <c r="D248" i="1"/>
  <c r="F251" i="1"/>
  <c r="E251" i="1"/>
  <c r="D251" i="1"/>
  <c r="C248" i="1"/>
  <c r="G248" i="1"/>
  <c r="F248" i="1"/>
  <c r="E248" i="1"/>
  <c r="C251" i="1"/>
  <c r="P174" i="1"/>
  <c r="P185" i="1"/>
  <c r="P56" i="1"/>
  <c r="P230" i="1"/>
  <c r="P18" i="1"/>
  <c r="P12" i="1"/>
  <c r="P36" i="1"/>
  <c r="P125" i="1"/>
  <c r="P68" i="1"/>
  <c r="P72" i="1"/>
  <c r="P90" i="1"/>
  <c r="P86" i="1"/>
  <c r="P135" i="1"/>
  <c r="P136" i="1"/>
  <c r="P139" i="1"/>
  <c r="P141" i="1"/>
  <c r="P50" i="1"/>
  <c r="P155" i="1"/>
  <c r="P113" i="1"/>
  <c r="P236" i="1"/>
  <c r="P178" i="1"/>
  <c r="P91" i="1"/>
  <c r="P192" i="1"/>
  <c r="P124" i="1"/>
  <c r="P126" i="1"/>
  <c r="P127" i="1"/>
  <c r="P128" i="1"/>
  <c r="P42" i="1"/>
  <c r="P133" i="1"/>
  <c r="P73" i="1"/>
  <c r="P76" i="1"/>
  <c r="P99" i="1"/>
  <c r="P138" i="1"/>
  <c r="P195" i="1"/>
  <c r="P85" i="1"/>
  <c r="P229" i="1"/>
  <c r="P110" i="1"/>
  <c r="P75" i="1"/>
  <c r="P152" i="1"/>
  <c r="P67" i="1"/>
  <c r="P28" i="1"/>
  <c r="P70" i="1"/>
  <c r="P39" i="1"/>
  <c r="P49" i="1"/>
  <c r="P57" i="1"/>
  <c r="P129" i="1"/>
  <c r="P98" i="1"/>
  <c r="P153" i="1"/>
  <c r="P101" i="1"/>
  <c r="P144" i="1"/>
  <c r="P140" i="1"/>
  <c r="P81" i="1"/>
  <c r="P149" i="1"/>
  <c r="P142" i="1"/>
  <c r="P147" i="1"/>
  <c r="P51" i="1"/>
  <c r="P203" i="1"/>
  <c r="P119" i="1"/>
  <c r="P157" i="1"/>
  <c r="P94" i="1"/>
  <c r="P21" i="1"/>
  <c r="P15" i="1"/>
  <c r="P235" i="1"/>
  <c r="P221" i="1"/>
  <c r="P69" i="1"/>
  <c r="P239" i="1"/>
  <c r="P114" i="1"/>
  <c r="P96" i="1"/>
  <c r="P167" i="1"/>
  <c r="P130" i="1"/>
  <c r="P40" i="1"/>
  <c r="P156" i="1"/>
  <c r="P59" i="1"/>
  <c r="P194" i="1"/>
  <c r="P198" i="1"/>
  <c r="P35" i="1"/>
  <c r="P225" i="1"/>
  <c r="P30" i="1"/>
  <c r="P179" i="1"/>
  <c r="P58" i="1"/>
  <c r="P246" i="1"/>
  <c r="P159" i="1"/>
  <c r="P177" i="1"/>
  <c r="P102" i="1"/>
  <c r="P61" i="1"/>
  <c r="P237" i="1"/>
  <c r="P188" i="1"/>
  <c r="P48" i="1"/>
  <c r="P176" i="1"/>
  <c r="P104" i="1"/>
  <c r="P54" i="1"/>
  <c r="P172" i="1"/>
  <c r="P208" i="1"/>
  <c r="P196" i="1"/>
  <c r="P66" i="1"/>
  <c r="P170" i="1"/>
  <c r="P154" i="1"/>
  <c r="P171" i="1"/>
  <c r="P222" i="1"/>
  <c r="P146" i="1"/>
  <c r="P64" i="1"/>
  <c r="P190" i="1"/>
  <c r="P71" i="1"/>
  <c r="P118" i="1"/>
  <c r="P41" i="1"/>
  <c r="P44" i="1"/>
  <c r="P218" i="1"/>
  <c r="P211" i="1"/>
  <c r="P77" i="1"/>
  <c r="P240" i="1"/>
  <c r="P116" i="1"/>
  <c r="P14" i="1"/>
  <c r="P33" i="1"/>
  <c r="P19" i="1"/>
  <c r="P31" i="1"/>
  <c r="P89" i="1"/>
  <c r="P53" i="1"/>
  <c r="P209" i="1"/>
  <c r="P103" i="1"/>
  <c r="P227" i="1"/>
  <c r="P29" i="1"/>
  <c r="P105" i="1"/>
  <c r="P120" i="1"/>
  <c r="P245" i="1"/>
  <c r="P181" i="1"/>
  <c r="P202" i="1"/>
  <c r="P160" i="1"/>
  <c r="P165" i="1"/>
  <c r="P107" i="1"/>
  <c r="P108" i="1"/>
  <c r="P38" i="1"/>
  <c r="P16" i="1"/>
  <c r="P47" i="1"/>
  <c r="P45" i="1"/>
  <c r="P79" i="1"/>
  <c r="P226" i="1"/>
  <c r="P13" i="1"/>
  <c r="P158" i="1"/>
  <c r="P26" i="1"/>
  <c r="P11" i="1"/>
  <c r="P46" i="1"/>
  <c r="P115" i="1"/>
  <c r="P169" i="1"/>
  <c r="P232" i="1"/>
  <c r="P43" i="1"/>
  <c r="P162" i="1"/>
  <c r="P206" i="1"/>
  <c r="P197" i="1"/>
  <c r="P34" i="1"/>
  <c r="P186" i="1"/>
  <c r="P223" i="1"/>
  <c r="P164" i="1"/>
  <c r="P74" i="1"/>
  <c r="P151" i="1"/>
  <c r="P243" i="1"/>
  <c r="P52" i="1"/>
  <c r="P228" i="1"/>
  <c r="P207" i="1"/>
  <c r="P150" i="1"/>
  <c r="P200" i="1"/>
  <c r="P173" i="1"/>
  <c r="P187" i="1"/>
  <c r="P60" i="1"/>
  <c r="P122" i="1"/>
  <c r="P78" i="1"/>
  <c r="P199" i="1"/>
  <c r="P65" i="1"/>
  <c r="P182" i="1"/>
  <c r="P242" i="1"/>
  <c r="P23" i="1"/>
  <c r="P224" i="1"/>
  <c r="P213" i="1"/>
  <c r="P166" i="1"/>
  <c r="P168" i="1"/>
  <c r="P201" i="1"/>
  <c r="P175" i="1"/>
  <c r="P219" i="1"/>
  <c r="P184" i="1"/>
  <c r="AB217" i="1"/>
  <c r="P205" i="1"/>
  <c r="AB229" i="1"/>
  <c r="AB193" i="1"/>
  <c r="AB121" i="1"/>
  <c r="AB32" i="1"/>
  <c r="AB123" i="1"/>
  <c r="P84" i="1"/>
  <c r="AB17" i="1"/>
  <c r="AB39" i="1"/>
  <c r="AB82" i="1"/>
  <c r="AB148" i="1"/>
  <c r="AB131" i="1"/>
  <c r="AB134" i="1"/>
  <c r="AB87" i="1"/>
  <c r="AB137" i="1"/>
  <c r="AB140" i="1"/>
  <c r="P233" i="1"/>
  <c r="P215" i="1"/>
  <c r="P111" i="1"/>
  <c r="P231" i="1"/>
  <c r="P88" i="1"/>
  <c r="P93" i="1"/>
  <c r="P95" i="1"/>
  <c r="P97" i="1"/>
  <c r="P132" i="1"/>
  <c r="P143" i="1"/>
  <c r="P217" i="1"/>
  <c r="P193" i="1"/>
  <c r="P121" i="1"/>
  <c r="P32" i="1"/>
  <c r="P123" i="1"/>
  <c r="P17" i="1"/>
  <c r="P82" i="1"/>
  <c r="P148" i="1"/>
  <c r="P131" i="1"/>
  <c r="P134" i="1"/>
  <c r="P87" i="1"/>
  <c r="P137" i="1"/>
  <c r="P145" i="1"/>
  <c r="P161" i="1"/>
  <c r="P20" i="1"/>
  <c r="P238" i="1"/>
  <c r="P212" i="1"/>
  <c r="P244" i="1"/>
  <c r="P191" i="1"/>
  <c r="P117" i="1"/>
  <c r="P204" i="1"/>
  <c r="P163" i="1"/>
  <c r="P25" i="1"/>
  <c r="P234" i="1"/>
  <c r="P22" i="1"/>
  <c r="P37" i="1"/>
  <c r="P83" i="1"/>
  <c r="P27" i="1"/>
  <c r="P62" i="1"/>
  <c r="P180" i="1"/>
  <c r="P220" i="1"/>
  <c r="P210" i="1"/>
  <c r="P112" i="1"/>
  <c r="P214" i="1"/>
  <c r="P55" i="1"/>
  <c r="P183" i="1"/>
  <c r="P216" i="1"/>
  <c r="P100" i="1"/>
  <c r="P189" i="1"/>
  <c r="P106" i="1"/>
  <c r="P80" i="1"/>
  <c r="P241" i="1"/>
  <c r="P63" i="1"/>
  <c r="P109" i="1"/>
  <c r="AB129" i="1"/>
  <c r="AB98" i="1"/>
  <c r="AB24" i="1"/>
  <c r="AB153" i="1"/>
  <c r="AB101" i="1"/>
  <c r="AB81" i="1"/>
  <c r="AB233" i="1"/>
  <c r="AB215" i="1"/>
  <c r="AB111" i="1"/>
  <c r="AB113" i="1"/>
  <c r="AB231" i="1"/>
  <c r="AB88" i="1"/>
  <c r="AB93" i="1"/>
  <c r="AB192" i="1"/>
  <c r="AB126" i="1"/>
  <c r="AB95" i="1"/>
  <c r="AB97" i="1"/>
  <c r="AB145" i="1"/>
  <c r="AB79" i="1"/>
  <c r="AB158" i="1"/>
  <c r="AB26" i="1"/>
  <c r="AB11" i="1"/>
  <c r="AB46" i="1"/>
  <c r="AB115" i="1"/>
  <c r="AB169" i="1"/>
  <c r="AB232" i="1"/>
  <c r="AB43" i="1"/>
  <c r="AB162" i="1"/>
  <c r="AB206" i="1"/>
  <c r="AB197" i="1"/>
  <c r="AB34" i="1"/>
  <c r="AB186" i="1"/>
  <c r="AB223" i="1"/>
  <c r="AB164" i="1"/>
  <c r="AB74" i="1"/>
  <c r="AB151" i="1"/>
  <c r="AB243" i="1"/>
  <c r="AB52" i="1"/>
  <c r="AB228" i="1"/>
  <c r="AB207" i="1"/>
  <c r="AB150" i="1"/>
  <c r="AB200" i="1"/>
  <c r="AB173" i="1"/>
  <c r="AB144" i="1"/>
  <c r="AB38" i="1"/>
  <c r="AB174" i="1"/>
  <c r="AB185" i="1"/>
  <c r="AB56" i="1"/>
  <c r="AB230" i="1"/>
  <c r="AB18" i="1"/>
  <c r="AB12" i="1"/>
  <c r="AB36" i="1"/>
  <c r="AB125" i="1"/>
  <c r="AB68" i="1"/>
  <c r="AB72" i="1"/>
  <c r="AB90" i="1"/>
  <c r="AB86" i="1"/>
  <c r="AB135" i="1"/>
  <c r="AB136" i="1"/>
  <c r="AB139" i="1"/>
  <c r="AB141" i="1"/>
  <c r="AB16" i="1"/>
  <c r="AB47" i="1"/>
  <c r="AB45" i="1"/>
  <c r="AB226" i="1"/>
  <c r="AB13" i="1"/>
  <c r="AB146" i="1"/>
  <c r="AB64" i="1"/>
  <c r="AB190" i="1"/>
  <c r="AB71" i="1"/>
  <c r="AB118" i="1"/>
  <c r="AB41" i="1"/>
  <c r="AB44" i="1"/>
  <c r="AB218" i="1"/>
  <c r="AB211" i="1"/>
  <c r="AB77" i="1"/>
  <c r="AB240" i="1"/>
  <c r="AB116" i="1"/>
  <c r="AB14" i="1"/>
  <c r="AB33" i="1"/>
  <c r="AB31" i="1"/>
  <c r="AB89" i="1"/>
  <c r="AB53" i="1"/>
  <c r="AB209" i="1"/>
  <c r="AB103" i="1"/>
  <c r="AB227" i="1"/>
  <c r="AB29" i="1"/>
  <c r="AB105" i="1"/>
  <c r="AB120" i="1"/>
  <c r="AB245" i="1"/>
  <c r="AB202" i="1"/>
  <c r="AB160" i="1"/>
  <c r="AB165" i="1"/>
  <c r="AB107" i="1"/>
  <c r="AB108" i="1"/>
  <c r="AB127" i="1"/>
  <c r="AB149" i="1"/>
  <c r="AB132" i="1"/>
  <c r="AB92" i="1"/>
  <c r="AB241" i="1"/>
  <c r="AB63" i="1"/>
  <c r="AB109" i="1"/>
  <c r="AB50" i="1"/>
  <c r="AB205" i="1"/>
  <c r="AB155" i="1"/>
  <c r="AB236" i="1"/>
  <c r="AB178" i="1"/>
  <c r="AB91" i="1"/>
  <c r="AB84" i="1"/>
  <c r="AB124" i="1"/>
  <c r="AB128" i="1"/>
  <c r="AB42" i="1"/>
  <c r="AB133" i="1"/>
  <c r="AB76" i="1"/>
  <c r="AB99" i="1"/>
  <c r="AB142" i="1"/>
  <c r="AB161" i="1"/>
  <c r="AB238" i="1"/>
  <c r="AB244" i="1"/>
  <c r="AB25" i="1"/>
  <c r="AB234" i="1"/>
  <c r="AB37" i="1"/>
  <c r="AB83" i="1"/>
  <c r="AB27" i="1"/>
  <c r="AB62" i="1"/>
  <c r="AB210" i="1"/>
  <c r="AB112" i="1"/>
  <c r="AB55" i="1"/>
  <c r="AB216" i="1"/>
  <c r="AB85" i="1"/>
  <c r="AB110" i="1"/>
  <c r="AB152" i="1"/>
  <c r="AB57" i="1"/>
  <c r="AB147" i="1"/>
  <c r="AB51" i="1"/>
  <c r="AB203" i="1"/>
  <c r="AB119" i="1"/>
  <c r="AB157" i="1"/>
  <c r="AB94" i="1"/>
  <c r="AB21" i="1"/>
  <c r="AB15" i="1"/>
  <c r="AB235" i="1"/>
  <c r="AB221" i="1"/>
  <c r="AB69" i="1"/>
  <c r="AB239" i="1"/>
  <c r="AB114" i="1"/>
  <c r="AB96" i="1"/>
  <c r="AB187" i="1"/>
  <c r="AB60" i="1"/>
  <c r="AB122" i="1"/>
  <c r="AB78" i="1"/>
  <c r="AB199" i="1"/>
  <c r="AB65" i="1"/>
  <c r="AB182" i="1"/>
  <c r="AB242" i="1"/>
  <c r="AB23" i="1"/>
  <c r="AB224" i="1"/>
  <c r="AB213" i="1"/>
  <c r="AB166" i="1"/>
  <c r="AB168" i="1"/>
  <c r="AB201" i="1"/>
  <c r="AB175" i="1"/>
  <c r="AB219" i="1"/>
  <c r="AB184" i="1"/>
  <c r="AB195" i="1"/>
  <c r="AB75" i="1"/>
  <c r="AB67" i="1"/>
  <c r="AB28" i="1"/>
  <c r="AB70" i="1"/>
  <c r="AB49" i="1"/>
  <c r="AB167" i="1"/>
  <c r="AB130" i="1"/>
  <c r="AB40" i="1"/>
  <c r="AB156" i="1"/>
  <c r="AB59" i="1"/>
  <c r="AB194" i="1"/>
  <c r="AB198" i="1"/>
  <c r="AB35" i="1"/>
  <c r="AB225" i="1"/>
  <c r="AB30" i="1"/>
  <c r="AB179" i="1"/>
  <c r="AB58" i="1"/>
  <c r="AB246" i="1"/>
  <c r="AB159" i="1"/>
  <c r="AB177" i="1"/>
  <c r="AB102" i="1"/>
  <c r="AB61" i="1"/>
  <c r="AB237" i="1"/>
  <c r="AB188" i="1"/>
  <c r="AB48" i="1"/>
  <c r="AB176" i="1"/>
  <c r="AB104" i="1"/>
  <c r="AB54" i="1"/>
  <c r="AB172" i="1"/>
  <c r="AB208" i="1"/>
  <c r="AB196" i="1"/>
  <c r="AB66" i="1"/>
  <c r="AB170" i="1"/>
  <c r="AB154" i="1"/>
  <c r="AB171" i="1"/>
  <c r="AB222" i="1"/>
  <c r="AB20" i="1"/>
  <c r="AB212" i="1"/>
  <c r="AB117" i="1"/>
  <c r="AB163" i="1"/>
  <c r="AB22" i="1"/>
  <c r="AB214" i="1"/>
  <c r="AB73" i="1"/>
  <c r="AB138" i="1"/>
  <c r="AB143" i="1"/>
  <c r="AB191" i="1"/>
  <c r="AB204" i="1"/>
  <c r="AB180" i="1"/>
  <c r="AB220" i="1"/>
  <c r="AB183" i="1"/>
  <c r="AB100" i="1"/>
  <c r="AB189" i="1"/>
  <c r="AB106" i="1"/>
  <c r="AB80" i="1"/>
  <c r="AB19" i="1"/>
  <c r="AB181" i="1"/>
  <c r="M250" i="1"/>
  <c r="L250" i="1"/>
  <c r="J250" i="1"/>
  <c r="K250" i="1"/>
  <c r="I250" i="1"/>
  <c r="L247" i="1"/>
  <c r="J247" i="1"/>
  <c r="M247" i="1"/>
  <c r="K247" i="1"/>
  <c r="AG247" i="1"/>
  <c r="S45" i="1"/>
  <c r="S26" i="1"/>
  <c r="S232" i="1"/>
  <c r="S34" i="1"/>
  <c r="S151" i="1"/>
  <c r="S150" i="1"/>
  <c r="S155" i="1"/>
  <c r="S124" i="1"/>
  <c r="S76" i="1"/>
  <c r="S79" i="1"/>
  <c r="S11" i="1"/>
  <c r="S43" i="1"/>
  <c r="S186" i="1"/>
  <c r="S243" i="1"/>
  <c r="S200" i="1"/>
  <c r="S236" i="1"/>
  <c r="S127" i="1"/>
  <c r="S99" i="1"/>
  <c r="S38" i="1"/>
  <c r="S226" i="1"/>
  <c r="S46" i="1"/>
  <c r="S162" i="1"/>
  <c r="S223" i="1"/>
  <c r="S52" i="1"/>
  <c r="S173" i="1"/>
  <c r="S178" i="1"/>
  <c r="S128" i="1"/>
  <c r="S149" i="1"/>
  <c r="S16" i="1"/>
  <c r="S13" i="1"/>
  <c r="S115" i="1"/>
  <c r="S206" i="1"/>
  <c r="S164" i="1"/>
  <c r="S228" i="1"/>
  <c r="S50" i="1"/>
  <c r="S91" i="1"/>
  <c r="S42" i="1"/>
  <c r="S142" i="1"/>
  <c r="S47" i="1"/>
  <c r="S158" i="1"/>
  <c r="S169" i="1"/>
  <c r="S197" i="1"/>
  <c r="S74" i="1"/>
  <c r="S207" i="1"/>
  <c r="S205" i="1"/>
  <c r="S84" i="1"/>
  <c r="S133" i="1"/>
  <c r="I247" i="1"/>
  <c r="R147" i="1"/>
  <c r="R51" i="1"/>
  <c r="R203" i="1"/>
  <c r="R119" i="1"/>
  <c r="R157" i="1"/>
  <c r="R94" i="1"/>
  <c r="R21" i="1"/>
  <c r="R15" i="1"/>
  <c r="R235" i="1"/>
  <c r="R221" i="1"/>
  <c r="R69" i="1"/>
  <c r="R239" i="1"/>
  <c r="R114" i="1"/>
  <c r="R96" i="1"/>
  <c r="R187" i="1"/>
  <c r="R60" i="1"/>
  <c r="R122" i="1"/>
  <c r="R78" i="1"/>
  <c r="R199" i="1"/>
  <c r="R65" i="1"/>
  <c r="R182" i="1"/>
  <c r="R242" i="1"/>
  <c r="R23" i="1"/>
  <c r="R224" i="1"/>
  <c r="R213" i="1"/>
  <c r="R166" i="1"/>
  <c r="R168" i="1"/>
  <c r="R201" i="1"/>
  <c r="R175" i="1"/>
  <c r="R219" i="1"/>
  <c r="R184" i="1"/>
  <c r="R195" i="1"/>
  <c r="R85" i="1"/>
  <c r="R110" i="1"/>
  <c r="R75" i="1"/>
  <c r="R152" i="1"/>
  <c r="R67" i="1"/>
  <c r="R28" i="1"/>
  <c r="R70" i="1"/>
  <c r="R49" i="1"/>
  <c r="R57" i="1"/>
  <c r="R129" i="1"/>
  <c r="R98" i="1"/>
  <c r="R24" i="1"/>
  <c r="R153" i="1"/>
  <c r="R101" i="1"/>
  <c r="R144" i="1"/>
  <c r="S146" i="1"/>
  <c r="S64" i="1"/>
  <c r="S190" i="1"/>
  <c r="S71" i="1"/>
  <c r="S118" i="1"/>
  <c r="S41" i="1"/>
  <c r="S44" i="1"/>
  <c r="S218" i="1"/>
  <c r="S211" i="1"/>
  <c r="S77" i="1"/>
  <c r="S240" i="1"/>
  <c r="S116" i="1"/>
  <c r="S14" i="1"/>
  <c r="S33" i="1"/>
  <c r="S19" i="1"/>
  <c r="S31" i="1"/>
  <c r="S89" i="1"/>
  <c r="S53" i="1"/>
  <c r="S209" i="1"/>
  <c r="S103" i="1"/>
  <c r="S227" i="1"/>
  <c r="S29" i="1"/>
  <c r="S105" i="1"/>
  <c r="S120" i="1"/>
  <c r="S245" i="1"/>
  <c r="S181" i="1"/>
  <c r="S202" i="1"/>
  <c r="S160" i="1"/>
  <c r="S165" i="1"/>
  <c r="S107" i="1"/>
  <c r="S108" i="1"/>
  <c r="S233" i="1"/>
  <c r="S215" i="1"/>
  <c r="S111" i="1"/>
  <c r="S113" i="1"/>
  <c r="S231" i="1"/>
  <c r="S88" i="1"/>
  <c r="S93" i="1"/>
  <c r="S192" i="1"/>
  <c r="S126" i="1"/>
  <c r="S95" i="1"/>
  <c r="S97" i="1"/>
  <c r="S132" i="1"/>
  <c r="S73" i="1"/>
  <c r="S92" i="1"/>
  <c r="S138" i="1"/>
  <c r="S143" i="1"/>
  <c r="S167" i="1"/>
  <c r="S130" i="1"/>
  <c r="S40" i="1"/>
  <c r="S156" i="1"/>
  <c r="S59" i="1"/>
  <c r="S194" i="1"/>
  <c r="S198" i="1"/>
  <c r="S35" i="1"/>
  <c r="S225" i="1"/>
  <c r="S30" i="1"/>
  <c r="S179" i="1"/>
  <c r="S58" i="1"/>
  <c r="S246" i="1"/>
  <c r="S159" i="1"/>
  <c r="S177" i="1"/>
  <c r="S102" i="1"/>
  <c r="S61" i="1"/>
  <c r="S237" i="1"/>
  <c r="S188" i="1"/>
  <c r="S48" i="1"/>
  <c r="S176" i="1"/>
  <c r="S104" i="1"/>
  <c r="S54" i="1"/>
  <c r="S172" i="1"/>
  <c r="S208" i="1"/>
  <c r="S196" i="1"/>
  <c r="S66" i="1"/>
  <c r="S170" i="1"/>
  <c r="S154" i="1"/>
  <c r="S171" i="1"/>
  <c r="S222" i="1"/>
  <c r="S174" i="1"/>
  <c r="S185" i="1"/>
  <c r="S56" i="1"/>
  <c r="S230" i="1"/>
  <c r="S18" i="1"/>
  <c r="S12" i="1"/>
  <c r="S36" i="1"/>
  <c r="S125" i="1"/>
  <c r="S68" i="1"/>
  <c r="S72" i="1"/>
  <c r="S90" i="1"/>
  <c r="S86" i="1"/>
  <c r="S135" i="1"/>
  <c r="S136" i="1"/>
  <c r="S139" i="1"/>
  <c r="S141" i="1"/>
  <c r="S20" i="1"/>
  <c r="S212" i="1"/>
  <c r="S191" i="1"/>
  <c r="S204" i="1"/>
  <c r="S25" i="1"/>
  <c r="S22" i="1"/>
  <c r="S37" i="1"/>
  <c r="S27" i="1"/>
  <c r="S220" i="1"/>
  <c r="S210" i="1"/>
  <c r="S214" i="1"/>
  <c r="S183" i="1"/>
  <c r="S106" i="1"/>
  <c r="S109" i="1"/>
  <c r="S229" i="1"/>
  <c r="S121" i="1"/>
  <c r="S123" i="1"/>
  <c r="S39" i="1"/>
  <c r="S82" i="1"/>
  <c r="S148" i="1"/>
  <c r="S134" i="1"/>
  <c r="S87" i="1"/>
  <c r="S137" i="1"/>
  <c r="S140" i="1"/>
  <c r="S81" i="1"/>
  <c r="S161" i="1"/>
  <c r="S238" i="1"/>
  <c r="S244" i="1"/>
  <c r="S117" i="1"/>
  <c r="S163" i="1"/>
  <c r="S234" i="1"/>
  <c r="S83" i="1"/>
  <c r="S180" i="1"/>
  <c r="S112" i="1"/>
  <c r="S55" i="1"/>
  <c r="S216" i="1"/>
  <c r="S100" i="1"/>
  <c r="S189" i="1"/>
  <c r="S80" i="1"/>
  <c r="S241" i="1"/>
  <c r="S63" i="1"/>
  <c r="S217" i="1"/>
  <c r="S193" i="1"/>
  <c r="S32" i="1"/>
  <c r="S17" i="1"/>
  <c r="S131" i="1"/>
  <c r="S145" i="1"/>
  <c r="R62" i="1"/>
  <c r="T147" i="1"/>
  <c r="T237" i="1"/>
  <c r="T71" i="1"/>
  <c r="T97" i="1"/>
  <c r="T138" i="1"/>
  <c r="T171" i="1"/>
  <c r="T233" i="1"/>
  <c r="T111" i="1"/>
  <c r="T148" i="1"/>
  <c r="T241" i="1"/>
  <c r="T114" i="1"/>
  <c r="T156" i="1"/>
  <c r="T210" i="1"/>
  <c r="T235" i="1"/>
  <c r="T22" i="1"/>
  <c r="T13" i="1"/>
  <c r="T70" i="1"/>
  <c r="T57" i="1"/>
  <c r="T157" i="1"/>
  <c r="T35" i="1"/>
  <c r="T244" i="1"/>
  <c r="T107" i="1"/>
  <c r="T43" i="1"/>
  <c r="T58" i="1"/>
  <c r="T53" i="1"/>
  <c r="T104" i="1"/>
  <c r="T172" i="1"/>
  <c r="T229" i="1"/>
  <c r="T41" i="1"/>
  <c r="T225" i="1"/>
  <c r="T30" i="1"/>
  <c r="T223" i="1"/>
  <c r="T212" i="1"/>
  <c r="T218" i="1"/>
  <c r="T163" i="1"/>
  <c r="T187" i="1"/>
  <c r="T122" i="1"/>
  <c r="T205" i="1"/>
  <c r="T137" i="1"/>
  <c r="T140" i="1"/>
  <c r="T191" i="1"/>
  <c r="T117" i="1"/>
  <c r="T246" i="1"/>
  <c r="T159" i="1"/>
  <c r="T242" i="1"/>
  <c r="T166" i="1"/>
  <c r="T47" i="1"/>
  <c r="T204" i="1"/>
  <c r="T116" i="1"/>
  <c r="T23" i="1"/>
  <c r="T213" i="1"/>
  <c r="T236" i="1"/>
  <c r="T38" i="1"/>
  <c r="T77" i="1"/>
  <c r="T203" i="1"/>
  <c r="T79" i="1"/>
  <c r="T25" i="1"/>
  <c r="T234" i="1"/>
  <c r="T37" i="1"/>
  <c r="T33" i="1"/>
  <c r="T188" i="1"/>
  <c r="T181" i="1"/>
  <c r="T196" i="1"/>
  <c r="T167" i="1"/>
  <c r="T130" i="1"/>
  <c r="T21" i="1"/>
  <c r="T26" i="1"/>
  <c r="T29" i="1"/>
  <c r="T222" i="1"/>
  <c r="T185" i="1"/>
  <c r="T56" i="1"/>
  <c r="T36" i="1"/>
  <c r="T139" i="1"/>
  <c r="T144" i="1"/>
  <c r="T81" i="1"/>
  <c r="T20" i="1"/>
  <c r="T161" i="1"/>
  <c r="T46" i="1"/>
  <c r="T180" i="1"/>
  <c r="T103" i="1"/>
  <c r="T123" i="1"/>
  <c r="T90" i="1"/>
  <c r="T238" i="1"/>
  <c r="T64" i="1"/>
  <c r="T59" i="1"/>
  <c r="T194" i="1"/>
  <c r="T69" i="1"/>
  <c r="T169" i="1"/>
  <c r="T206" i="1"/>
  <c r="T214" i="1"/>
  <c r="T100" i="1"/>
  <c r="T93" i="1"/>
  <c r="T135" i="1"/>
  <c r="T124" i="1"/>
  <c r="T109" i="1"/>
  <c r="T230" i="1"/>
  <c r="T12" i="1"/>
  <c r="T146" i="1"/>
  <c r="T118" i="1"/>
  <c r="T211" i="1"/>
  <c r="T14" i="1"/>
  <c r="T54" i="1"/>
  <c r="T228" i="1"/>
  <c r="T18" i="1"/>
  <c r="T99" i="1"/>
  <c r="T168" i="1"/>
  <c r="T175" i="1"/>
  <c r="T219" i="1"/>
  <c r="T121" i="1"/>
  <c r="T231" i="1"/>
  <c r="T125" i="1"/>
  <c r="T72" i="1"/>
  <c r="T133" i="1"/>
  <c r="T119" i="1"/>
  <c r="T15" i="1"/>
  <c r="T239" i="1"/>
  <c r="T102" i="1"/>
  <c r="T34" i="1"/>
  <c r="T120" i="1"/>
  <c r="T66" i="1"/>
  <c r="T173" i="1"/>
  <c r="T68" i="1"/>
  <c r="T78" i="1"/>
  <c r="T40" i="1"/>
  <c r="T198" i="1"/>
  <c r="T179" i="1"/>
  <c r="T170" i="1"/>
  <c r="T91" i="1"/>
  <c r="T98" i="1"/>
  <c r="T153" i="1"/>
  <c r="T142" i="1"/>
  <c r="T115" i="1"/>
  <c r="T190" i="1"/>
  <c r="T44" i="1"/>
  <c r="T240" i="1"/>
  <c r="T31" i="1"/>
  <c r="T199" i="1"/>
  <c r="T182" i="1"/>
  <c r="T183" i="1"/>
  <c r="T243" i="1"/>
  <c r="T184" i="1"/>
  <c r="T85" i="1"/>
  <c r="T39" i="1"/>
  <c r="T126" i="1"/>
  <c r="T86" i="1"/>
  <c r="T136" i="1"/>
  <c r="T45" i="1"/>
  <c r="T16" i="1"/>
  <c r="T226" i="1"/>
  <c r="T11" i="1"/>
  <c r="T27" i="1"/>
  <c r="T48" i="1"/>
  <c r="T74" i="1"/>
  <c r="T174" i="1"/>
  <c r="T128" i="1"/>
  <c r="T141" i="1"/>
  <c r="T158" i="1"/>
  <c r="T177" i="1"/>
  <c r="T160" i="1"/>
  <c r="T51" i="1"/>
  <c r="T94" i="1"/>
  <c r="T221" i="1"/>
  <c r="T96" i="1"/>
  <c r="T106" i="1"/>
  <c r="T150" i="1"/>
  <c r="T75" i="1"/>
  <c r="T67" i="1"/>
  <c r="T134" i="1"/>
  <c r="T73" i="1"/>
  <c r="T232" i="1"/>
  <c r="T197" i="1"/>
  <c r="T164" i="1"/>
  <c r="T52" i="1"/>
  <c r="T200" i="1"/>
  <c r="T155" i="1"/>
  <c r="T84" i="1"/>
  <c r="T42" i="1"/>
  <c r="T149" i="1"/>
  <c r="T110" i="1"/>
  <c r="T28" i="1"/>
  <c r="T129" i="1"/>
  <c r="T101" i="1"/>
  <c r="T227" i="1"/>
  <c r="T245" i="1"/>
  <c r="T165" i="1"/>
  <c r="T215" i="1"/>
  <c r="T88" i="1"/>
  <c r="T95" i="1"/>
  <c r="T92" i="1"/>
  <c r="T62" i="1"/>
  <c r="T112" i="1"/>
  <c r="T216" i="1"/>
  <c r="T80" i="1"/>
  <c r="T217" i="1"/>
  <c r="T32" i="1"/>
  <c r="T82" i="1"/>
  <c r="T87" i="1"/>
  <c r="T176" i="1"/>
  <c r="T162" i="1"/>
  <c r="T186" i="1"/>
  <c r="T151" i="1"/>
  <c r="T207" i="1"/>
  <c r="T50" i="1"/>
  <c r="T178" i="1"/>
  <c r="T127" i="1"/>
  <c r="T76" i="1"/>
  <c r="T61" i="1"/>
  <c r="T89" i="1"/>
  <c r="T60" i="1"/>
  <c r="T65" i="1"/>
  <c r="T224" i="1"/>
  <c r="T201" i="1"/>
  <c r="T195" i="1"/>
  <c r="T152" i="1"/>
  <c r="T49" i="1"/>
  <c r="T24" i="1"/>
  <c r="T208" i="1"/>
  <c r="T154" i="1"/>
  <c r="T19" i="1"/>
  <c r="T209" i="1"/>
  <c r="T105" i="1"/>
  <c r="T202" i="1"/>
  <c r="T108" i="1"/>
  <c r="T113" i="1"/>
  <c r="T192" i="1"/>
  <c r="T132" i="1"/>
  <c r="T143" i="1"/>
  <c r="T83" i="1"/>
  <c r="T220" i="1"/>
  <c r="T55" i="1"/>
  <c r="T189" i="1"/>
  <c r="T63" i="1"/>
  <c r="T193" i="1"/>
  <c r="T17" i="1"/>
  <c r="T131" i="1"/>
  <c r="T145" i="1"/>
  <c r="I256" i="1" l="1"/>
  <c r="I255" i="1"/>
  <c r="P247" i="1"/>
  <c r="Z253" i="1"/>
  <c r="AA253" i="1"/>
  <c r="Y253" i="1"/>
  <c r="AB251" i="1"/>
  <c r="AB252" i="1"/>
  <c r="AB250" i="1"/>
  <c r="X253" i="1"/>
  <c r="E5" i="1"/>
  <c r="H4" i="1"/>
  <c r="H5" i="1"/>
  <c r="E4" i="1"/>
  <c r="D6" i="1"/>
  <c r="I5" i="1"/>
  <c r="J5" i="1" s="1"/>
  <c r="G5" i="1"/>
  <c r="I4" i="1"/>
  <c r="G4" i="1"/>
  <c r="F6" i="1"/>
  <c r="C4" i="1"/>
  <c r="B6" i="1"/>
  <c r="H3" i="1"/>
  <c r="C5" i="1"/>
  <c r="E3" i="1"/>
  <c r="G3" i="1"/>
  <c r="Q251" i="1"/>
  <c r="I6" i="5"/>
  <c r="I5" i="5"/>
  <c r="S243" i="6"/>
  <c r="S240" i="6"/>
  <c r="R243" i="6"/>
  <c r="S244" i="6" s="1"/>
  <c r="R240" i="6"/>
  <c r="S242" i="6" s="1"/>
  <c r="H7" i="5" a="1"/>
  <c r="H7" i="5" s="1"/>
  <c r="J13" i="5" a="1"/>
  <c r="J13" i="5" s="1"/>
  <c r="J14" i="5" s="1" a="1"/>
  <c r="J14" i="5" s="1"/>
  <c r="J15" i="5" s="1" a="1"/>
  <c r="J15" i="5" s="1"/>
  <c r="J16" i="5" s="1" a="1"/>
  <c r="J16" i="5" s="1"/>
  <c r="J17" i="5" s="1" a="1"/>
  <c r="J17" i="5" s="1"/>
  <c r="J18" i="5" s="1" a="1"/>
  <c r="J18" i="5" s="1"/>
  <c r="J19" i="5" s="1" a="1"/>
  <c r="J19" i="5" s="1"/>
  <c r="J20" i="5" s="1" a="1"/>
  <c r="J20" i="5" s="1"/>
  <c r="J21" i="5" s="1" a="1"/>
  <c r="J21" i="5" s="1"/>
  <c r="J22" i="5" s="1" a="1"/>
  <c r="J22" i="5" s="1"/>
  <c r="J23" i="5" s="1" a="1"/>
  <c r="J23" i="5" s="1"/>
  <c r="J24" i="5" s="1" a="1"/>
  <c r="J24" i="5" s="1"/>
  <c r="J25" i="5" s="1" a="1"/>
  <c r="J25" i="5" s="1"/>
  <c r="J26" i="5" s="1" a="1"/>
  <c r="J26" i="5" s="1"/>
  <c r="J27" i="5" s="1" a="1"/>
  <c r="J27" i="5" s="1"/>
  <c r="J28" i="5" s="1" a="1"/>
  <c r="J28" i="5" s="1"/>
  <c r="J29" i="5" s="1" a="1"/>
  <c r="J29" i="5" s="1"/>
  <c r="J30" i="5" s="1" a="1"/>
  <c r="J30" i="5" s="1"/>
  <c r="J31" i="5" s="1" a="1"/>
  <c r="J31" i="5" s="1"/>
  <c r="J32" i="5" s="1" a="1"/>
  <c r="J32" i="5" s="1"/>
  <c r="J33" i="5" s="1" a="1"/>
  <c r="J33" i="5" s="1"/>
  <c r="J34" i="5" s="1" a="1"/>
  <c r="J34" i="5" s="1"/>
  <c r="J35" i="5" s="1" a="1"/>
  <c r="J35" i="5" s="1"/>
  <c r="J36" i="5" s="1" a="1"/>
  <c r="J36" i="5" s="1"/>
  <c r="J37" i="5" s="1" a="1"/>
  <c r="J37" i="5" s="1"/>
  <c r="J38" i="5" s="1" a="1"/>
  <c r="J38" i="5" s="1"/>
  <c r="J39" i="5" s="1" a="1"/>
  <c r="J39" i="5" s="1"/>
  <c r="J40" i="5" s="1" a="1"/>
  <c r="J40" i="5" s="1"/>
  <c r="J41" i="5" s="1" a="1"/>
  <c r="J41" i="5" s="1"/>
  <c r="J42" i="5" s="1" a="1"/>
  <c r="J42" i="5" s="1"/>
  <c r="J43" i="5" s="1" a="1"/>
  <c r="J43" i="5" s="1"/>
  <c r="J44" i="5" s="1" a="1"/>
  <c r="J44" i="5" s="1"/>
  <c r="J45" i="5" s="1" a="1"/>
  <c r="J45" i="5" s="1"/>
  <c r="J46" i="5" s="1" a="1"/>
  <c r="J46" i="5" s="1"/>
  <c r="J47" i="5" s="1" a="1"/>
  <c r="J47" i="5" s="1"/>
  <c r="J48" i="5" s="1" a="1"/>
  <c r="J48" i="5" s="1"/>
  <c r="J49" i="5" s="1" a="1"/>
  <c r="J49" i="5" s="1"/>
  <c r="J50" i="5" s="1" a="1"/>
  <c r="J50" i="5" s="1"/>
  <c r="J51" i="5" s="1" a="1"/>
  <c r="J51" i="5" s="1"/>
  <c r="J52" i="5" s="1" a="1"/>
  <c r="J52" i="5" s="1"/>
  <c r="J53" i="5" s="1" a="1"/>
  <c r="J53" i="5" s="1"/>
  <c r="J54" i="5" s="1" a="1"/>
  <c r="J54" i="5" s="1"/>
  <c r="J55" i="5" s="1" a="1"/>
  <c r="J55" i="5" s="1"/>
  <c r="J56" i="5" s="1" a="1"/>
  <c r="J56" i="5" s="1"/>
  <c r="J57" i="5" s="1" a="1"/>
  <c r="J57" i="5" s="1"/>
  <c r="J58" i="5" s="1" a="1"/>
  <c r="J58" i="5" s="1"/>
  <c r="J59" i="5" s="1" a="1"/>
  <c r="J59" i="5" s="1"/>
  <c r="J60" i="5" s="1" a="1"/>
  <c r="J60" i="5" s="1"/>
  <c r="J61" i="5" s="1" a="1"/>
  <c r="J61" i="5" s="1"/>
  <c r="J62" i="5" s="1" a="1"/>
  <c r="J62" i="5" s="1"/>
  <c r="J63" i="5" s="1" a="1"/>
  <c r="J63" i="5" s="1"/>
  <c r="J64" i="5" s="1" a="1"/>
  <c r="J64" i="5" s="1"/>
  <c r="J65" i="5" s="1" a="1"/>
  <c r="J65" i="5" s="1"/>
  <c r="J66" i="5" s="1" a="1"/>
  <c r="J66" i="5" s="1"/>
  <c r="J67" i="5" s="1" a="1"/>
  <c r="J67" i="5" s="1"/>
  <c r="J68" i="5" s="1" a="1"/>
  <c r="J68" i="5" s="1"/>
  <c r="J69" i="5" s="1" a="1"/>
  <c r="J69" i="5" s="1"/>
  <c r="J70" i="5" s="1" a="1"/>
  <c r="J70" i="5" s="1"/>
  <c r="J71" i="5" s="1" a="1"/>
  <c r="J71" i="5" s="1"/>
  <c r="J72" i="5" s="1" a="1"/>
  <c r="J72" i="5" s="1"/>
  <c r="J73" i="5" s="1" a="1"/>
  <c r="J73" i="5" s="1"/>
  <c r="J74" i="5" s="1" a="1"/>
  <c r="J74" i="5" s="1"/>
  <c r="J75" i="5" s="1" a="1"/>
  <c r="J75" i="5" s="1"/>
  <c r="J76" i="5" s="1" a="1"/>
  <c r="J76" i="5" s="1"/>
  <c r="J77" i="5" s="1" a="1"/>
  <c r="J77" i="5" s="1"/>
  <c r="J78" i="5" s="1" a="1"/>
  <c r="J78" i="5" s="1"/>
  <c r="J79" i="5" s="1" a="1"/>
  <c r="J79" i="5" s="1"/>
  <c r="J80" i="5" s="1" a="1"/>
  <c r="J80" i="5" s="1"/>
  <c r="J81" i="5" s="1" a="1"/>
  <c r="J81" i="5" s="1"/>
  <c r="J82" i="5" s="1" a="1"/>
  <c r="J82" i="5" s="1"/>
  <c r="J83" i="5" s="1" a="1"/>
  <c r="J83" i="5" s="1"/>
  <c r="J84" i="5" s="1" a="1"/>
  <c r="J84" i="5" s="1"/>
  <c r="J85" i="5" s="1" a="1"/>
  <c r="J85" i="5" s="1"/>
  <c r="J86" i="5" s="1" a="1"/>
  <c r="J86" i="5" s="1"/>
  <c r="J87" i="5" s="1" a="1"/>
  <c r="J87" i="5" s="1"/>
  <c r="J88" i="5" s="1" a="1"/>
  <c r="J88" i="5" s="1"/>
  <c r="J89" i="5" s="1" a="1"/>
  <c r="J89" i="5" s="1"/>
  <c r="J90" i="5" s="1" a="1"/>
  <c r="J90" i="5" s="1"/>
  <c r="J91" i="5" s="1" a="1"/>
  <c r="J91" i="5" s="1"/>
  <c r="J92" i="5" s="1" a="1"/>
  <c r="J92" i="5" s="1"/>
  <c r="J93" i="5" s="1" a="1"/>
  <c r="J93" i="5" s="1"/>
  <c r="J94" i="5" s="1" a="1"/>
  <c r="J94" i="5" s="1"/>
  <c r="J95" i="5" s="1" a="1"/>
  <c r="J95" i="5" s="1"/>
  <c r="J96" i="5" s="1" a="1"/>
  <c r="J96" i="5" s="1"/>
  <c r="J97" i="5" s="1" a="1"/>
  <c r="J97" i="5" s="1"/>
  <c r="J98" i="5" s="1" a="1"/>
  <c r="J98" i="5" s="1"/>
  <c r="J99" i="5" s="1" a="1"/>
  <c r="J99" i="5" s="1"/>
  <c r="J100" i="5" s="1" a="1"/>
  <c r="J100" i="5" s="1"/>
  <c r="J101" i="5" s="1" a="1"/>
  <c r="J101" i="5" s="1"/>
  <c r="J102" i="5" s="1" a="1"/>
  <c r="J102" i="5" s="1"/>
  <c r="J103" i="5" s="1" a="1"/>
  <c r="J103" i="5" s="1"/>
  <c r="J104" i="5" s="1" a="1"/>
  <c r="J104" i="5" s="1"/>
  <c r="J105" i="5" s="1" a="1"/>
  <c r="J105" i="5" s="1"/>
  <c r="J106" i="5" s="1" a="1"/>
  <c r="J106" i="5" s="1"/>
  <c r="J107" i="5" s="1" a="1"/>
  <c r="J107" i="5" s="1"/>
  <c r="J108" i="5" s="1" a="1"/>
  <c r="J108" i="5" s="1"/>
  <c r="J109" i="5" s="1" a="1"/>
  <c r="J109" i="5" s="1"/>
  <c r="J110" i="5" s="1" a="1"/>
  <c r="J110" i="5" s="1"/>
  <c r="J111" i="5" s="1" a="1"/>
  <c r="J111" i="5" s="1"/>
  <c r="J112" i="5" s="1" a="1"/>
  <c r="J112" i="5" s="1"/>
  <c r="J113" i="5" s="1" a="1"/>
  <c r="J113" i="5" s="1"/>
  <c r="J114" i="5" s="1" a="1"/>
  <c r="J114" i="5" s="1"/>
  <c r="J115" i="5" s="1" a="1"/>
  <c r="J115" i="5" s="1"/>
  <c r="J116" i="5" s="1" a="1"/>
  <c r="J116" i="5" s="1"/>
  <c r="J117" i="5" s="1" a="1"/>
  <c r="J117" i="5" s="1"/>
  <c r="J118" i="5" s="1" a="1"/>
  <c r="J118" i="5" s="1"/>
  <c r="J119" i="5" s="1" a="1"/>
  <c r="J119" i="5" s="1"/>
  <c r="J120" i="5" s="1" a="1"/>
  <c r="J120" i="5" s="1"/>
  <c r="J121" i="5" s="1" a="1"/>
  <c r="J121" i="5" s="1"/>
  <c r="J122" i="5" s="1" a="1"/>
  <c r="J122" i="5" s="1"/>
  <c r="J123" i="5" s="1" a="1"/>
  <c r="J123" i="5" s="1"/>
  <c r="J124" i="5" s="1" a="1"/>
  <c r="J124" i="5" s="1"/>
  <c r="J125" i="5" s="1" a="1"/>
  <c r="J125" i="5" s="1"/>
  <c r="J126" i="5" s="1" a="1"/>
  <c r="J126" i="5" s="1"/>
  <c r="J127" i="5" s="1" a="1"/>
  <c r="J127" i="5" s="1"/>
  <c r="J128" i="5" s="1" a="1"/>
  <c r="J128" i="5" s="1"/>
  <c r="J129" i="5" s="1" a="1"/>
  <c r="J129" i="5" s="1"/>
  <c r="J130" i="5" s="1" a="1"/>
  <c r="J130" i="5" s="1"/>
  <c r="J131" i="5" s="1" a="1"/>
  <c r="J131" i="5" s="1"/>
  <c r="J132" i="5" s="1" a="1"/>
  <c r="J132" i="5" s="1"/>
  <c r="J133" i="5" s="1" a="1"/>
  <c r="J133" i="5" s="1"/>
  <c r="J134" i="5" s="1" a="1"/>
  <c r="J134" i="5" s="1"/>
  <c r="J135" i="5" s="1" a="1"/>
  <c r="J135" i="5" s="1"/>
  <c r="J136" i="5" s="1" a="1"/>
  <c r="J136" i="5" s="1"/>
  <c r="J137" i="5" s="1" a="1"/>
  <c r="J137" i="5" s="1"/>
  <c r="J138" i="5" s="1" a="1"/>
  <c r="J138" i="5" s="1"/>
  <c r="J139" i="5" s="1" a="1"/>
  <c r="J139" i="5" s="1"/>
  <c r="J140" i="5" s="1" a="1"/>
  <c r="J140" i="5" s="1"/>
  <c r="J141" i="5" s="1" a="1"/>
  <c r="J141" i="5" s="1"/>
  <c r="J142" i="5" s="1" a="1"/>
  <c r="J142" i="5" s="1"/>
  <c r="J143" i="5" s="1" a="1"/>
  <c r="J143" i="5" s="1"/>
  <c r="J144" i="5" s="1" a="1"/>
  <c r="J144" i="5" s="1"/>
  <c r="J145" i="5" s="1" a="1"/>
  <c r="J145" i="5" s="1"/>
  <c r="J146" i="5" s="1" a="1"/>
  <c r="J146" i="5" s="1"/>
  <c r="J147" i="5" s="1" a="1"/>
  <c r="J147" i="5" s="1"/>
  <c r="J148" i="5" s="1" a="1"/>
  <c r="J148" i="5" s="1"/>
  <c r="J149" i="5" s="1" a="1"/>
  <c r="J149" i="5" s="1"/>
  <c r="J150" i="5" s="1" a="1"/>
  <c r="J150" i="5" s="1"/>
  <c r="J151" i="5" s="1" a="1"/>
  <c r="J151" i="5" s="1"/>
  <c r="J152" i="5" s="1" a="1"/>
  <c r="J152" i="5" s="1"/>
  <c r="J153" i="5" s="1" a="1"/>
  <c r="J153" i="5" s="1"/>
  <c r="J154" i="5" s="1" a="1"/>
  <c r="J154" i="5" s="1"/>
  <c r="J155" i="5" s="1" a="1"/>
  <c r="J155" i="5" s="1"/>
  <c r="J156" i="5" s="1" a="1"/>
  <c r="J156" i="5" s="1"/>
  <c r="J157" i="5" s="1" a="1"/>
  <c r="J157" i="5" s="1"/>
  <c r="R247" i="1"/>
  <c r="R250" i="1"/>
  <c r="S250" i="1"/>
  <c r="S247" i="1"/>
  <c r="G6" i="1" l="1"/>
  <c r="AB253" i="1"/>
  <c r="E6" i="1"/>
  <c r="C6" i="1"/>
  <c r="H6" i="1"/>
  <c r="J4" i="1"/>
  <c r="I6" i="1"/>
  <c r="H8" i="5" a="1"/>
  <c r="H8" i="5" s="1"/>
  <c r="G7" i="5" a="1"/>
  <c r="G7" i="5" s="1"/>
  <c r="G8" i="5" s="1" a="1"/>
  <c r="G8" i="5" s="1"/>
  <c r="G9" i="5" s="1" a="1"/>
  <c r="G9" i="5" s="1"/>
  <c r="G10" i="5" s="1" a="1"/>
  <c r="G10" i="5" s="1"/>
  <c r="G11" i="5" s="1" a="1"/>
  <c r="G11" i="5" s="1"/>
  <c r="G12" i="5" s="1" a="1"/>
  <c r="G12" i="5" s="1"/>
  <c r="G13" i="5" s="1" a="1"/>
  <c r="G13" i="5" s="1"/>
  <c r="G14" i="5" s="1" a="1"/>
  <c r="G14" i="5" s="1"/>
  <c r="G15" i="5" s="1" a="1"/>
  <c r="G15" i="5" s="1"/>
  <c r="G16" i="5" s="1" a="1"/>
  <c r="G16" i="5" s="1"/>
  <c r="G17" i="5" s="1" a="1"/>
  <c r="G17" i="5" s="1"/>
  <c r="G18" i="5" s="1" a="1"/>
  <c r="G18" i="5" s="1"/>
  <c r="G19" i="5" s="1" a="1"/>
  <c r="G19" i="5" s="1"/>
  <c r="G20" i="5" s="1" a="1"/>
  <c r="G20" i="5" s="1"/>
  <c r="G21" i="5" s="1" a="1"/>
  <c r="G21" i="5" s="1"/>
  <c r="G22" i="5" s="1" a="1"/>
  <c r="G22" i="5" s="1"/>
  <c r="G23" i="5" s="1" a="1"/>
  <c r="G23" i="5" s="1"/>
  <c r="G24" i="5" s="1" a="1"/>
  <c r="G24" i="5" s="1"/>
  <c r="G25" i="5" s="1" a="1"/>
  <c r="G25" i="5" s="1"/>
  <c r="G26" i="5" s="1" a="1"/>
  <c r="G26" i="5" s="1"/>
  <c r="G27" i="5" s="1" a="1"/>
  <c r="G27" i="5" s="1"/>
  <c r="G28" i="5" s="1" a="1"/>
  <c r="G28" i="5" s="1"/>
  <c r="G29" i="5" s="1" a="1"/>
  <c r="G29" i="5" s="1"/>
  <c r="G30" i="5" s="1" a="1"/>
  <c r="G30" i="5" s="1"/>
  <c r="G31" i="5" s="1" a="1"/>
  <c r="G31" i="5" s="1"/>
  <c r="G32" i="5" s="1" a="1"/>
  <c r="G32" i="5" s="1"/>
  <c r="G33" i="5" s="1" a="1"/>
  <c r="G33" i="5" s="1"/>
  <c r="G34" i="5" s="1" a="1"/>
  <c r="G34" i="5" s="1"/>
  <c r="G35" i="5" s="1" a="1"/>
  <c r="G35" i="5" s="1"/>
  <c r="G36" i="5" s="1" a="1"/>
  <c r="G36" i="5" s="1"/>
  <c r="G37" i="5" s="1" a="1"/>
  <c r="G37" i="5" s="1"/>
  <c r="G38" i="5" s="1" a="1"/>
  <c r="G38" i="5" s="1"/>
  <c r="G39" i="5" s="1" a="1"/>
  <c r="G39" i="5" s="1"/>
  <c r="G40" i="5" s="1" a="1"/>
  <c r="G40" i="5" s="1"/>
  <c r="G41" i="5" s="1" a="1"/>
  <c r="G41" i="5" s="1"/>
  <c r="G42" i="5" s="1" a="1"/>
  <c r="G42" i="5" s="1"/>
  <c r="G43" i="5" s="1" a="1"/>
  <c r="G43" i="5" s="1"/>
  <c r="G44" i="5" s="1" a="1"/>
  <c r="G44" i="5" s="1"/>
  <c r="G45" i="5" s="1" a="1"/>
  <c r="G45" i="5" s="1"/>
  <c r="G46" i="5" s="1" a="1"/>
  <c r="G46" i="5" s="1"/>
  <c r="G47" i="5" s="1" a="1"/>
  <c r="G47" i="5" s="1"/>
  <c r="G48" i="5" s="1" a="1"/>
  <c r="G48" i="5" s="1"/>
  <c r="G49" i="5" s="1" a="1"/>
  <c r="G49" i="5" s="1"/>
  <c r="G50" i="5" s="1" a="1"/>
  <c r="G50" i="5" s="1"/>
  <c r="G51" i="5" s="1" a="1"/>
  <c r="G51" i="5" s="1"/>
  <c r="G52" i="5" s="1" a="1"/>
  <c r="G52" i="5" s="1"/>
  <c r="G53" i="5" s="1" a="1"/>
  <c r="G53" i="5" s="1"/>
  <c r="G54" i="5" s="1" a="1"/>
  <c r="G54" i="5" s="1"/>
  <c r="G55" i="5" s="1" a="1"/>
  <c r="G55" i="5" s="1"/>
  <c r="G56" i="5" s="1" a="1"/>
  <c r="G56" i="5" s="1"/>
  <c r="G57" i="5" s="1" a="1"/>
  <c r="G57" i="5" s="1"/>
  <c r="G58" i="5" s="1" a="1"/>
  <c r="G58" i="5" s="1"/>
  <c r="G59" i="5" s="1" a="1"/>
  <c r="G59" i="5" s="1"/>
  <c r="G60" i="5" s="1" a="1"/>
  <c r="G60" i="5" s="1"/>
  <c r="G61" i="5" s="1" a="1"/>
  <c r="G61" i="5" s="1"/>
  <c r="G62" i="5" s="1" a="1"/>
  <c r="G62" i="5" s="1"/>
  <c r="G63" i="5" s="1" a="1"/>
  <c r="G63" i="5" s="1"/>
  <c r="G64" i="5" s="1" a="1"/>
  <c r="G64" i="5" s="1"/>
  <c r="G65" i="5" s="1" a="1"/>
  <c r="G65" i="5" s="1"/>
  <c r="G66" i="5" s="1" a="1"/>
  <c r="G66" i="5" s="1"/>
  <c r="G67" i="5" s="1" a="1"/>
  <c r="G67" i="5" s="1"/>
  <c r="G68" i="5" s="1" a="1"/>
  <c r="G68" i="5" s="1"/>
  <c r="G69" i="5" s="1" a="1"/>
  <c r="G69" i="5" s="1"/>
  <c r="G70" i="5" s="1" a="1"/>
  <c r="G70" i="5" s="1"/>
  <c r="G71" i="5" s="1" a="1"/>
  <c r="G71" i="5" s="1"/>
  <c r="G72" i="5" s="1" a="1"/>
  <c r="G72" i="5" s="1"/>
  <c r="G73" i="5" s="1" a="1"/>
  <c r="G73" i="5" s="1"/>
  <c r="G74" i="5" s="1" a="1"/>
  <c r="G74" i="5" s="1"/>
  <c r="G75" i="5" s="1" a="1"/>
  <c r="G75" i="5" s="1"/>
  <c r="G76" i="5" s="1" a="1"/>
  <c r="G76" i="5" s="1"/>
  <c r="G77" i="5" s="1" a="1"/>
  <c r="G77" i="5" s="1"/>
  <c r="G78" i="5" s="1" a="1"/>
  <c r="G78" i="5" s="1"/>
  <c r="G79" i="5" s="1" a="1"/>
  <c r="G79" i="5" s="1"/>
  <c r="G80" i="5" s="1" a="1"/>
  <c r="G80" i="5" s="1"/>
  <c r="G81" i="5" s="1" a="1"/>
  <c r="G81" i="5" s="1"/>
  <c r="G82" i="5" s="1" a="1"/>
  <c r="G82" i="5" s="1"/>
  <c r="G83" i="5" s="1" a="1"/>
  <c r="G83" i="5" s="1"/>
  <c r="G84" i="5" s="1" a="1"/>
  <c r="G84" i="5" s="1"/>
  <c r="G85" i="5" s="1" a="1"/>
  <c r="G85" i="5" s="1"/>
  <c r="G86" i="5" s="1" a="1"/>
  <c r="G86" i="5" s="1"/>
  <c r="G87" i="5" s="1" a="1"/>
  <c r="G87" i="5" s="1"/>
  <c r="G88" i="5" s="1" a="1"/>
  <c r="G88" i="5" s="1"/>
  <c r="G89" i="5" s="1" a="1"/>
  <c r="G89" i="5" s="1"/>
  <c r="G90" i="5" s="1" a="1"/>
  <c r="G90" i="5" s="1"/>
  <c r="G91" i="5" s="1" a="1"/>
  <c r="G91" i="5" s="1"/>
  <c r="G92" i="5" s="1" a="1"/>
  <c r="G92" i="5" s="1"/>
  <c r="G93" i="5" s="1" a="1"/>
  <c r="G93" i="5" s="1"/>
  <c r="G94" i="5" s="1" a="1"/>
  <c r="G94" i="5" s="1"/>
  <c r="G95" i="5" s="1" a="1"/>
  <c r="G95" i="5" s="1"/>
  <c r="G96" i="5" s="1" a="1"/>
  <c r="G96" i="5" s="1"/>
  <c r="G97" i="5" s="1" a="1"/>
  <c r="G97" i="5" s="1"/>
  <c r="G98" i="5" s="1" a="1"/>
  <c r="G98" i="5" s="1"/>
  <c r="G99" i="5" s="1" a="1"/>
  <c r="G99" i="5" s="1"/>
  <c r="G100" i="5" s="1" a="1"/>
  <c r="G100" i="5" s="1"/>
  <c r="G101" i="5" s="1" a="1"/>
  <c r="G101" i="5" s="1"/>
  <c r="G102" i="5" s="1" a="1"/>
  <c r="G102" i="5" s="1"/>
  <c r="G103" i="5" s="1" a="1"/>
  <c r="G103" i="5" s="1"/>
  <c r="G104" i="5" s="1" a="1"/>
  <c r="G104" i="5" s="1"/>
  <c r="G105" i="5" s="1" a="1"/>
  <c r="G105" i="5" s="1"/>
  <c r="G106" i="5" s="1" a="1"/>
  <c r="G106" i="5" s="1"/>
  <c r="G107" i="5" s="1" a="1"/>
  <c r="G107" i="5" s="1"/>
  <c r="G108" i="5" s="1" a="1"/>
  <c r="G108" i="5" s="1"/>
  <c r="G109" i="5" s="1" a="1"/>
  <c r="G109" i="5" s="1"/>
  <c r="G110" i="5" s="1" a="1"/>
  <c r="G110" i="5" s="1"/>
  <c r="G111" i="5" s="1" a="1"/>
  <c r="G111" i="5" s="1"/>
  <c r="G112" i="5" s="1" a="1"/>
  <c r="G112" i="5" s="1"/>
  <c r="G113" i="5" s="1" a="1"/>
  <c r="G113" i="5" s="1"/>
  <c r="G114" i="5" s="1" a="1"/>
  <c r="G114" i="5" s="1"/>
  <c r="G115" i="5" s="1" a="1"/>
  <c r="G115" i="5" s="1"/>
  <c r="G116" i="5" s="1" a="1"/>
  <c r="G116" i="5" s="1"/>
  <c r="G117" i="5" s="1" a="1"/>
  <c r="G117" i="5" s="1"/>
  <c r="G118" i="5" s="1" a="1"/>
  <c r="G118" i="5" s="1"/>
  <c r="G119" i="5" s="1" a="1"/>
  <c r="G119" i="5" s="1"/>
  <c r="G120" i="5" s="1" a="1"/>
  <c r="G120" i="5" s="1"/>
  <c r="G121" i="5" s="1" a="1"/>
  <c r="G121" i="5" s="1"/>
  <c r="G122" i="5" s="1" a="1"/>
  <c r="G122" i="5" s="1"/>
  <c r="G123" i="5" s="1" a="1"/>
  <c r="G123" i="5" s="1"/>
  <c r="G124" i="5" s="1" a="1"/>
  <c r="G124" i="5" s="1"/>
  <c r="G125" i="5" s="1" a="1"/>
  <c r="G125" i="5" s="1"/>
  <c r="G126" i="5" s="1" a="1"/>
  <c r="G126" i="5" s="1"/>
  <c r="G127" i="5" s="1" a="1"/>
  <c r="G127" i="5" s="1"/>
  <c r="G128" i="5" s="1" a="1"/>
  <c r="G128" i="5" s="1"/>
  <c r="G129" i="5" s="1" a="1"/>
  <c r="G129" i="5" s="1"/>
  <c r="G130" i="5" s="1" a="1"/>
  <c r="G130" i="5" s="1"/>
  <c r="G131" i="5" s="1" a="1"/>
  <c r="G131" i="5" s="1"/>
  <c r="G132" i="5" s="1" a="1"/>
  <c r="G132" i="5" s="1"/>
  <c r="G133" i="5" s="1" a="1"/>
  <c r="G133" i="5" s="1"/>
  <c r="G134" i="5" s="1" a="1"/>
  <c r="G134" i="5" s="1"/>
  <c r="G135" i="5" s="1" a="1"/>
  <c r="G135" i="5" s="1"/>
  <c r="G136" i="5" s="1" a="1"/>
  <c r="G136" i="5" s="1"/>
  <c r="G137" i="5" s="1" a="1"/>
  <c r="G137" i="5" s="1"/>
  <c r="G138" i="5" s="1" a="1"/>
  <c r="G138" i="5" s="1"/>
  <c r="G139" i="5" s="1" a="1"/>
  <c r="G139" i="5" s="1"/>
  <c r="G140" i="5" s="1" a="1"/>
  <c r="G140" i="5" s="1"/>
  <c r="G141" i="5" s="1" a="1"/>
  <c r="G141" i="5" s="1"/>
  <c r="G142" i="5" s="1" a="1"/>
  <c r="G142" i="5" s="1"/>
  <c r="G143" i="5" s="1" a="1"/>
  <c r="G143" i="5" s="1"/>
  <c r="G144" i="5" s="1" a="1"/>
  <c r="G144" i="5" s="1"/>
  <c r="G145" i="5" s="1" a="1"/>
  <c r="G145" i="5" s="1"/>
  <c r="G146" i="5" s="1" a="1"/>
  <c r="G146" i="5" s="1"/>
  <c r="G147" i="5" s="1" a="1"/>
  <c r="G147" i="5" s="1"/>
  <c r="G148" i="5" s="1" a="1"/>
  <c r="G148" i="5" s="1"/>
  <c r="G149" i="5" s="1" a="1"/>
  <c r="G149" i="5" s="1"/>
  <c r="G150" i="5" s="1" a="1"/>
  <c r="G150" i="5" s="1"/>
  <c r="G151" i="5" s="1" a="1"/>
  <c r="G151" i="5" s="1"/>
  <c r="G152" i="5" s="1" a="1"/>
  <c r="G152" i="5" s="1"/>
  <c r="G153" i="5" s="1" a="1"/>
  <c r="G153" i="5" s="1"/>
  <c r="G154" i="5" s="1" a="1"/>
  <c r="G154" i="5" s="1"/>
  <c r="G155" i="5" s="1" a="1"/>
  <c r="G155" i="5" s="1"/>
  <c r="G156" i="5" s="1" a="1"/>
  <c r="G156" i="5" s="1"/>
  <c r="G157" i="5" s="1" a="1"/>
  <c r="G157" i="5" s="1"/>
  <c r="S251" i="1"/>
  <c r="S249" i="1"/>
  <c r="I7" i="5" l="1"/>
  <c r="H9" i="5" a="1"/>
  <c r="H9" i="5" s="1"/>
  <c r="I8" i="5"/>
  <c r="H10" i="5" l="1" a="1"/>
  <c r="H10" i="5" s="1"/>
  <c r="I9" i="5"/>
  <c r="H11" i="5" l="1" a="1"/>
  <c r="H11" i="5" s="1"/>
  <c r="I10" i="5"/>
  <c r="H12" i="5" l="1" a="1"/>
  <c r="H12" i="5" s="1"/>
  <c r="I11" i="5"/>
  <c r="H13" i="5" l="1" a="1"/>
  <c r="H13" i="5" s="1"/>
  <c r="I12" i="5"/>
  <c r="H14" i="5" l="1" a="1"/>
  <c r="H14" i="5" s="1"/>
  <c r="I13" i="5"/>
  <c r="H15" i="5" l="1" a="1"/>
  <c r="H15" i="5" s="1"/>
  <c r="I14" i="5"/>
  <c r="H16" i="5" l="1" a="1"/>
  <c r="H16" i="5" s="1"/>
  <c r="I15" i="5"/>
  <c r="H17" i="5" l="1" a="1"/>
  <c r="H17" i="5" s="1"/>
  <c r="I16" i="5"/>
  <c r="H18" i="5" l="1" a="1"/>
  <c r="H18" i="5" s="1"/>
  <c r="I17" i="5"/>
  <c r="H19" i="5" l="1" a="1"/>
  <c r="H19" i="5" s="1"/>
  <c r="I18" i="5"/>
  <c r="H20" i="5" l="1" a="1"/>
  <c r="H20" i="5" s="1"/>
  <c r="I19" i="5"/>
  <c r="H21" i="5" l="1" a="1"/>
  <c r="H21" i="5" s="1"/>
  <c r="I20" i="5"/>
  <c r="H22" i="5" l="1" a="1"/>
  <c r="H22" i="5" s="1"/>
  <c r="I21" i="5"/>
  <c r="H23" i="5" l="1" a="1"/>
  <c r="H23" i="5" s="1"/>
  <c r="I22" i="5"/>
  <c r="H24" i="5" l="1" a="1"/>
  <c r="H24" i="5" s="1"/>
  <c r="I23" i="5"/>
  <c r="H25" i="5" l="1" a="1"/>
  <c r="H25" i="5" s="1"/>
  <c r="I24" i="5"/>
  <c r="H26" i="5" l="1" a="1"/>
  <c r="H26" i="5" s="1"/>
  <c r="I25" i="5"/>
  <c r="H27" i="5" l="1" a="1"/>
  <c r="H27" i="5" s="1"/>
  <c r="I26" i="5"/>
  <c r="H28" i="5" l="1" a="1"/>
  <c r="H28" i="5" s="1"/>
  <c r="I27" i="5"/>
  <c r="H29" i="5" l="1" a="1"/>
  <c r="H29" i="5" s="1"/>
  <c r="I28" i="5"/>
  <c r="H30" i="5" l="1" a="1"/>
  <c r="H30" i="5" s="1"/>
  <c r="I29" i="5"/>
  <c r="H31" i="5" l="1" a="1"/>
  <c r="H31" i="5" s="1"/>
  <c r="I30" i="5"/>
  <c r="H32" i="5" l="1" a="1"/>
  <c r="H32" i="5" s="1"/>
  <c r="I31" i="5"/>
  <c r="H33" i="5" l="1" a="1"/>
  <c r="H33" i="5" s="1"/>
  <c r="I32" i="5"/>
  <c r="H34" i="5" l="1" a="1"/>
  <c r="H34" i="5" s="1"/>
  <c r="I33" i="5"/>
  <c r="H35" i="5" l="1" a="1"/>
  <c r="H35" i="5" s="1"/>
  <c r="I34" i="5"/>
  <c r="H36" i="5" l="1" a="1"/>
  <c r="H36" i="5" s="1"/>
  <c r="I35" i="5"/>
  <c r="H37" i="5" l="1" a="1"/>
  <c r="H37" i="5" s="1"/>
  <c r="I36" i="5"/>
  <c r="H38" i="5" l="1" a="1"/>
  <c r="H38" i="5" s="1"/>
  <c r="I37" i="5"/>
  <c r="H39" i="5" l="1" a="1"/>
  <c r="H39" i="5" s="1"/>
  <c r="I38" i="5"/>
  <c r="H40" i="5" l="1" a="1"/>
  <c r="H40" i="5" s="1"/>
  <c r="I39" i="5"/>
  <c r="H41" i="5" l="1" a="1"/>
  <c r="H41" i="5" s="1"/>
  <c r="I40" i="5"/>
  <c r="H42" i="5" l="1" a="1"/>
  <c r="H42" i="5" s="1"/>
  <c r="I41" i="5"/>
  <c r="H43" i="5" l="1" a="1"/>
  <c r="H43" i="5" s="1"/>
  <c r="H44" i="5" s="1" a="1"/>
  <c r="H44" i="5" s="1"/>
  <c r="H45" i="5" s="1" a="1"/>
  <c r="H45" i="5" s="1"/>
  <c r="H46" i="5" s="1" a="1"/>
  <c r="H46" i="5" s="1"/>
  <c r="H47" i="5" s="1" a="1"/>
  <c r="H47" i="5" s="1"/>
  <c r="H48" i="5" s="1" a="1"/>
  <c r="H48" i="5" s="1"/>
  <c r="H49" i="5" s="1" a="1"/>
  <c r="H49" i="5" s="1"/>
  <c r="H50" i="5" s="1" a="1"/>
  <c r="H50" i="5" s="1"/>
  <c r="H51" i="5" s="1" a="1"/>
  <c r="H51" i="5" s="1"/>
  <c r="H52" i="5" s="1" a="1"/>
  <c r="H52" i="5" s="1"/>
  <c r="H53" i="5" s="1" a="1"/>
  <c r="H53" i="5" s="1"/>
  <c r="H54" i="5" s="1" a="1"/>
  <c r="H54" i="5" s="1"/>
  <c r="H55" i="5" s="1" a="1"/>
  <c r="H55" i="5" s="1"/>
  <c r="H56" i="5" s="1" a="1"/>
  <c r="H56" i="5" s="1"/>
  <c r="H57" i="5" s="1" a="1"/>
  <c r="H57" i="5" s="1"/>
  <c r="H58" i="5" s="1" a="1"/>
  <c r="H58" i="5" s="1"/>
  <c r="H59" i="5" s="1" a="1"/>
  <c r="H59" i="5" s="1"/>
  <c r="H60" i="5" s="1" a="1"/>
  <c r="H60" i="5" s="1"/>
  <c r="H61" i="5" s="1" a="1"/>
  <c r="H61" i="5" s="1"/>
  <c r="H62" i="5" s="1" a="1"/>
  <c r="H62" i="5" s="1"/>
  <c r="H63" i="5" s="1" a="1"/>
  <c r="H63" i="5" s="1"/>
  <c r="H64" i="5" s="1" a="1"/>
  <c r="H64" i="5" s="1"/>
  <c r="H65" i="5" s="1" a="1"/>
  <c r="H65" i="5" s="1"/>
  <c r="H66" i="5" s="1" a="1"/>
  <c r="H66" i="5" s="1"/>
  <c r="H67" i="5" s="1" a="1"/>
  <c r="H67" i="5" s="1"/>
  <c r="H68" i="5" s="1" a="1"/>
  <c r="H68" i="5" s="1"/>
  <c r="H69" i="5" s="1" a="1"/>
  <c r="H69" i="5" s="1"/>
  <c r="H70" i="5" s="1" a="1"/>
  <c r="H70" i="5" s="1"/>
  <c r="H71" i="5" s="1" a="1"/>
  <c r="H71" i="5" s="1"/>
  <c r="H72" i="5" s="1" a="1"/>
  <c r="H72" i="5" s="1"/>
  <c r="H73" i="5" s="1" a="1"/>
  <c r="H73" i="5" s="1"/>
  <c r="H74" i="5" s="1" a="1"/>
  <c r="H74" i="5" s="1"/>
  <c r="H75" i="5" s="1" a="1"/>
  <c r="H75" i="5" s="1"/>
  <c r="H76" i="5" s="1" a="1"/>
  <c r="H76" i="5" s="1"/>
  <c r="H77" i="5" s="1" a="1"/>
  <c r="H77" i="5" s="1"/>
  <c r="H78" i="5" s="1" a="1"/>
  <c r="H78" i="5" s="1"/>
  <c r="H79" i="5" s="1" a="1"/>
  <c r="H79" i="5" s="1"/>
  <c r="H80" i="5" s="1" a="1"/>
  <c r="H80" i="5" s="1"/>
  <c r="H81" i="5" s="1" a="1"/>
  <c r="H81" i="5" s="1"/>
  <c r="H82" i="5" s="1" a="1"/>
  <c r="H82" i="5" s="1"/>
  <c r="H83" i="5" s="1" a="1"/>
  <c r="H83" i="5" s="1"/>
  <c r="H84" i="5" s="1" a="1"/>
  <c r="H84" i="5" s="1"/>
  <c r="H85" i="5" s="1" a="1"/>
  <c r="H85" i="5" s="1"/>
  <c r="H86" i="5" s="1" a="1"/>
  <c r="H86" i="5" s="1"/>
  <c r="H87" i="5" s="1" a="1"/>
  <c r="H87" i="5" s="1"/>
  <c r="H88" i="5" s="1" a="1"/>
  <c r="H88" i="5" s="1"/>
  <c r="H89" i="5" s="1" a="1"/>
  <c r="H89" i="5" s="1"/>
  <c r="H90" i="5" s="1" a="1"/>
  <c r="H90" i="5" s="1"/>
  <c r="H91" i="5" s="1" a="1"/>
  <c r="H91" i="5" s="1"/>
  <c r="H92" i="5" s="1" a="1"/>
  <c r="H92" i="5" s="1"/>
  <c r="H93" i="5" s="1" a="1"/>
  <c r="H93" i="5" s="1"/>
  <c r="H94" i="5" s="1" a="1"/>
  <c r="H94" i="5" s="1"/>
  <c r="H95" i="5" s="1" a="1"/>
  <c r="H95" i="5" s="1"/>
  <c r="H96" i="5" s="1" a="1"/>
  <c r="H96" i="5" s="1"/>
  <c r="H97" i="5" s="1" a="1"/>
  <c r="H97" i="5" s="1"/>
  <c r="H98" i="5" s="1" a="1"/>
  <c r="H98" i="5" s="1"/>
  <c r="H99" i="5" s="1" a="1"/>
  <c r="H99" i="5" s="1"/>
  <c r="H100" i="5" s="1" a="1"/>
  <c r="H100" i="5" s="1"/>
  <c r="H101" i="5" s="1" a="1"/>
  <c r="H101" i="5" s="1"/>
  <c r="H102" i="5" s="1" a="1"/>
  <c r="H102" i="5" s="1"/>
  <c r="H103" i="5" s="1" a="1"/>
  <c r="H103" i="5" s="1"/>
  <c r="H104" i="5" s="1" a="1"/>
  <c r="H104" i="5" s="1"/>
  <c r="H105" i="5" s="1" a="1"/>
  <c r="H105" i="5" s="1"/>
  <c r="H106" i="5" s="1" a="1"/>
  <c r="H106" i="5" s="1"/>
  <c r="H107" i="5" s="1" a="1"/>
  <c r="H107" i="5" s="1"/>
  <c r="H108" i="5" s="1" a="1"/>
  <c r="H108" i="5" s="1"/>
  <c r="H109" i="5" s="1" a="1"/>
  <c r="H109" i="5" s="1"/>
  <c r="H110" i="5" s="1" a="1"/>
  <c r="H110" i="5" s="1"/>
  <c r="H111" i="5" s="1" a="1"/>
  <c r="H111" i="5" s="1"/>
  <c r="H112" i="5" s="1" a="1"/>
  <c r="H112" i="5" s="1"/>
  <c r="H113" i="5" s="1" a="1"/>
  <c r="H113" i="5" s="1"/>
  <c r="H114" i="5" s="1" a="1"/>
  <c r="H114" i="5" s="1"/>
  <c r="H115" i="5" s="1" a="1"/>
  <c r="H115" i="5" s="1"/>
  <c r="H116" i="5" s="1" a="1"/>
  <c r="H116" i="5" s="1"/>
  <c r="H117" i="5" s="1" a="1"/>
  <c r="H117" i="5" s="1"/>
  <c r="H118" i="5" s="1" a="1"/>
  <c r="H118" i="5" s="1"/>
  <c r="H119" i="5" s="1" a="1"/>
  <c r="H119" i="5" s="1"/>
  <c r="H120" i="5" s="1" a="1"/>
  <c r="H120" i="5" s="1"/>
  <c r="H121" i="5" s="1" a="1"/>
  <c r="H121" i="5" s="1"/>
  <c r="H122" i="5" s="1" a="1"/>
  <c r="H122" i="5" s="1"/>
  <c r="H123" i="5" s="1" a="1"/>
  <c r="H123" i="5" s="1"/>
  <c r="H124" i="5" s="1" a="1"/>
  <c r="H124" i="5" s="1"/>
  <c r="H125" i="5" s="1" a="1"/>
  <c r="H125" i="5" s="1"/>
  <c r="H126" i="5" s="1" a="1"/>
  <c r="H126" i="5" s="1"/>
  <c r="H127" i="5" s="1" a="1"/>
  <c r="H127" i="5" s="1"/>
  <c r="H128" i="5" s="1" a="1"/>
  <c r="H128" i="5" s="1"/>
  <c r="H129" i="5" s="1" a="1"/>
  <c r="H129" i="5" s="1"/>
  <c r="H130" i="5" s="1" a="1"/>
  <c r="H130" i="5" s="1"/>
  <c r="H131" i="5" s="1" a="1"/>
  <c r="H131" i="5" s="1"/>
  <c r="H132" i="5" s="1" a="1"/>
  <c r="H132" i="5" s="1"/>
  <c r="H133" i="5" s="1" a="1"/>
  <c r="H133" i="5" s="1"/>
  <c r="H134" i="5" s="1" a="1"/>
  <c r="H134" i="5" s="1"/>
  <c r="H135" i="5" s="1" a="1"/>
  <c r="H135" i="5" s="1"/>
  <c r="H136" i="5" s="1" a="1"/>
  <c r="H136" i="5" s="1"/>
  <c r="H137" i="5" s="1" a="1"/>
  <c r="H137" i="5" s="1"/>
  <c r="H138" i="5" s="1" a="1"/>
  <c r="H138" i="5" s="1"/>
  <c r="H139" i="5" s="1" a="1"/>
  <c r="H139" i="5" s="1"/>
  <c r="H140" i="5" s="1" a="1"/>
  <c r="H140" i="5" s="1"/>
  <c r="H141" i="5" s="1" a="1"/>
  <c r="H141" i="5" s="1"/>
  <c r="H142" i="5" s="1" a="1"/>
  <c r="H142" i="5" s="1"/>
  <c r="H143" i="5" s="1" a="1"/>
  <c r="H143" i="5" s="1"/>
  <c r="H144" i="5" s="1" a="1"/>
  <c r="H144" i="5" s="1"/>
  <c r="H145" i="5" s="1" a="1"/>
  <c r="H145" i="5" s="1"/>
  <c r="H146" i="5" s="1" a="1"/>
  <c r="H146" i="5" s="1"/>
  <c r="H147" i="5" s="1" a="1"/>
  <c r="H147" i="5" s="1"/>
  <c r="H148" i="5" s="1" a="1"/>
  <c r="H148" i="5" s="1"/>
  <c r="H149" i="5" s="1" a="1"/>
  <c r="H149" i="5" s="1"/>
  <c r="H150" i="5" s="1" a="1"/>
  <c r="H150" i="5" s="1"/>
  <c r="H151" i="5" s="1" a="1"/>
  <c r="H151" i="5" s="1"/>
  <c r="H152" i="5" s="1" a="1"/>
  <c r="H152" i="5" s="1"/>
  <c r="H153" i="5" s="1" a="1"/>
  <c r="H153" i="5" s="1"/>
  <c r="H154" i="5" s="1" a="1"/>
  <c r="H154" i="5" s="1"/>
  <c r="H155" i="5" s="1" a="1"/>
  <c r="H155" i="5" s="1"/>
  <c r="H156" i="5" s="1" a="1"/>
  <c r="H156" i="5" s="1"/>
  <c r="H157" i="5" s="1" a="1"/>
  <c r="H157" i="5" s="1"/>
  <c r="I4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<sst xmlns="http://schemas.openxmlformats.org/spreadsheetml/2006/main" count="1608" uniqueCount="454">
  <si>
    <t>Afghanistan</t>
  </si>
  <si>
    <t>Algeria</t>
  </si>
  <si>
    <t>American Samoa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</si>
  <si>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</si>
  <si>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</si>
  <si>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</si>
  <si>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</si>
  <si>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</si>
  <si>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</si>
  <si>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</si>
  <si>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</si>
  <si>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</si>
  <si>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</si>
  <si>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</si>
  <si>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</si>
  <si>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</si>
  <si>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</si>
  <si>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</si>
  <si>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</si>
  <si>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</si>
  <si>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</si>
  <si>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</si>
  <si>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</si>
  <si>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</si>
  <si>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</si>
  <si>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</si>
  <si>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</si>
  <si>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</si>
  <si>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</si>
  <si>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</si>
  <si>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</si>
  <si>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</si>
  <si>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</si>
  <si>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</si>
  <si>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</si>
  <si>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</si>
  <si>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</si>
  <si>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</si>
  <si>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</si>
  <si>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</si>
  <si>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</si>
  <si>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</si>
  <si>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</si>
  <si>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</si>
  <si>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</si>
  <si>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</si>
  <si>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</si>
  <si>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</si>
  <si>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</si>
  <si>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</si>
  <si>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</si>
  <si>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</si>
  <si>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</si>
  <si>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</si>
  <si>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</si>
  <si>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</si>
  <si>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</si>
  <si>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</si>
  <si>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</si>
  <si>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</si>
  <si>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</si>
  <si>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</si>
  <si>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</si>
  <si>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</si>
  <si>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</si>
  <si>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</si>
  <si>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</si>
  <si>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</si>
  <si>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</si>
  <si>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</si>
  <si>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</si>
  <si>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</si>
  <si>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</si>
  <si>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</si>
  <si>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</si>
  <si>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</si>
  <si>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</si>
  <si>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</si>
  <si>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</si>
  <si>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</si>
  <si>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</si>
  <si>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</si>
  <si>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</si>
  <si>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</si>
  <si>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</si>
  <si>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</si>
  <si>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</si>
  <si>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</si>
  <si>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 People's Democratic Republic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</si>
  <si>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</si>
  <si>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</si>
  <si>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</si>
  <si>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</si>
  <si>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</si>
  <si>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</si>
  <si>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</si>
  <si>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</si>
  <si>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</si>
  <si>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</si>
  <si>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</si>
  <si>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</si>
  <si>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</si>
  <si>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</si>
  <si>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</si>
  <si>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</si>
  <si>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</si>
  <si>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</si>
  <si>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</si>
  <si>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</si>
  <si>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</si>
  <si>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</si>
  <si>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</si>
  <si>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</si>
  <si>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</si>
  <si>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</si>
  <si>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</si>
  <si>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</si>
  <si>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</si>
  <si>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</si>
  <si>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</si>
  <si>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</si>
  <si>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</si>
  <si>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</si>
  <si>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</si>
  <si>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</si>
  <si>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</si>
  <si>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</si>
  <si>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</si>
  <si>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</si>
  <si>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</si>
  <si>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</si>
  <si>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</si>
  <si>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</si>
  <si>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</si>
  <si>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</si>
  <si>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Republic of Korea</t>
  </si>
  <si>
    <t>Republic of Moldova</t>
  </si>
  <si>
    <t>Romania</t>
  </si>
  <si>
    <t>Russian Federation</t>
  </si>
  <si>
    <t>Réunion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</si>
  <si>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</si>
  <si>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</si>
  <si>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</si>
  <si>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</si>
  <si>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</si>
  <si>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</si>
  <si>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</si>
  <si>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</si>
  <si>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</si>
  <si>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</si>
  <si>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</si>
  <si>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</si>
  <si>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</si>
  <si>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</si>
  <si>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</si>
  <si>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</si>
  <si>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</si>
  <si>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</si>
  <si>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</si>
  <si>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</si>
  <si>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</si>
  <si>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</si>
  <si>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</si>
  <si>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</si>
  <si>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</si>
  <si>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</si>
  <si>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</si>
  <si>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</si>
  <si>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</si>
  <si>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</si>
  <si>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</si>
  <si>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</si>
  <si>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</si>
  <si>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</si>
  <si>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Kingdom of Great Britain and Northern Ireland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</si>
  <si>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</si>
  <si>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</si>
  <si>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</si>
  <si>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</si>
  <si>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</si>
  <si>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</si>
  <si>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</si>
  <si>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</si>
  <si>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</si>
  <si>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</si>
  <si>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</si>
  <si>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Forest Area, 1990</t>
  </si>
  <si>
    <t>Forest Area, 2010</t>
  </si>
  <si>
    <t>Forest Area, 2000</t>
  </si>
  <si>
    <t>Forest Area, 2015</t>
  </si>
  <si>
    <t>Forest Area, 2020</t>
  </si>
  <si>
    <t>1000 ha</t>
  </si>
  <si>
    <t>1000 ha/year</t>
  </si>
  <si>
    <t>%</t>
  </si>
  <si>
    <t>CountryID</t>
  </si>
  <si>
    <t>Unit</t>
  </si>
  <si>
    <t>Total Land Area, 2020</t>
  </si>
  <si>
    <t>Libya</t>
  </si>
  <si>
    <t>Western Sahara</t>
  </si>
  <si>
    <t>Rwanda</t>
  </si>
  <si>
    <t>Côte d’Ivoire</t>
  </si>
  <si>
    <t>Guinea-Bissau</t>
  </si>
  <si>
    <t>Saint Helena</t>
  </si>
  <si>
    <t>Anguilla</t>
  </si>
  <si>
    <t>Antigua and Barbuda</t>
  </si>
  <si>
    <t>Aruba</t>
  </si>
  <si>
    <t>Bonaire, Sint Eustatius and Saba</t>
  </si>
  <si>
    <t>British Virgin Islands</t>
  </si>
  <si>
    <t>Cayman Islands</t>
  </si>
  <si>
    <t>Curaçao</t>
  </si>
  <si>
    <t>Montserrat</t>
  </si>
  <si>
    <t>Saint Barthélemy</t>
  </si>
  <si>
    <t>Saint Kitts and Nevis</t>
  </si>
  <si>
    <t>Saint Martin (French Part)</t>
  </si>
  <si>
    <t>Sint Maarten (Dutch part)</t>
  </si>
  <si>
    <t>Turks and Caicos Islands</t>
  </si>
  <si>
    <t>Falkland Islands (Malvinas)</t>
  </si>
  <si>
    <t>French Guiana</t>
  </si>
  <si>
    <t>Bermuda</t>
  </si>
  <si>
    <t>Saint Pierre and Miquelon</t>
  </si>
  <si>
    <t>Turkmenistan</t>
  </si>
  <si>
    <t>Democratic People's Republic of Korea</t>
  </si>
  <si>
    <t>Bahrain</t>
  </si>
  <si>
    <t>Kuwait</t>
  </si>
  <si>
    <t>Qatar</t>
  </si>
  <si>
    <t>Saudi Arabia</t>
  </si>
  <si>
    <t>State of Palestine</t>
  </si>
  <si>
    <t>United Arab Emirates</t>
  </si>
  <si>
    <t>Guernsey</t>
  </si>
  <si>
    <t>Jersey</t>
  </si>
  <si>
    <t>Faeroe Islands</t>
  </si>
  <si>
    <t>Isle of Man</t>
  </si>
  <si>
    <t>Albania</t>
  </si>
  <si>
    <t>Bosnia and Herzegovina</t>
  </si>
  <si>
    <t>Gibraltar</t>
  </si>
  <si>
    <t>Holy See</t>
  </si>
  <si>
    <t>North Macedonia</t>
  </si>
  <si>
    <t>San Marino</t>
  </si>
  <si>
    <t>Monaco</t>
  </si>
  <si>
    <t>Norfolk Island</t>
  </si>
  <si>
    <t>New Caledonia</t>
  </si>
  <si>
    <t>Kiribati</t>
  </si>
  <si>
    <t>Nauru</t>
  </si>
  <si>
    <t>French Polynesia</t>
  </si>
  <si>
    <t>Pitcairn</t>
  </si>
  <si>
    <t>Tokelau</t>
  </si>
  <si>
    <t>Wallis and Futuna Islands</t>
  </si>
  <si>
    <t>...</t>
  </si>
  <si>
    <t>Deforestation, 
2015-2020</t>
  </si>
  <si>
    <t>Total Forest Area 
Affected by Fire, 2015</t>
  </si>
  <si>
    <t>United Nations Statistics Division</t>
  </si>
  <si>
    <t xml:space="preserve">Date of release: </t>
  </si>
  <si>
    <t>Coverage:</t>
  </si>
  <si>
    <t xml:space="preserve">Series Type: </t>
  </si>
  <si>
    <t>Unit:</t>
  </si>
  <si>
    <t>Definitions &amp; Technical notes:</t>
  </si>
  <si>
    <t>Country and Area</t>
  </si>
  <si>
    <t>236 countries and areas</t>
  </si>
  <si>
    <t>Time series</t>
  </si>
  <si>
    <t>Forest Area</t>
  </si>
  <si>
    <t>… denotes no data available.</t>
  </si>
  <si>
    <t>Related Information:</t>
  </si>
  <si>
    <t>Country Files from the UNSD/UNEP data collection on environment statistics</t>
  </si>
  <si>
    <t>Country Snapshots</t>
  </si>
  <si>
    <t>Contact:</t>
  </si>
  <si>
    <t>United Nations Statistics Division
Environment Statistics Section
DC2-1516, 2 United Nations Plaza
New York, New York 10017, USA
E-mail: envstats@un.org</t>
  </si>
  <si>
    <t>1000 ha, or percentage, as indicated</t>
  </si>
  <si>
    <t>Extracted on 20-Oct-2020.</t>
  </si>
  <si>
    <t xml:space="preserve">http://www.fao.org/forest-resources-assessment </t>
  </si>
  <si>
    <t>https://doi.org/10.4060/ca9825en</t>
  </si>
  <si>
    <t>FAO, Global Forest Resources Assessments 2020</t>
  </si>
  <si>
    <r>
      <rPr>
        <b/>
        <sz val="11"/>
        <rFont val="Calibri"/>
        <family val="2"/>
        <scheme val="minor"/>
      </rPr>
      <t>Forest</t>
    </r>
    <r>
      <rPr>
        <sz val="11"/>
        <rFont val="Calibri"/>
        <family val="2"/>
        <scheme val="minor"/>
      </rPr>
      <t xml:space="preserve"> is defined as land spanning more than 0.5 hectares with trees higher than 5 meters and a canopy cover of more than 10 percent, or trees able to reach these thresholds in situ. It does not include land that is predominantly under agricultural or urban land use. 
• Forest is determined both by the presence of trees and the absence of other predominant land uses. The trees should be able to reach a minimum height of 5 meters. 
• It includes areas with young trees that have not yet reached but which are expected to reach a canopy cover of at least 10 percent and tree height of 5 meters or more. It also includes areas that are temporarily unstocked due to clear-cutting as part of a forest management practice or natural disasters, and which are expected to be regenerated within 5 years. Local conditions may, in exceptional cases, justify that a longer time frame is used. 
• It includes forest roads, firebreaks and other small open areas; forest in national parks, nature reserves and other protected areas such as those of specific environmental, scientific, historical, cultural or spiritual interest. 
• It includes windbreaks, shelterbelts and corridors of trees with an area of more than 0.5 hectares and width of more than 20 meters. 
• It includes abandoned shifting cultivation land with a regeneration of trees that have, or are expected to reach, a canopy cover of at least 10 percent and tree height of at least 5 meters. 
• It includes areas with mangroves in tidal zones, regardless whether this area is classified as land area or not. 
• It includes rubberwood, cork oak and Christmas tree plantations. 
• It includes areas with bamboo and palms provided that land use, height and canopy cover criteria are met. 
• It excludes tree stands in agricultural production systems, such as fruit tree plantations, oil palm plantations, olive orchards and agroforestry systems when crops are grown under tree cover. Note: Some agroforestry systems such as the “Taungya” system where crops are grown only during the first years of the forest rotation should be classified as forest.
</t>
    </r>
    <r>
      <rPr>
        <b/>
        <sz val="11"/>
        <rFont val="Calibri"/>
        <family val="2"/>
        <scheme val="minor"/>
      </rPr>
      <t>Total Land Area</t>
    </r>
    <r>
      <rPr>
        <sz val="11"/>
        <rFont val="Calibri"/>
        <family val="2"/>
        <scheme val="minor"/>
      </rPr>
      <t xml:space="preserve"> is the total surface area of a country less the area covered by inland waters, like major rivers and lakes.
</t>
    </r>
    <r>
      <rPr>
        <b/>
        <sz val="11"/>
        <rFont val="Calibri"/>
        <family val="2"/>
        <scheme val="minor"/>
      </rPr>
      <t>Deforestation</t>
    </r>
    <r>
      <rPr>
        <sz val="11"/>
        <rFont val="Calibri"/>
        <family val="2"/>
        <scheme val="minor"/>
      </rPr>
      <t xml:space="preserve"> is the conversion of forest to another land use or the long-term reduction of tree canopy cover below the 10% threshold.</t>
    </r>
  </si>
  <si>
    <t>Data source:</t>
  </si>
  <si>
    <t>Forest Area as a  Proportion of 
Total Land Area, 2020 [%]</t>
  </si>
  <si>
    <t>Forest Area /
Total Land Area, 2020 [%]</t>
  </si>
  <si>
    <t>Forest Area /
Total Land Area, 2015 [%]</t>
  </si>
  <si>
    <t>Forest Area /
Total Land Area, 2010 [%]</t>
  </si>
  <si>
    <t>Forest Area /
Total Land Area, 2000 [%]</t>
  </si>
  <si>
    <t>Forest Area /
Total Land Area, 1990 [%]</t>
  </si>
  <si>
    <t>Net gain 1990-2020</t>
  </si>
  <si>
    <t>Boolean</t>
  </si>
  <si>
    <t>Int</t>
  </si>
  <si>
    <t>Reforestation 1990-2000</t>
  </si>
  <si>
    <t>Reforestation 2000-2010</t>
  </si>
  <si>
    <t>Reforestation 2010-2015</t>
  </si>
  <si>
    <t>Reforestation 2015-2020</t>
  </si>
  <si>
    <t>ONLY
Gains
1990-2020</t>
  </si>
  <si>
    <t>ONLY
Losses
1990-2020</t>
  </si>
  <si>
    <t>Reforestation, 1990-2000
[per annum]</t>
  </si>
  <si>
    <t>Reforestation, 2000-2010
[per annum]</t>
  </si>
  <si>
    <t>Reforestation, 2010-2015
[per annum]</t>
  </si>
  <si>
    <t>Reforestation, 2015-2020
[per annum]</t>
  </si>
  <si>
    <t>Column1</t>
  </si>
  <si>
    <t>ID</t>
  </si>
  <si>
    <t>Country</t>
  </si>
  <si>
    <t>Area_1990</t>
  </si>
  <si>
    <t>Area_2000</t>
  </si>
  <si>
    <t>Area_2010</t>
  </si>
  <si>
    <t>Area_2015</t>
  </si>
  <si>
    <t>Area_2020</t>
  </si>
  <si>
    <t>Total_Land</t>
  </si>
  <si>
    <t>Area_1990_%</t>
  </si>
  <si>
    <t>Area_2000_%</t>
  </si>
  <si>
    <t>Area_2010_%</t>
  </si>
  <si>
    <t>Area_2015_%</t>
  </si>
  <si>
    <t>Area_2020_%</t>
  </si>
  <si>
    <t>Net_Gain</t>
  </si>
  <si>
    <t>GAIN  only</t>
  </si>
  <si>
    <t>LOSS only</t>
  </si>
  <si>
    <t>Column2</t>
  </si>
  <si>
    <t>Column3</t>
  </si>
  <si>
    <t>Column4</t>
  </si>
  <si>
    <t>Column7</t>
  </si>
  <si>
    <t>Column8</t>
  </si>
  <si>
    <t>Total</t>
  </si>
  <si>
    <t>Every Country</t>
  </si>
  <si>
    <t>Axis Labels</t>
  </si>
  <si>
    <t>PA_growth1</t>
  </si>
  <si>
    <t>PA_growth2</t>
  </si>
  <si>
    <t>PA_growth3</t>
  </si>
  <si>
    <t>PA_growth4</t>
  </si>
  <si>
    <t>Reforestation 2010-2020</t>
  </si>
  <si>
    <t>Net Gain
1990-2020
[%]</t>
  </si>
  <si>
    <t>Net_Gain_%</t>
  </si>
  <si>
    <t>Area_Delta</t>
  </si>
  <si>
    <t>Change in Forest Area
1990-2020</t>
  </si>
  <si>
    <t>Absolute change size
1990-2020</t>
  </si>
  <si>
    <t>Area_Delta_ABS</t>
  </si>
  <si>
    <t>1990-2000</t>
  </si>
  <si>
    <t>2000-2010</t>
  </si>
  <si>
    <t>2010-2020</t>
  </si>
  <si>
    <t>what!</t>
  </si>
  <si>
    <t>Rows</t>
  </si>
  <si>
    <t>Columns</t>
  </si>
  <si>
    <t>X Pos</t>
  </si>
  <si>
    <t>X Velocity</t>
  </si>
  <si>
    <t>time</t>
  </si>
  <si>
    <t>Z Pos</t>
  </si>
  <si>
    <t>Z Velocity</t>
  </si>
  <si>
    <t>X Acceleration</t>
  </si>
  <si>
    <t>Z Acceleration</t>
  </si>
  <si>
    <t>[s]</t>
  </si>
  <si>
    <t>[m]</t>
  </si>
  <si>
    <t>[m/s]</t>
  </si>
  <si>
    <t>[m/s²]</t>
  </si>
  <si>
    <t>Time interval</t>
  </si>
  <si>
    <t xml:space="preserve">Changes to acceleration </t>
  </si>
  <si>
    <t>Starting Positions</t>
  </si>
  <si>
    <t>Lambdas</t>
  </si>
  <si>
    <t>Displacement</t>
  </si>
  <si>
    <t>Velocity</t>
  </si>
  <si>
    <t>Angle of Attack</t>
  </si>
  <si>
    <t>[º relative to Earth]</t>
  </si>
  <si>
    <t>AOA</t>
  </si>
  <si>
    <t>LAMBDA(x0, y0, x1, y1, ATAN((y1 - y0) / (x1 - x0))</t>
  </si>
  <si>
    <t>=LET(x_0, G4, x_1, G5, z_0, H4, z_1, H5, dx, x_1 - x_0, dz, x_1 - x_0, ATAN2( dz / dx ) )</t>
  </si>
  <si>
    <t>Include Net
Gains only
1990-2020</t>
  </si>
  <si>
    <t>All countries</t>
  </si>
  <si>
    <t>Countries with net forest gain
1990-2020</t>
  </si>
  <si>
    <t>Landmass area</t>
  </si>
  <si>
    <t>UNITS</t>
  </si>
  <si>
    <t>[1,000 Ha]</t>
  </si>
  <si>
    <r>
      <t xml:space="preserve">Forest Area
</t>
    </r>
    <r>
      <rPr>
        <sz val="11"/>
        <color theme="1"/>
        <rFont val="Source Sans Pro Regular"/>
      </rPr>
      <t>1990-2020</t>
    </r>
  </si>
  <si>
    <t xml:space="preserve">Ratio </t>
  </si>
  <si>
    <t>[%]</t>
  </si>
  <si>
    <r>
      <t xml:space="preserve">Forest Area
</t>
    </r>
    <r>
      <rPr>
        <sz val="11"/>
        <color theme="1"/>
        <rFont val="Source Sans Pro Regular"/>
      </rPr>
      <t>1990</t>
    </r>
  </si>
  <si>
    <t>Landmass c.f. Total</t>
  </si>
  <si>
    <r>
      <t xml:space="preserve">Forest Area
</t>
    </r>
    <r>
      <rPr>
        <sz val="11"/>
        <color theme="1"/>
        <rFont val="Source Sans Pro Regular"/>
      </rPr>
      <t>2020</t>
    </r>
  </si>
  <si>
    <r>
      <t xml:space="preserve">Forest area 1990
</t>
    </r>
    <r>
      <rPr>
        <sz val="11"/>
        <color theme="1"/>
        <rFont val="Source Sans Pro Regular"/>
      </rPr>
      <t>c.f. Total land area</t>
    </r>
  </si>
  <si>
    <t>Countries with net forest lose
1990-2020</t>
  </si>
  <si>
    <r>
      <t xml:space="preserve">Forest area 2020
</t>
    </r>
    <r>
      <rPr>
        <sz val="11"/>
        <color theme="1"/>
        <rFont val="Source Sans Pro Regular"/>
      </rPr>
      <t>c.f. Total land area</t>
    </r>
  </si>
  <si>
    <t>Average Net Gain in Forest 1990-2020</t>
  </si>
  <si>
    <t>Change in forest area 1990-2020 (flow)</t>
  </si>
  <si>
    <t>Standard Deviation in forest change, 1990-2020</t>
  </si>
  <si>
    <t>Change in forest, 1990-2020 (flow)</t>
  </si>
  <si>
    <t>Loss</t>
  </si>
  <si>
    <t>Gain</t>
  </si>
  <si>
    <t>Zero</t>
  </si>
  <si>
    <t>Forest Gain
 1990-2000</t>
  </si>
  <si>
    <t>Forest Gain
 2010-2020</t>
  </si>
  <si>
    <t>Forest Gain
 2000-2010</t>
  </si>
  <si>
    <t>ratio</t>
  </si>
  <si>
    <t>Skew</t>
  </si>
  <si>
    <t>Skewness</t>
  </si>
  <si>
    <t>Data Skew
1990 - 2020</t>
  </si>
  <si>
    <t>Losses only</t>
  </si>
  <si>
    <t>Gains only</t>
  </si>
  <si>
    <t>km2</t>
  </si>
  <si>
    <t>1000 Ha</t>
  </si>
  <si>
    <t>million Ha</t>
  </si>
  <si>
    <t xml:space="preserve"> </t>
  </si>
  <si>
    <t>&lt; Average</t>
  </si>
  <si>
    <t>Count</t>
  </si>
  <si>
    <t>&lt; Count</t>
  </si>
  <si>
    <t>&lt; China</t>
  </si>
  <si>
    <t xml:space="preserve">&lt; Brazil </t>
  </si>
  <si>
    <t>&lt; other loss nations</t>
  </si>
  <si>
    <t>&lt; median</t>
  </si>
  <si>
    <t>&lt; average</t>
  </si>
  <si>
    <t>&lt; brazil</t>
  </si>
  <si>
    <t>Order of mag. Diff w/ av.</t>
  </si>
  <si>
    <t>Order of mag. Diff w/ median</t>
  </si>
  <si>
    <t>&lt; china</t>
  </si>
  <si>
    <t>&lt; STDEV</t>
  </si>
  <si>
    <t>&lt; count</t>
  </si>
  <si>
    <t>Mean</t>
  </si>
  <si>
    <t>Median</t>
  </si>
  <si>
    <t>SUM</t>
  </si>
  <si>
    <t>Nation</t>
  </si>
  <si>
    <t>STDDEV.S</t>
  </si>
  <si>
    <t>Incl China</t>
  </si>
  <si>
    <t>Except China</t>
  </si>
  <si>
    <t>ΔNFA</t>
  </si>
  <si>
    <t>Δ NFA</t>
  </si>
  <si>
    <t>All nations with NFA Gain from 1990 to 2020 (ΔNFA &gt;= 0)</t>
  </si>
  <si>
    <t>All nations with NFA Loss from 1990 to 2020 (ΔNFA &lt; 0)</t>
  </si>
  <si>
    <t>Incl Brazil</t>
  </si>
  <si>
    <t>Filtered nations with NFA Gain from 1990 to 2020 (ΔNFA &gt;= 0)</t>
  </si>
  <si>
    <t>Filtered nations with NFA Loss from 1990 to 2020 (ΔNFA &lt; 0)</t>
  </si>
  <si>
    <t>Selected gain nations ::  ΔNFA &gt; 500</t>
  </si>
  <si>
    <t>Selected loss nations ::  ΔNFA &lt; -5,000</t>
  </si>
  <si>
    <t>^— without China ::  10,000 &gt; ΔNFA &gt; 500</t>
  </si>
  <si>
    <t>^— without Brazil ::    -5,000 &gt; ΔNFA &gt;  -30,000</t>
  </si>
  <si>
    <t>Except Brazil</t>
  </si>
  <si>
    <t>Selected Nations</t>
  </si>
  <si>
    <t>Gain/Loss</t>
  </si>
  <si>
    <t>Selected Nations  minus China &amp; Brazil</t>
  </si>
  <si>
    <t>All nations</t>
  </si>
  <si>
    <t>Ratio China/Rest</t>
  </si>
  <si>
    <t>Ratio China/All</t>
  </si>
  <si>
    <t>Ratio China/Selected</t>
  </si>
  <si>
    <t>Ratio Brazil/Rest</t>
  </si>
  <si>
    <t>Ratio Brazil/All</t>
  </si>
  <si>
    <t>Ratio Brazil/Selected</t>
  </si>
  <si>
    <t>Rate of gain</t>
  </si>
  <si>
    <t>Rate of Loss</t>
  </si>
  <si>
    <t>Rate of Gain</t>
  </si>
  <si>
    <t>Av Rate Selected</t>
  </si>
  <si>
    <t>Av Rate Selected minus China</t>
  </si>
  <si>
    <t>Av Rate All Gain Nations</t>
  </si>
  <si>
    <t>Av Rate All minus China</t>
  </si>
  <si>
    <t xml:space="preserve">Rate of Chage for the filtered Group &gt; </t>
  </si>
  <si>
    <t>Unweighted</t>
  </si>
  <si>
    <t>Weighted</t>
  </si>
  <si>
    <t>Ratios</t>
  </si>
  <si>
    <t>Av Rate All Loss Nations</t>
  </si>
  <si>
    <t>Av Rate All minus Brazil</t>
  </si>
  <si>
    <t xml:space="preserve">Rate of Chage for the filtered Group MINUS first Nation (China/Brazil) &gt; </t>
  </si>
  <si>
    <t>&lt; unweighted</t>
  </si>
  <si>
    <t>&lt; Change in Forest Area of filtered nations</t>
  </si>
  <si>
    <t>&lt; Total Land Area of filtereed nations</t>
  </si>
  <si>
    <t>&lt; unweighted needs to be manually CHECKED for each filter change</t>
  </si>
  <si>
    <t>All Nations  – China &amp; Brazil</t>
  </si>
  <si>
    <t>Brazil/mean all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</si>
</sst>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-409]d\-mmm\-yyyy;@"/>
    <numFmt numFmtId="165" formatCode="###\ ###\ ###\ ##0"/>
    <numFmt numFmtId="166" formatCode="0.0"/>
    <numFmt numFmtId="167" formatCode="0.0%"/>
    <numFmt numFmtId="168" formatCode="hh:mm:ss;@"/>
    <numFmt numFmtId="169" formatCode="h:mm:ss;@"/>
    <numFmt numFmtId="172" formatCode="0.000%"/>
    <numFmt numFmtId="173" formatCode="#,##0.0000"/>
    <numFmt numFmtId="174" formatCode="#,##0.00000"/>
    <numFmt numFmtId="175" formatCode="0.000"/>
    <numFmt numFmtId="180" formatCode="0.0000"/>
    <numFmt numFmtId="181" formatCode="0.0000%"/>
    <numFmt numFmtId="182" formatCode="0.000000"/>
  </numFmts>
  <fonts count="4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6"/>
      <color theme="0"/>
      <name val="Helvetica"/>
      <family val="2"/>
    </font>
    <font>
      <b/>
      <sz val="13"/>
      <name val="Helvetica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Source Sans Pro Regular"/>
    </font>
    <font>
      <b/>
      <sz val="12"/>
      <color rgb="FF000000"/>
      <name val="Source Sans Pro Regular"/>
    </font>
    <font>
      <b/>
      <sz val="12"/>
      <color theme="1"/>
      <name val="Source Sans Pro Regular"/>
    </font>
    <font>
      <sz val="12"/>
      <color rgb="FF000000"/>
      <name val="Source Sans Pro Regular"/>
    </font>
    <font>
      <sz val="10"/>
      <color theme="1"/>
      <name val="Source Sans Pro Regular"/>
    </font>
    <font>
      <sz val="12"/>
      <color rgb="FF000000"/>
      <name val="Source Sans Pro Regular"/>
      <charset val="1"/>
    </font>
    <font>
      <sz val="11"/>
      <color theme="1"/>
      <name val="Source Sans Pro Regular"/>
    </font>
    <font>
      <sz val="12"/>
      <color rgb="FF000000"/>
      <name val="Arial"/>
      <family val="2"/>
    </font>
    <font>
      <b/>
      <sz val="12"/>
      <color theme="0"/>
      <name val="Arial"/>
      <family val="2"/>
    </font>
    <font>
      <b/>
      <sz val="12"/>
      <color rgb="FF000000"/>
      <name val="Arial"/>
      <family val="2"/>
    </font>
    <font>
      <sz val="12"/>
      <color theme="1"/>
      <name val="Source Sans Pro SemiBold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8" fillId="0" borderId="0"/>
    <xf numFmtId="0" fontId="2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80">
    <xf numFmtId="0" fontId="0" fillId="0" borderId="0" xfId="0"/>
    <xf numFmtId="0" fontId="18" fillId="35" borderId="0" xfId="43" applyFill="1"/>
    <xf numFmtId="0" fontId="18" fillId="35" borderId="0" xfId="43" applyFill="1" applyAlignment="1">
      <alignment horizontal="left"/>
    </xf>
    <xf numFmtId="0" fontId="18" fillId="0" borderId="0" xfId="43"/>
    <xf numFmtId="0" fontId="21" fillId="36" borderId="0" xfId="43" applyFont="1" applyFill="1" applyAlignment="1">
      <alignment vertical="center"/>
    </xf>
    <xf numFmtId="0" fontId="18" fillId="36" borderId="0" xfId="43" applyFill="1"/>
    <xf numFmtId="0" fontId="18" fillId="36" borderId="0" xfId="43" applyFill="1" applyAlignment="1">
      <alignment horizontal="left"/>
    </xf>
    <xf numFmtId="0" fontId="22" fillId="0" borderId="0" xfId="43" applyFont="1"/>
    <xf numFmtId="0" fontId="18" fillId="0" borderId="0" xfId="43" applyAlignment="1">
      <alignment horizontal="left"/>
    </xf>
    <xf numFmtId="0" fontId="23" fillId="0" borderId="0" xfId="43" applyFont="1" applyAlignment="1" applyProtection="1">
      <alignment horizontal="left"/>
      <protection locked="0"/>
    </xf>
    <xf numFmtId="0" fontId="24" fillId="0" borderId="0" xfId="43" applyFont="1" applyProtection="1">
      <protection locked="0"/>
    </xf>
    <xf numFmtId="0" fontId="24" fillId="0" borderId="0" xfId="43" applyFont="1" applyAlignment="1" applyProtection="1">
      <alignment horizontal="left"/>
      <protection locked="0"/>
    </xf>
    <xf numFmtId="165" fontId="24" fillId="0" borderId="0" xfId="43" applyNumberFormat="1" applyFont="1" applyAlignment="1" applyProtection="1">
      <alignment horizontal="left"/>
      <protection locked="0"/>
    </xf>
    <xf numFmtId="0" fontId="25" fillId="0" borderId="0" xfId="43" applyFont="1" applyAlignment="1" applyProtection="1">
      <alignment horizontal="left"/>
      <protection locked="0"/>
    </xf>
    <xf numFmtId="165" fontId="25" fillId="0" borderId="0" xfId="43" applyNumberFormat="1" applyFont="1" applyAlignment="1" applyProtection="1">
      <alignment horizontal="left"/>
      <protection locked="0"/>
    </xf>
    <xf numFmtId="166" fontId="24" fillId="0" borderId="0" xfId="43" applyNumberFormat="1" applyFont="1" applyAlignment="1" applyProtection="1">
      <alignment horizontal="right"/>
      <protection locked="0"/>
    </xf>
    <xf numFmtId="165" fontId="25" fillId="0" borderId="0" xfId="43" applyNumberFormat="1" applyFont="1" applyProtection="1">
      <protection locked="0"/>
    </xf>
    <xf numFmtId="165" fontId="24" fillId="0" borderId="0" xfId="43" applyNumberFormat="1" applyFont="1" applyProtection="1">
      <protection locked="0"/>
    </xf>
    <xf numFmtId="0" fontId="25" fillId="0" borderId="0" xfId="43" applyFont="1" applyProtection="1">
      <protection locked="0"/>
    </xf>
    <xf numFmtId="0" fontId="26" fillId="0" borderId="0" xfId="43" applyFont="1" applyAlignment="1" applyProtection="1">
      <alignment wrapText="1"/>
      <protection locked="0"/>
    </xf>
    <xf numFmtId="0" fontId="27" fillId="0" borderId="0" xfId="43" applyFont="1" applyAlignment="1" applyProtection="1">
      <alignment wrapText="1"/>
      <protection locked="0"/>
    </xf>
    <xf numFmtId="0" fontId="27" fillId="0" borderId="0" xfId="43" applyFont="1" applyAlignment="1" applyProtection="1">
      <alignment horizontal="left" wrapText="1"/>
      <protection locked="0"/>
    </xf>
    <xf numFmtId="0" fontId="29" fillId="0" borderId="0" xfId="45" applyFill="1" applyAlignment="1" applyProtection="1">
      <alignment horizontal="left" wrapText="1"/>
      <protection locked="0"/>
    </xf>
    <xf numFmtId="0" fontId="29" fillId="0" borderId="0" xfId="45" applyFill="1" applyAlignment="1">
      <alignment horizontal="left" wrapText="1"/>
    </xf>
    <xf numFmtId="0" fontId="23" fillId="0" borderId="0" xfId="43" applyFont="1"/>
    <xf numFmtId="0" fontId="18" fillId="0" borderId="0" xfId="43" applyAlignment="1">
      <alignment wrapText="1"/>
    </xf>
    <xf numFmtId="0" fontId="29" fillId="0" borderId="0" xfId="45" applyFill="1" applyBorder="1"/>
    <xf numFmtId="0" fontId="31" fillId="33" borderId="10" xfId="0" applyFont="1" applyFill="1" applyBorder="1" applyAlignment="1">
      <alignment horizontal="center" wrapText="1"/>
    </xf>
    <xf numFmtId="0" fontId="32" fillId="0" borderId="0" xfId="0" applyFont="1"/>
    <xf numFmtId="0" fontId="31" fillId="34" borderId="10" xfId="0" applyFont="1" applyFill="1" applyBorder="1" applyAlignment="1">
      <alignment horizontal="right"/>
    </xf>
    <xf numFmtId="0" fontId="32" fillId="0" borderId="0" xfId="0" applyFont="1" applyAlignment="1">
      <alignment horizontal="right"/>
    </xf>
    <xf numFmtId="0" fontId="34" fillId="0" borderId="0" xfId="42" applyFont="1"/>
    <xf numFmtId="0" fontId="27" fillId="0" borderId="0" xfId="43" applyFont="1"/>
    <xf numFmtId="164" fontId="27" fillId="0" borderId="0" xfId="43" applyNumberFormat="1" applyFont="1" applyAlignment="1">
      <alignment horizontal="left"/>
    </xf>
    <xf numFmtId="0" fontId="27" fillId="0" borderId="0" xfId="43" applyFont="1" applyAlignment="1">
      <alignment horizontal="left"/>
    </xf>
    <xf numFmtId="0" fontId="1" fillId="35" borderId="0" xfId="43" applyFont="1" applyFill="1"/>
    <xf numFmtId="0" fontId="32" fillId="37" borderId="0" xfId="0" applyFont="1" applyFill="1"/>
    <xf numFmtId="0" fontId="32" fillId="37" borderId="0" xfId="0" applyFont="1" applyFill="1" applyAlignment="1">
      <alignment horizontal="right"/>
    </xf>
    <xf numFmtId="3" fontId="32" fillId="0" borderId="0" xfId="0" applyNumberFormat="1" applyFont="1" applyAlignment="1">
      <alignment horizontal="right"/>
    </xf>
    <xf numFmtId="3" fontId="32" fillId="37" borderId="0" xfId="0" applyNumberFormat="1" applyFont="1" applyFill="1" applyAlignment="1">
      <alignment horizontal="right"/>
    </xf>
    <xf numFmtId="3" fontId="31" fillId="34" borderId="10" xfId="0" applyNumberFormat="1" applyFont="1" applyFill="1" applyBorder="1" applyAlignment="1">
      <alignment horizontal="center" vertical="center" wrapText="1"/>
    </xf>
    <xf numFmtId="0" fontId="31" fillId="34" borderId="10" xfId="0" applyFont="1" applyFill="1" applyBorder="1" applyAlignment="1">
      <alignment horizontal="center" vertical="center" wrapText="1"/>
    </xf>
    <xf numFmtId="1" fontId="31" fillId="38" borderId="10" xfId="0" applyNumberFormat="1" applyFont="1" applyFill="1" applyBorder="1" applyAlignment="1">
      <alignment horizontal="center" vertical="center" wrapText="1"/>
    </xf>
    <xf numFmtId="1" fontId="32" fillId="38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 vertical="center" wrapText="1"/>
    </xf>
    <xf numFmtId="2" fontId="32" fillId="0" borderId="0" xfId="0" applyNumberFormat="1" applyFont="1"/>
    <xf numFmtId="1" fontId="32" fillId="0" borderId="0" xfId="0" applyNumberFormat="1" applyFont="1" applyAlignment="1">
      <alignment horizontal="right"/>
    </xf>
    <xf numFmtId="1" fontId="31" fillId="34" borderId="10" xfId="0" applyNumberFormat="1" applyFont="1" applyFill="1" applyBorder="1" applyAlignment="1">
      <alignment horizontal="center"/>
    </xf>
    <xf numFmtId="1" fontId="32" fillId="0" borderId="0" xfId="0" applyNumberFormat="1" applyFont="1" applyAlignment="1">
      <alignment horizontal="center"/>
    </xf>
    <xf numFmtId="167" fontId="32" fillId="0" borderId="0" xfId="0" applyNumberFormat="1" applyFont="1" applyAlignment="1">
      <alignment horizontal="right"/>
    </xf>
    <xf numFmtId="0" fontId="32" fillId="0" borderId="0" xfId="0" applyFont="1" applyAlignment="1">
      <alignment horizontal="center"/>
    </xf>
    <xf numFmtId="3" fontId="32" fillId="0" borderId="0" xfId="0" applyNumberFormat="1" applyFont="1" applyAlignment="1">
      <alignment horizontal="center"/>
    </xf>
    <xf numFmtId="9" fontId="31" fillId="38" borderId="10" xfId="0" applyNumberFormat="1" applyFont="1" applyFill="1" applyBorder="1" applyAlignment="1">
      <alignment horizontal="center" vertical="center" wrapText="1"/>
    </xf>
    <xf numFmtId="9" fontId="31" fillId="34" borderId="10" xfId="0" applyNumberFormat="1" applyFont="1" applyFill="1" applyBorder="1" applyAlignment="1">
      <alignment horizontal="center"/>
    </xf>
    <xf numFmtId="9" fontId="32" fillId="0" borderId="0" xfId="0" applyNumberFormat="1" applyFont="1" applyAlignment="1">
      <alignment horizontal="center"/>
    </xf>
    <xf numFmtId="0" fontId="31" fillId="34" borderId="0" xfId="0" applyFont="1" applyFill="1" applyAlignment="1">
      <alignment horizontal="right"/>
    </xf>
    <xf numFmtId="3" fontId="31" fillId="39" borderId="0" xfId="0" applyNumberFormat="1" applyFont="1" applyFill="1" applyAlignment="1">
      <alignment horizontal="center" vertical="center" wrapText="1"/>
    </xf>
    <xf numFmtId="0" fontId="31" fillId="39" borderId="0" xfId="0" applyFont="1" applyFill="1" applyAlignment="1">
      <alignment horizontal="center"/>
    </xf>
    <xf numFmtId="0" fontId="33" fillId="0" borderId="0" xfId="0" applyFont="1"/>
    <xf numFmtId="1" fontId="31" fillId="34" borderId="10" xfId="0" applyNumberFormat="1" applyFont="1" applyFill="1" applyBorder="1" applyAlignment="1">
      <alignment horizontal="center" vertical="center" wrapText="1"/>
    </xf>
    <xf numFmtId="9" fontId="31" fillId="34" borderId="0" xfId="0" applyNumberFormat="1" applyFont="1" applyFill="1" applyAlignment="1">
      <alignment horizontal="center"/>
    </xf>
    <xf numFmtId="1" fontId="31" fillId="34" borderId="0" xfId="0" applyNumberFormat="1" applyFont="1" applyFill="1" applyAlignment="1">
      <alignment horizontal="center"/>
    </xf>
    <xf numFmtId="1" fontId="31" fillId="0" borderId="0" xfId="0" applyNumberFormat="1" applyFont="1" applyAlignment="1">
      <alignment horizontal="center"/>
    </xf>
    <xf numFmtId="3" fontId="32" fillId="0" borderId="0" xfId="0" applyNumberFormat="1" applyFont="1"/>
    <xf numFmtId="0" fontId="31" fillId="33" borderId="11" xfId="0" applyFont="1" applyFill="1" applyBorder="1" applyAlignment="1">
      <alignment horizontal="center" wrapText="1"/>
    </xf>
    <xf numFmtId="0" fontId="31" fillId="34" borderId="11" xfId="0" applyFont="1" applyFill="1" applyBorder="1" applyAlignment="1">
      <alignment horizontal="right"/>
    </xf>
    <xf numFmtId="9" fontId="31" fillId="34" borderId="11" xfId="0" applyNumberFormat="1" applyFont="1" applyFill="1" applyBorder="1" applyAlignment="1">
      <alignment horizontal="center"/>
    </xf>
    <xf numFmtId="0" fontId="31" fillId="33" borderId="12" xfId="0" applyFont="1" applyFill="1" applyBorder="1" applyAlignment="1">
      <alignment horizontal="center" wrapText="1"/>
    </xf>
    <xf numFmtId="0" fontId="31" fillId="34" borderId="12" xfId="0" applyFont="1" applyFill="1" applyBorder="1" applyAlignment="1">
      <alignment horizontal="right"/>
    </xf>
    <xf numFmtId="9" fontId="31" fillId="34" borderId="12" xfId="0" applyNumberFormat="1" applyFont="1" applyFill="1" applyBorder="1" applyAlignment="1">
      <alignment horizontal="center"/>
    </xf>
    <xf numFmtId="1" fontId="32" fillId="0" borderId="0" xfId="0" applyNumberFormat="1" applyFont="1"/>
    <xf numFmtId="9" fontId="32" fillId="0" borderId="0" xfId="0" applyNumberFormat="1" applyFont="1" applyAlignment="1">
      <alignment horizontal="right"/>
    </xf>
    <xf numFmtId="3" fontId="31" fillId="38" borderId="10" xfId="0" applyNumberFormat="1" applyFont="1" applyFill="1" applyBorder="1" applyAlignment="1">
      <alignment horizontal="center" vertical="center" wrapText="1"/>
    </xf>
    <xf numFmtId="3" fontId="31" fillId="34" borderId="10" xfId="0" applyNumberFormat="1" applyFont="1" applyFill="1" applyBorder="1" applyAlignment="1">
      <alignment horizontal="center"/>
    </xf>
    <xf numFmtId="3" fontId="31" fillId="34" borderId="0" xfId="0" applyNumberFormat="1" applyFont="1" applyFill="1" applyAlignment="1">
      <alignment horizontal="center"/>
    </xf>
    <xf numFmtId="1" fontId="32" fillId="0" borderId="0" xfId="0" applyNumberFormat="1" applyFont="1" applyAlignment="1">
      <alignment horizontal="center" wrapText="1"/>
    </xf>
    <xf numFmtId="0" fontId="37" fillId="0" borderId="0" xfId="0" applyFont="1"/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0" borderId="0" xfId="0" applyFont="1"/>
    <xf numFmtId="0" fontId="41" fillId="0" borderId="0" xfId="0" applyFont="1" applyAlignment="1">
      <alignment horizontal="center"/>
    </xf>
    <xf numFmtId="0" fontId="39" fillId="0" borderId="0" xfId="0" applyFont="1"/>
    <xf numFmtId="0" fontId="38" fillId="0" borderId="0" xfId="0" applyFont="1" applyAlignment="1">
      <alignment horizontal="right"/>
    </xf>
    <xf numFmtId="168" fontId="37" fillId="0" borderId="0" xfId="0" applyNumberFormat="1" applyFont="1"/>
    <xf numFmtId="169" fontId="40" fillId="0" borderId="0" xfId="0" applyNumberFormat="1" applyFont="1"/>
    <xf numFmtId="0" fontId="16" fillId="0" borderId="0" xfId="0" applyFont="1"/>
    <xf numFmtId="0" fontId="42" fillId="0" borderId="0" xfId="0" applyFont="1"/>
    <xf numFmtId="2" fontId="39" fillId="0" borderId="0" xfId="0" applyNumberFormat="1" applyFont="1" applyAlignment="1">
      <alignment horizontal="center" vertical="center"/>
    </xf>
    <xf numFmtId="2" fontId="41" fillId="0" borderId="0" xfId="0" applyNumberFormat="1" applyFont="1" applyAlignment="1">
      <alignment horizontal="center"/>
    </xf>
    <xf numFmtId="2" fontId="40" fillId="0" borderId="0" xfId="0" applyNumberFormat="1" applyFont="1"/>
    <xf numFmtId="2" fontId="37" fillId="0" borderId="0" xfId="0" applyNumberFormat="1" applyFont="1"/>
    <xf numFmtId="2" fontId="0" fillId="0" borderId="0" xfId="0" applyNumberFormat="1"/>
    <xf numFmtId="0" fontId="0" fillId="0" borderId="0" xfId="0" quotePrefix="1"/>
    <xf numFmtId="0" fontId="32" fillId="40" borderId="0" xfId="0" applyFont="1" applyFill="1"/>
    <xf numFmtId="3" fontId="32" fillId="40" borderId="0" xfId="0" applyNumberFormat="1" applyFont="1" applyFill="1" applyAlignment="1">
      <alignment horizontal="right"/>
    </xf>
    <xf numFmtId="9" fontId="32" fillId="40" borderId="0" xfId="0" applyNumberFormat="1" applyFont="1" applyFill="1" applyAlignment="1">
      <alignment horizontal="center"/>
    </xf>
    <xf numFmtId="3" fontId="32" fillId="40" borderId="0" xfId="0" applyNumberFormat="1" applyFont="1" applyFill="1" applyAlignment="1">
      <alignment horizontal="center"/>
    </xf>
    <xf numFmtId="0" fontId="32" fillId="40" borderId="0" xfId="0" applyFont="1" applyFill="1" applyAlignment="1">
      <alignment horizontal="center"/>
    </xf>
    <xf numFmtId="0" fontId="32" fillId="40" borderId="0" xfId="0" applyFont="1" applyFill="1" applyAlignment="1">
      <alignment horizontal="right"/>
    </xf>
    <xf numFmtId="3" fontId="32" fillId="40" borderId="0" xfId="0" applyNumberFormat="1" applyFont="1" applyFill="1"/>
    <xf numFmtId="167" fontId="32" fillId="40" borderId="0" xfId="0" applyNumberFormat="1" applyFont="1" applyFill="1" applyAlignment="1">
      <alignment horizontal="right"/>
    </xf>
    <xf numFmtId="10" fontId="31" fillId="38" borderId="10" xfId="0" applyNumberFormat="1" applyFont="1" applyFill="1" applyBorder="1" applyAlignment="1">
      <alignment horizontal="center" vertical="center" wrapText="1"/>
    </xf>
    <xf numFmtId="10" fontId="31" fillId="34" borderId="10" xfId="0" applyNumberFormat="1" applyFont="1" applyFill="1" applyBorder="1" applyAlignment="1">
      <alignment horizontal="center"/>
    </xf>
    <xf numFmtId="10" fontId="31" fillId="34" borderId="0" xfId="0" applyNumberFormat="1" applyFont="1" applyFill="1" applyAlignment="1">
      <alignment horizontal="center"/>
    </xf>
    <xf numFmtId="10" fontId="32" fillId="0" borderId="0" xfId="0" applyNumberFormat="1" applyFont="1" applyAlignment="1">
      <alignment horizontal="center"/>
    </xf>
    <xf numFmtId="10" fontId="32" fillId="4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right"/>
    </xf>
    <xf numFmtId="0" fontId="0" fillId="0" borderId="0" xfId="0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wrapText="1"/>
    </xf>
    <xf numFmtId="0" fontId="4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3" fontId="37" fillId="0" borderId="0" xfId="0" applyNumberFormat="1" applyFont="1"/>
    <xf numFmtId="167" fontId="37" fillId="0" borderId="0" xfId="0" applyNumberFormat="1" applyFont="1" applyAlignment="1">
      <alignment horizontal="center" vertical="center"/>
    </xf>
    <xf numFmtId="3" fontId="37" fillId="0" borderId="0" xfId="0" applyNumberFormat="1" applyFont="1" applyAlignment="1">
      <alignment horizontal="center" vertical="center"/>
    </xf>
    <xf numFmtId="4" fontId="37" fillId="0" borderId="0" xfId="0" applyNumberFormat="1" applyFont="1" applyAlignment="1">
      <alignment horizontal="center" vertical="center"/>
    </xf>
    <xf numFmtId="1" fontId="37" fillId="0" borderId="0" xfId="0" applyNumberFormat="1" applyFont="1" applyAlignment="1">
      <alignment horizontal="center" vertical="center"/>
    </xf>
    <xf numFmtId="9" fontId="37" fillId="0" borderId="0" xfId="0" applyNumberFormat="1" applyFont="1" applyAlignment="1">
      <alignment horizontal="center" vertical="center"/>
    </xf>
    <xf numFmtId="10" fontId="37" fillId="0" borderId="0" xfId="0" applyNumberFormat="1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1" fontId="43" fillId="0" borderId="0" xfId="0" applyNumberFormat="1" applyFont="1" applyAlignment="1">
      <alignment horizontal="center" vertical="center"/>
    </xf>
    <xf numFmtId="1" fontId="37" fillId="0" borderId="0" xfId="0" applyNumberFormat="1" applyFont="1" applyAlignment="1">
      <alignment horizontal="center" vertical="center" wrapText="1"/>
    </xf>
    <xf numFmtId="9" fontId="37" fillId="0" borderId="0" xfId="0" applyNumberFormat="1" applyFont="1" applyAlignment="1">
      <alignment horizontal="center" vertical="center" wrapText="1"/>
    </xf>
    <xf numFmtId="3" fontId="37" fillId="0" borderId="0" xfId="0" applyNumberFormat="1" applyFont="1" applyAlignment="1">
      <alignment horizontal="center" vertical="center" wrapText="1"/>
    </xf>
    <xf numFmtId="10" fontId="37" fillId="0" borderId="0" xfId="0" applyNumberFormat="1" applyFont="1" applyAlignment="1">
      <alignment horizontal="center" vertical="center" wrapText="1"/>
    </xf>
    <xf numFmtId="1" fontId="43" fillId="0" borderId="0" xfId="0" applyNumberFormat="1" applyFont="1" applyAlignment="1">
      <alignment horizontal="center" vertical="center" wrapText="1"/>
    </xf>
    <xf numFmtId="13" fontId="37" fillId="0" borderId="0" xfId="0" applyNumberFormat="1" applyFont="1" applyAlignment="1">
      <alignment horizontal="center" vertical="center"/>
    </xf>
    <xf numFmtId="2" fontId="37" fillId="0" borderId="0" xfId="0" applyNumberFormat="1" applyFont="1" applyAlignment="1">
      <alignment horizontal="center" vertical="center"/>
    </xf>
    <xf numFmtId="0" fontId="29" fillId="0" borderId="0" xfId="45" applyFill="1" applyBorder="1" applyAlignment="1">
      <alignment horizontal="left"/>
    </xf>
    <xf numFmtId="0" fontId="18" fillId="0" borderId="0" xfId="43" applyAlignment="1">
      <alignment horizontal="left" vertical="top" wrapText="1"/>
    </xf>
    <xf numFmtId="0" fontId="30" fillId="0" borderId="0" xfId="46" applyFill="1" applyBorder="1" applyAlignment="1">
      <alignment horizontal="left"/>
    </xf>
    <xf numFmtId="0" fontId="20" fillId="35" borderId="0" xfId="43" applyFont="1" applyFill="1" applyAlignment="1">
      <alignment horizontal="left" vertical="center" wrapText="1"/>
    </xf>
    <xf numFmtId="0" fontId="27" fillId="0" borderId="0" xfId="44" applyFont="1" applyAlignment="1">
      <alignment horizontal="left" vertical="top" wrapText="1"/>
    </xf>
    <xf numFmtId="0" fontId="27" fillId="0" borderId="0" xfId="43" applyFont="1" applyAlignment="1" applyProtection="1">
      <alignment horizontal="left" vertical="top" wrapText="1"/>
      <protection locked="0"/>
    </xf>
    <xf numFmtId="0" fontId="27" fillId="0" borderId="0" xfId="43" applyFont="1" applyAlignment="1">
      <alignment horizontal="left" vertical="top" wrapText="1"/>
    </xf>
    <xf numFmtId="2" fontId="32" fillId="0" borderId="0" xfId="0" applyNumberFormat="1" applyFont="1" applyAlignment="1">
      <alignment horizontal="center"/>
    </xf>
    <xf numFmtId="1" fontId="32" fillId="0" borderId="0" xfId="0" applyNumberFormat="1" applyFont="1" applyAlignment="1">
      <alignment horizontal="left"/>
    </xf>
    <xf numFmtId="1" fontId="32" fillId="0" borderId="0" xfId="0" applyNumberFormat="1" applyFont="1" applyAlignment="1"/>
    <xf numFmtId="172" fontId="32" fillId="0" borderId="0" xfId="0" applyNumberFormat="1" applyFont="1" applyAlignment="1">
      <alignment horizontal="right"/>
    </xf>
    <xf numFmtId="173" fontId="32" fillId="40" borderId="0" xfId="0" applyNumberFormat="1" applyFont="1" applyFill="1" applyAlignment="1">
      <alignment horizontal="center"/>
    </xf>
    <xf numFmtId="174" fontId="32" fillId="0" borderId="0" xfId="0" applyNumberFormat="1" applyFont="1" applyAlignment="1">
      <alignment horizontal="right"/>
    </xf>
    <xf numFmtId="175" fontId="32" fillId="0" borderId="0" xfId="0" applyNumberFormat="1" applyFont="1" applyAlignment="1">
      <alignment horizontal="right"/>
    </xf>
    <xf numFmtId="3" fontId="0" fillId="0" borderId="0" xfId="0" applyNumberFormat="1"/>
    <xf numFmtId="3" fontId="44" fillId="0" borderId="0" xfId="0" applyNumberFormat="1" applyFont="1" applyAlignment="1">
      <alignment horizontal="center"/>
    </xf>
    <xf numFmtId="0" fontId="3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7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" fontId="44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45" fillId="41" borderId="13" xfId="0" applyFont="1" applyFill="1" applyBorder="1"/>
    <xf numFmtId="0" fontId="45" fillId="41" borderId="14" xfId="0" applyFont="1" applyFill="1" applyBorder="1"/>
    <xf numFmtId="18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4" fontId="44" fillId="0" borderId="0" xfId="0" applyNumberFormat="1" applyFon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5" fillId="41" borderId="15" xfId="0" applyFont="1" applyFill="1" applyBorder="1"/>
    <xf numFmtId="4" fontId="0" fillId="0" borderId="0" xfId="0" applyNumberFormat="1" applyAlignment="1">
      <alignment horizontal="right"/>
    </xf>
    <xf numFmtId="1" fontId="46" fillId="0" borderId="16" xfId="0" applyNumberFormat="1" applyFont="1" applyBorder="1" applyAlignment="1">
      <alignment horizontal="right"/>
    </xf>
    <xf numFmtId="0" fontId="0" fillId="0" borderId="0" xfId="0" applyAlignment="1"/>
    <xf numFmtId="1" fontId="47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0" fontId="47" fillId="0" borderId="0" xfId="0" applyFont="1"/>
    <xf numFmtId="180" fontId="44" fillId="0" borderId="0" xfId="0" applyNumberFormat="1" applyFont="1" applyAlignment="1">
      <alignment horizontal="center"/>
    </xf>
    <xf numFmtId="180" fontId="44" fillId="0" borderId="0" xfId="0" applyNumberFormat="1" applyFont="1" applyAlignment="1">
      <alignment horizontal="right"/>
    </xf>
    <xf numFmtId="181" fontId="40" fillId="0" borderId="0" xfId="0" applyNumberFormat="1" applyFont="1" applyAlignment="1">
      <alignment horizontal="right"/>
    </xf>
    <xf numFmtId="181" fontId="37" fillId="0" borderId="0" xfId="0" applyNumberFormat="1" applyFont="1"/>
    <xf numFmtId="0" fontId="0" fillId="42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40" borderId="0" xfId="0" applyFill="1" applyAlignment="1">
      <alignment horizontal="center"/>
    </xf>
    <xf numFmtId="172" fontId="32" fillId="0" borderId="0" xfId="0" applyNumberFormat="1" applyFont="1" applyAlignment="1">
      <alignment horizontal="center"/>
    </xf>
    <xf numFmtId="9" fontId="32" fillId="0" borderId="0" xfId="0" applyNumberFormat="1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182" fontId="0" fillId="0" borderId="0" xfId="0" applyNumberForma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2" xfId="45" xr:uid="{9D832B18-F6A1-F540-9988-EC618CBD4CF7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0206055-FA11-F64A-B823-91DC1AD799A3}"/>
    <cellStyle name="Normal 3" xfId="43" xr:uid="{8A5B77D3-BA4C-4E43-BCCB-9436943820DF}"/>
    <cellStyle name="Normal 3 2" xfId="44" xr:uid="{4A938D64-B6AB-964E-8352-E0B300C6780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name val="Source Sans Pro SemiBold"/>
        <scheme val="none"/>
      </font>
    </dxf>
    <dxf>
      <font>
        <strike val="0"/>
        <outline val="0"/>
        <shadow val="0"/>
        <u val="none"/>
        <vertAlign val="baseline"/>
        <sz val="12"/>
        <name val="Source Sans Pro SemiBold"/>
        <scheme val="none"/>
      </font>
    </dxf>
    <dxf>
      <font>
        <strike val="0"/>
        <outline val="0"/>
        <shadow val="0"/>
        <u val="none"/>
        <vertAlign val="baseline"/>
        <sz val="12"/>
        <name val="Source Sans Pro SemiBold"/>
        <scheme val="none"/>
      </font>
    </dxf>
    <dxf>
      <font>
        <strike val="0"/>
        <outline val="0"/>
        <shadow val="0"/>
        <u val="none"/>
        <vertAlign val="baseline"/>
        <sz val="12"/>
        <name val="Source Sans Pro SemiBol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 SemiBold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numFmt numFmtId="3" formatCode="#,##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numFmt numFmtId="3" formatCode="#,##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colors>
    <mruColors>
      <color rgb="FFD53593"/>
      <color rgb="FFE95CAF"/>
      <color rgb="FF407EB6"/>
      <color rgb="FF73B567"/>
      <color rgb="FFFF756D"/>
      <color rgb="FFFF5C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GB"/>
              <a:t>Forest</a:t>
            </a:r>
            <a:r>
              <a:rPr lang="en-GB" baseline="0"/>
              <a:t> Area changes 1990 – 2020 </a:t>
            </a:r>
            <a:br>
              <a:rPr lang="en-GB" baseline="0"/>
            </a:br>
            <a:r>
              <a:rPr lang="en-GB" baseline="0"/>
              <a:t>(vertical axis is log scale)</a:t>
            </a:r>
            <a:endParaRPr lang="en-GB"/>
          </a:p>
        </c:rich>
      </c:tx>
      <c:layout>
        <c:manualLayout>
          <c:xMode val="edge"/>
          <c:yMode val="edge"/>
          <c:x val="0.40832237423229345"/>
          <c:y val="7.72677358258442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data!$B$11</c:f>
              <c:strCache>
                <c:ptCount val="1"/>
                <c:pt idx="0">
                  <c:v>Puerto Rico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data!$C$11:$G$11</c:f>
              <c:numCache>
                <c:formatCode>General</c:formatCode>
                <c:ptCount val="5"/>
                <c:pt idx="0">
                  <c:v>320.33</c:v>
                </c:pt>
                <c:pt idx="1">
                  <c:v>429.15</c:v>
                </c:pt>
                <c:pt idx="2">
                  <c:v>491.45</c:v>
                </c:pt>
                <c:pt idx="3">
                  <c:v>493.88</c:v>
                </c:pt>
                <c:pt idx="4">
                  <c:v>496.33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2D-9E41-9288-E61E1936509E}"/>
            </c:ext>
          </c:extLst>
        </c:ser>
        <c:ser>
          <c:idx val="1"/>
          <c:order val="1"/>
          <c:tx>
            <c:strRef>
              <c:f>data!$B$12</c:f>
              <c:strCache>
                <c:ptCount val="1"/>
                <c:pt idx="0">
                  <c:v>Viet Nam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data!$C$12:$G$12</c:f>
              <c:numCache>
                <c:formatCode>#,##0</c:formatCode>
                <c:ptCount val="5"/>
                <c:pt idx="0">
                  <c:v>9375.9599999999991</c:v>
                </c:pt>
                <c:pt idx="1">
                  <c:v>11784.1</c:v>
                </c:pt>
                <c:pt idx="2">
                  <c:v>13388.06</c:v>
                </c:pt>
                <c:pt idx="3">
                  <c:v>14061.86</c:v>
                </c:pt>
                <c:pt idx="4">
                  <c:v>14643.09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2D-9E41-9288-E61E1936509E}"/>
            </c:ext>
          </c:extLst>
        </c:ser>
        <c:ser>
          <c:idx val="2"/>
          <c:order val="2"/>
          <c:tx>
            <c:strRef>
              <c:f>data!$B$13</c:f>
              <c:strCache>
                <c:ptCount val="1"/>
                <c:pt idx="0">
                  <c:v>Montenegro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data!$C$13:$G$13</c:f>
              <c:numCache>
                <c:formatCode>General</c:formatCode>
                <c:ptCount val="5"/>
                <c:pt idx="0">
                  <c:v>626</c:v>
                </c:pt>
                <c:pt idx="1">
                  <c:v>626</c:v>
                </c:pt>
                <c:pt idx="2">
                  <c:v>827</c:v>
                </c:pt>
                <c:pt idx="3">
                  <c:v>827</c:v>
                </c:pt>
                <c:pt idx="4">
                  <c:v>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2D-9E41-9288-E61E1936509E}"/>
            </c:ext>
          </c:extLst>
        </c:ser>
        <c:ser>
          <c:idx val="3"/>
          <c:order val="3"/>
          <c:tx>
            <c:strRef>
              <c:f>data!$B$14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data!$C$14:$G$14</c:f>
              <c:numCache>
                <c:formatCode>#,##0</c:formatCode>
                <c:ptCount val="5"/>
                <c:pt idx="0">
                  <c:v>2058</c:v>
                </c:pt>
                <c:pt idx="1">
                  <c:v>2435</c:v>
                </c:pt>
                <c:pt idx="2">
                  <c:v>2932</c:v>
                </c:pt>
                <c:pt idx="3">
                  <c:v>3184</c:v>
                </c:pt>
                <c:pt idx="4">
                  <c:v>3242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2D-9E41-9288-E61E1936509E}"/>
            </c:ext>
          </c:extLst>
        </c:ser>
        <c:ser>
          <c:idx val="4"/>
          <c:order val="4"/>
          <c:tx>
            <c:strRef>
              <c:f>data!$B$15</c:f>
              <c:strCache>
                <c:ptCount val="1"/>
                <c:pt idx="0">
                  <c:v>Dominican Republic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data!$C$15:$G$15</c:f>
              <c:numCache>
                <c:formatCode>General</c:formatCode>
                <c:ptCount val="5"/>
                <c:pt idx="0">
                  <c:v>1594.89</c:v>
                </c:pt>
                <c:pt idx="1">
                  <c:v>1972.47</c:v>
                </c:pt>
                <c:pt idx="2">
                  <c:v>2073.12</c:v>
                </c:pt>
                <c:pt idx="3">
                  <c:v>2103.65</c:v>
                </c:pt>
                <c:pt idx="4">
                  <c:v>2144.1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2D-9E41-9288-E61E1936509E}"/>
            </c:ext>
          </c:extLst>
        </c:ser>
        <c:ser>
          <c:idx val="5"/>
          <c:order val="5"/>
          <c:tx>
            <c:strRef>
              <c:f>data!$B$16</c:f>
              <c:strCache>
                <c:ptCount val="1"/>
                <c:pt idx="0">
                  <c:v>Fiji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data!$C$16:$G$16</c:f>
              <c:numCache>
                <c:formatCode>General</c:formatCode>
                <c:ptCount val="5"/>
                <c:pt idx="0">
                  <c:v>939.69</c:v>
                </c:pt>
                <c:pt idx="1">
                  <c:v>1006.47</c:v>
                </c:pt>
                <c:pt idx="2">
                  <c:v>1073.24</c:v>
                </c:pt>
                <c:pt idx="3">
                  <c:v>1106.6199999999999</c:v>
                </c:pt>
                <c:pt idx="4">
                  <c:v>1140.02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2D-9E41-9288-E61E1936509E}"/>
            </c:ext>
          </c:extLst>
        </c:ser>
        <c:ser>
          <c:idx val="6"/>
          <c:order val="6"/>
          <c:tx>
            <c:strRef>
              <c:f>data!$B$17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data!$C$17:$G$17</c:f>
              <c:numCache>
                <c:formatCode>#,##0</c:formatCode>
                <c:ptCount val="5"/>
                <c:pt idx="0">
                  <c:v>13904.66</c:v>
                </c:pt>
                <c:pt idx="1">
                  <c:v>17093.93</c:v>
                </c:pt>
                <c:pt idx="2">
                  <c:v>18545.34</c:v>
                </c:pt>
                <c:pt idx="3">
                  <c:v>18551.18</c:v>
                </c:pt>
                <c:pt idx="4">
                  <c:v>18572.169999999998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2D-9E41-9288-E61E1936509E}"/>
            </c:ext>
          </c:extLst>
        </c:ser>
        <c:ser>
          <c:idx val="7"/>
          <c:order val="7"/>
          <c:tx>
            <c:strRef>
              <c:f>data!$B$18</c:f>
              <c:strCache>
                <c:ptCount val="1"/>
                <c:pt idx="0">
                  <c:v>Cabo Verde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data!$C$18:$G$18</c:f>
              <c:numCache>
                <c:formatCode>General</c:formatCode>
                <c:ptCount val="5"/>
                <c:pt idx="0">
                  <c:v>15.38</c:v>
                </c:pt>
                <c:pt idx="1">
                  <c:v>39.72</c:v>
                </c:pt>
                <c:pt idx="2">
                  <c:v>42.72</c:v>
                </c:pt>
                <c:pt idx="3">
                  <c:v>44.22</c:v>
                </c:pt>
                <c:pt idx="4">
                  <c:v>45.72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2D-9E41-9288-E61E1936509E}"/>
            </c:ext>
          </c:extLst>
        </c:ser>
        <c:ser>
          <c:idx val="8"/>
          <c:order val="8"/>
          <c:tx>
            <c:strRef>
              <c:f>data!$B$19</c:f>
              <c:strCache>
                <c:ptCount val="1"/>
                <c:pt idx="0">
                  <c:v>Guam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data!$C$19:$G$19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25</c:v>
                </c:pt>
                <c:pt idx="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2D-9E41-9288-E61E1936509E}"/>
            </c:ext>
          </c:extLst>
        </c:ser>
        <c:ser>
          <c:idx val="9"/>
          <c:order val="9"/>
          <c:tx>
            <c:strRef>
              <c:f>data!$B$20</c:f>
              <c:strCache>
                <c:ptCount val="1"/>
                <c:pt idx="0">
                  <c:v>Palau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data!$C$20:$G$20</c:f>
              <c:numCache>
                <c:formatCode>General</c:formatCode>
                <c:ptCount val="5"/>
                <c:pt idx="0">
                  <c:v>38.15</c:v>
                </c:pt>
                <c:pt idx="1">
                  <c:v>39.58</c:v>
                </c:pt>
                <c:pt idx="2">
                  <c:v>40.56</c:v>
                </c:pt>
                <c:pt idx="3">
                  <c:v>40.99</c:v>
                </c:pt>
                <c:pt idx="4">
                  <c:v>41.41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82D-9E41-9288-E61E1936509E}"/>
            </c:ext>
          </c:extLst>
        </c:ser>
        <c:ser>
          <c:idx val="10"/>
          <c:order val="10"/>
          <c:tx>
            <c:strRef>
              <c:f>data!$B$21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data!$C$21:$G$21</c:f>
              <c:numCache>
                <c:formatCode>#,##0</c:formatCode>
                <c:ptCount val="5"/>
                <c:pt idx="0">
                  <c:v>798</c:v>
                </c:pt>
                <c:pt idx="1">
                  <c:v>1369</c:v>
                </c:pt>
                <c:pt idx="2">
                  <c:v>1731.3</c:v>
                </c:pt>
                <c:pt idx="3">
                  <c:v>1920</c:v>
                </c:pt>
                <c:pt idx="4">
                  <c:v>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82D-9E41-9288-E61E1936509E}"/>
            </c:ext>
          </c:extLst>
        </c:ser>
        <c:ser>
          <c:idx val="11"/>
          <c:order val="11"/>
          <c:tx>
            <c:strRef>
              <c:f>data!$B$22</c:f>
              <c:strCache>
                <c:ptCount val="1"/>
                <c:pt idx="0">
                  <c:v>Jamaica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data!$C$22:$G$22</c:f>
              <c:numCache>
                <c:formatCode>General</c:formatCode>
                <c:ptCount val="5"/>
                <c:pt idx="0">
                  <c:v>521.28</c:v>
                </c:pt>
                <c:pt idx="1">
                  <c:v>521</c:v>
                </c:pt>
                <c:pt idx="2">
                  <c:v>558.45000000000005</c:v>
                </c:pt>
                <c:pt idx="3">
                  <c:v>577.46</c:v>
                </c:pt>
                <c:pt idx="4">
                  <c:v>596.89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82D-9E41-9288-E61E1936509E}"/>
            </c:ext>
          </c:extLst>
        </c:ser>
        <c:ser>
          <c:idx val="12"/>
          <c:order val="12"/>
          <c:tx>
            <c:strRef>
              <c:f>data!$B$23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data!$C$23:$G$23</c:f>
              <c:numCache>
                <c:formatCode>#,##0</c:formatCode>
                <c:ptCount val="5"/>
                <c:pt idx="0">
                  <c:v>7589.75</c:v>
                </c:pt>
                <c:pt idx="1">
                  <c:v>8369.25</c:v>
                </c:pt>
                <c:pt idx="2">
                  <c:v>9028.0400000000009</c:v>
                </c:pt>
                <c:pt idx="3">
                  <c:v>9297.08</c:v>
                </c:pt>
                <c:pt idx="4">
                  <c:v>9566.1299999999992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82D-9E41-9288-E61E1936509E}"/>
            </c:ext>
          </c:extLst>
        </c:ser>
        <c:ser>
          <c:idx val="13"/>
          <c:order val="13"/>
          <c:tx>
            <c:strRef>
              <c:f>data!$B$24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data!$C$24:$G$24</c:f>
              <c:numCache>
                <c:formatCode>#,##0</c:formatCode>
                <c:ptCount val="5"/>
                <c:pt idx="0">
                  <c:v>157140.59</c:v>
                </c:pt>
                <c:pt idx="1">
                  <c:v>177000.55</c:v>
                </c:pt>
                <c:pt idx="2">
                  <c:v>200610.38</c:v>
                </c:pt>
                <c:pt idx="3">
                  <c:v>210294.25</c:v>
                </c:pt>
                <c:pt idx="4">
                  <c:v>219978.18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82D-9E41-9288-E61E1936509E}"/>
            </c:ext>
          </c:extLst>
        </c:ser>
        <c:ser>
          <c:idx val="14"/>
          <c:order val="14"/>
          <c:tx>
            <c:strRef>
              <c:f>data!$B$25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data!$C$25:$G$25</c:f>
              <c:numCache>
                <c:formatCode>General</c:formatCode>
                <c:ptCount val="5"/>
                <c:pt idx="0">
                  <c:v>2506.7199999999998</c:v>
                </c:pt>
                <c:pt idx="1">
                  <c:v>2606</c:v>
                </c:pt>
                <c:pt idx="2">
                  <c:v>2705.29</c:v>
                </c:pt>
                <c:pt idx="3">
                  <c:v>2715.18</c:v>
                </c:pt>
                <c:pt idx="4">
                  <c:v>2725.08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82D-9E41-9288-E61E1936509E}"/>
            </c:ext>
          </c:extLst>
        </c:ser>
        <c:ser>
          <c:idx val="15"/>
          <c:order val="15"/>
          <c:tx>
            <c:strRef>
              <c:f>data!$B$26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data!$C$26:$G$26</c:f>
              <c:numCache>
                <c:formatCode>General</c:formatCode>
                <c:ptCount val="5"/>
                <c:pt idx="0">
                  <c:v>2205.9</c:v>
                </c:pt>
                <c:pt idx="1">
                  <c:v>2238.89</c:v>
                </c:pt>
                <c:pt idx="2">
                  <c:v>2336.02</c:v>
                </c:pt>
                <c:pt idx="3">
                  <c:v>2421.0100000000002</c:v>
                </c:pt>
                <c:pt idx="4">
                  <c:v>2438.4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82D-9E41-9288-E61E1936509E}"/>
            </c:ext>
          </c:extLst>
        </c:ser>
        <c:ser>
          <c:idx val="16"/>
          <c:order val="16"/>
          <c:tx>
            <c:strRef>
              <c:f>data!$B$27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data!$C$27:$G$27</c:f>
              <c:numCache>
                <c:formatCode>#,##0</c:formatCode>
                <c:ptCount val="5"/>
                <c:pt idx="0">
                  <c:v>3327</c:v>
                </c:pt>
                <c:pt idx="1">
                  <c:v>3375</c:v>
                </c:pt>
                <c:pt idx="2">
                  <c:v>3737</c:v>
                </c:pt>
                <c:pt idx="3">
                  <c:v>3833</c:v>
                </c:pt>
                <c:pt idx="4">
                  <c:v>3893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82D-9E41-9288-E61E1936509E}"/>
            </c:ext>
          </c:extLst>
        </c:ser>
        <c:ser>
          <c:idx val="17"/>
          <c:order val="17"/>
          <c:tx>
            <c:strRef>
              <c:f>data!$B$28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data!$C$28:$G$28</c:f>
              <c:numCache>
                <c:formatCode>#,##0</c:formatCode>
                <c:ptCount val="5"/>
                <c:pt idx="0">
                  <c:v>14436</c:v>
                </c:pt>
                <c:pt idx="1">
                  <c:v>15288</c:v>
                </c:pt>
                <c:pt idx="2">
                  <c:v>16419</c:v>
                </c:pt>
                <c:pt idx="3">
                  <c:v>16836</c:v>
                </c:pt>
                <c:pt idx="4">
                  <c:v>17253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82D-9E41-9288-E61E1936509E}"/>
            </c:ext>
          </c:extLst>
        </c:ser>
        <c:ser>
          <c:idx val="18"/>
          <c:order val="18"/>
          <c:tx>
            <c:strRef>
              <c:f>data!$B$29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data!$C$29:$G$29</c:f>
              <c:numCache>
                <c:formatCode>#,##0</c:formatCode>
                <c:ptCount val="5"/>
                <c:pt idx="0">
                  <c:v>7780</c:v>
                </c:pt>
                <c:pt idx="1">
                  <c:v>8273</c:v>
                </c:pt>
                <c:pt idx="2">
                  <c:v>8630</c:v>
                </c:pt>
                <c:pt idx="3">
                  <c:v>8633.5</c:v>
                </c:pt>
                <c:pt idx="4">
                  <c:v>8767.6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82D-9E41-9288-E61E1936509E}"/>
            </c:ext>
          </c:extLst>
        </c:ser>
        <c:ser>
          <c:idx val="19"/>
          <c:order val="19"/>
          <c:tx>
            <c:strRef>
              <c:f>data!$B$30</c:f>
              <c:strCache>
                <c:ptCount val="1"/>
                <c:pt idx="0">
                  <c:v>Serbia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data!$C$30:$G$30</c:f>
              <c:numCache>
                <c:formatCode>#,##0</c:formatCode>
                <c:ptCount val="5"/>
                <c:pt idx="0">
                  <c:v>2313</c:v>
                </c:pt>
                <c:pt idx="1">
                  <c:v>2460</c:v>
                </c:pt>
                <c:pt idx="2">
                  <c:v>2713</c:v>
                </c:pt>
                <c:pt idx="3">
                  <c:v>2719.53</c:v>
                </c:pt>
                <c:pt idx="4">
                  <c:v>2722.65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82D-9E41-9288-E61E1936509E}"/>
            </c:ext>
          </c:extLst>
        </c:ser>
        <c:ser>
          <c:idx val="20"/>
          <c:order val="20"/>
          <c:tx>
            <c:strRef>
              <c:f>data!$B$31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data!$C$31:$G$31</c:f>
              <c:numCache>
                <c:formatCode>#,##0</c:formatCode>
                <c:ptCount val="5"/>
                <c:pt idx="0">
                  <c:v>3298.55</c:v>
                </c:pt>
                <c:pt idx="1">
                  <c:v>3600.23</c:v>
                </c:pt>
                <c:pt idx="2">
                  <c:v>3901.8</c:v>
                </c:pt>
                <c:pt idx="3">
                  <c:v>3901.8</c:v>
                </c:pt>
                <c:pt idx="4">
                  <c:v>3901.8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82D-9E41-9288-E61E1936509E}"/>
            </c:ext>
          </c:extLst>
        </c:ser>
        <c:ser>
          <c:idx val="21"/>
          <c:order val="21"/>
          <c:tx>
            <c:strRef>
              <c:f>data!$B$32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data!$C$32:$G$32</c:f>
              <c:numCache>
                <c:formatCode>#,##0</c:formatCode>
                <c:ptCount val="5"/>
                <c:pt idx="0">
                  <c:v>461.64</c:v>
                </c:pt>
                <c:pt idx="1">
                  <c:v>630.36</c:v>
                </c:pt>
                <c:pt idx="2">
                  <c:v>720.38</c:v>
                </c:pt>
                <c:pt idx="3">
                  <c:v>754.67</c:v>
                </c:pt>
                <c:pt idx="4">
                  <c:v>782.02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82D-9E41-9288-E61E1936509E}"/>
            </c:ext>
          </c:extLst>
        </c:ser>
        <c:ser>
          <c:idx val="22"/>
          <c:order val="22"/>
          <c:tx>
            <c:strRef>
              <c:f>data!$B$33</c:f>
              <c:strCache>
                <c:ptCount val="1"/>
                <c:pt idx="0">
                  <c:v>Martinique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data!$C$33:$G$33</c:f>
              <c:numCache>
                <c:formatCode>General</c:formatCode>
                <c:ptCount val="5"/>
                <c:pt idx="0">
                  <c:v>47.84</c:v>
                </c:pt>
                <c:pt idx="1">
                  <c:v>48.74</c:v>
                </c:pt>
                <c:pt idx="2">
                  <c:v>50.29</c:v>
                </c:pt>
                <c:pt idx="3">
                  <c:v>51.29</c:v>
                </c:pt>
                <c:pt idx="4">
                  <c:v>52.29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82D-9E41-9288-E61E1936509E}"/>
            </c:ext>
          </c:extLst>
        </c:ser>
        <c:ser>
          <c:idx val="23"/>
          <c:order val="23"/>
          <c:tx>
            <c:strRef>
              <c:f>data!$B$34</c:f>
              <c:strCache>
                <c:ptCount val="1"/>
                <c:pt idx="0">
                  <c:v>Réunion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data!$C$34:$G$34</c:f>
              <c:numCache>
                <c:formatCode>General</c:formatCode>
                <c:ptCount val="5"/>
                <c:pt idx="0">
                  <c:v>87.95</c:v>
                </c:pt>
                <c:pt idx="1">
                  <c:v>90.97</c:v>
                </c:pt>
                <c:pt idx="2">
                  <c:v>93.99</c:v>
                </c:pt>
                <c:pt idx="3">
                  <c:v>96.04</c:v>
                </c:pt>
                <c:pt idx="4">
                  <c:v>98.44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82D-9E41-9288-E61E1936509E}"/>
            </c:ext>
          </c:extLst>
        </c:ser>
        <c:ser>
          <c:idx val="24"/>
          <c:order val="24"/>
          <c:tx>
            <c:strRef>
              <c:f>data!$B$35</c:f>
              <c:strCache>
                <c:ptCount val="1"/>
                <c:pt idx="0">
                  <c:v>Lithuania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data!$C$35:$G$35</c:f>
              <c:numCache>
                <c:formatCode>#,##0</c:formatCode>
                <c:ptCount val="5"/>
                <c:pt idx="0">
                  <c:v>1945</c:v>
                </c:pt>
                <c:pt idx="1">
                  <c:v>2020</c:v>
                </c:pt>
                <c:pt idx="2">
                  <c:v>2170</c:v>
                </c:pt>
                <c:pt idx="3">
                  <c:v>2187</c:v>
                </c:pt>
                <c:pt idx="4">
                  <c:v>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82D-9E41-9288-E61E1936509E}"/>
            </c:ext>
          </c:extLst>
        </c:ser>
        <c:ser>
          <c:idx val="25"/>
          <c:order val="25"/>
          <c:tx>
            <c:strRef>
              <c:f>data!$B$36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data!$C$36:$G$36</c:f>
              <c:numCache>
                <c:formatCode>#,##0</c:formatCode>
                <c:ptCount val="5"/>
                <c:pt idx="0">
                  <c:v>15246.05</c:v>
                </c:pt>
                <c:pt idx="1">
                  <c:v>15817.06</c:v>
                </c:pt>
                <c:pt idx="2">
                  <c:v>16725.259999999998</c:v>
                </c:pt>
                <c:pt idx="3">
                  <c:v>17596.080000000002</c:v>
                </c:pt>
                <c:pt idx="4">
                  <c:v>18210.7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82D-9E41-9288-E61E1936509E}"/>
            </c:ext>
          </c:extLst>
        </c:ser>
        <c:ser>
          <c:idx val="26"/>
          <c:order val="26"/>
          <c:tx>
            <c:strRef>
              <c:f>data!$B$37</c:f>
              <c:strCache>
                <c:ptCount val="1"/>
                <c:pt idx="0">
                  <c:v>Latvia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data!$C$37:$G$37</c:f>
              <c:numCache>
                <c:formatCode>#,##0</c:formatCode>
                <c:ptCount val="5"/>
                <c:pt idx="0">
                  <c:v>3173</c:v>
                </c:pt>
                <c:pt idx="1">
                  <c:v>3241</c:v>
                </c:pt>
                <c:pt idx="2">
                  <c:v>3372.12</c:v>
                </c:pt>
                <c:pt idx="3">
                  <c:v>3391.44</c:v>
                </c:pt>
                <c:pt idx="4">
                  <c:v>3410.79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82D-9E41-9288-E61E1936509E}"/>
            </c:ext>
          </c:extLst>
        </c:ser>
        <c:ser>
          <c:idx val="27"/>
          <c:order val="27"/>
          <c:tx>
            <c:strRef>
              <c:f>data!$B$38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data!$C$38:$G$38</c:f>
              <c:numCache>
                <c:formatCode>General</c:formatCode>
                <c:ptCount val="5"/>
                <c:pt idx="0">
                  <c:v>912</c:v>
                </c:pt>
                <c:pt idx="1">
                  <c:v>957.55</c:v>
                </c:pt>
                <c:pt idx="2">
                  <c:v>960.43</c:v>
                </c:pt>
                <c:pt idx="3">
                  <c:v>994.4</c:v>
                </c:pt>
                <c:pt idx="4">
                  <c:v>1001.49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82D-9E41-9288-E61E1936509E}"/>
            </c:ext>
          </c:extLst>
        </c:ser>
        <c:ser>
          <c:idx val="28"/>
          <c:order val="28"/>
          <c:tx>
            <c:strRef>
              <c:f>data!$B$39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data!$C$39:$G$39</c:f>
              <c:numCache>
                <c:formatCode>#,##0</c:formatCode>
                <c:ptCount val="5"/>
                <c:pt idx="0">
                  <c:v>19783.48</c:v>
                </c:pt>
                <c:pt idx="1">
                  <c:v>20148.349999999999</c:v>
                </c:pt>
                <c:pt idx="2">
                  <c:v>21083.08</c:v>
                </c:pt>
                <c:pt idx="3">
                  <c:v>21630.3</c:v>
                </c:pt>
                <c:pt idx="4">
                  <c:v>22220.36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82D-9E41-9288-E61E1936509E}"/>
            </c:ext>
          </c:extLst>
        </c:ser>
        <c:ser>
          <c:idx val="29"/>
          <c:order val="29"/>
          <c:tx>
            <c:strRef>
              <c:f>data!$B$40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data!$C$40:$G$40</c:f>
              <c:numCache>
                <c:formatCode>General</c:formatCode>
                <c:ptCount val="5"/>
                <c:pt idx="0">
                  <c:v>1153.5</c:v>
                </c:pt>
                <c:pt idx="1">
                  <c:v>1196.18</c:v>
                </c:pt>
                <c:pt idx="2">
                  <c:v>1234.72</c:v>
                </c:pt>
                <c:pt idx="3">
                  <c:v>1251.9100000000001</c:v>
                </c:pt>
                <c:pt idx="4">
                  <c:v>1269.1099999999999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82D-9E41-9288-E61E1936509E}"/>
            </c:ext>
          </c:extLst>
        </c:ser>
        <c:ser>
          <c:idx val="30"/>
          <c:order val="30"/>
          <c:tx>
            <c:strRef>
              <c:f>data!$B$41</c:f>
              <c:strCache>
                <c:ptCount val="1"/>
                <c:pt idx="0">
                  <c:v>Cook Islands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data!$C$41:$G$41</c:f>
              <c:numCache>
                <c:formatCode>General</c:formatCode>
                <c:ptCount val="5"/>
                <c:pt idx="0">
                  <c:v>14.91</c:v>
                </c:pt>
                <c:pt idx="1">
                  <c:v>15.57</c:v>
                </c:pt>
                <c:pt idx="2">
                  <c:v>15.59</c:v>
                </c:pt>
                <c:pt idx="3">
                  <c:v>15.59</c:v>
                </c:pt>
                <c:pt idx="4">
                  <c:v>15.59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82D-9E41-9288-E61E1936509E}"/>
            </c:ext>
          </c:extLst>
        </c:ser>
        <c:ser>
          <c:idx val="31"/>
          <c:order val="31"/>
          <c:tx>
            <c:strRef>
              <c:f>data!$B$42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data!$C$42:$G$42</c:f>
              <c:numCache>
                <c:formatCode>#,##0</c:formatCode>
                <c:ptCount val="5"/>
                <c:pt idx="0">
                  <c:v>63938</c:v>
                </c:pt>
                <c:pt idx="1">
                  <c:v>67591</c:v>
                </c:pt>
                <c:pt idx="2">
                  <c:v>69496</c:v>
                </c:pt>
                <c:pt idx="3">
                  <c:v>70828</c:v>
                </c:pt>
                <c:pt idx="4">
                  <c:v>72160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82D-9E41-9288-E61E1936509E}"/>
            </c:ext>
          </c:extLst>
        </c:ser>
        <c:ser>
          <c:idx val="32"/>
          <c:order val="32"/>
          <c:tx>
            <c:strRef>
              <c:f>data!$B$43</c:f>
              <c:strCache>
                <c:ptCount val="1"/>
                <c:pt idx="0">
                  <c:v>Uzbekistan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data!$C$43:$G$43</c:f>
              <c:numCache>
                <c:formatCode>#,##0</c:formatCode>
                <c:ptCount val="5"/>
                <c:pt idx="0">
                  <c:v>2549.37</c:v>
                </c:pt>
                <c:pt idx="1">
                  <c:v>2961.46</c:v>
                </c:pt>
                <c:pt idx="2">
                  <c:v>3349.6</c:v>
                </c:pt>
                <c:pt idx="3">
                  <c:v>3549.4</c:v>
                </c:pt>
                <c:pt idx="4">
                  <c:v>3689.66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82D-9E41-9288-E61E1936509E}"/>
            </c:ext>
          </c:extLst>
        </c:ser>
        <c:ser>
          <c:idx val="33"/>
          <c:order val="33"/>
          <c:tx>
            <c:strRef>
              <c:f>data!$B$44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data!$C$44:$G$44</c:f>
              <c:numCache>
                <c:formatCode>#,##0</c:formatCode>
                <c:ptCount val="5"/>
                <c:pt idx="0">
                  <c:v>1813.9</c:v>
                </c:pt>
                <c:pt idx="1">
                  <c:v>1921.17</c:v>
                </c:pt>
                <c:pt idx="2">
                  <c:v>2046.39</c:v>
                </c:pt>
                <c:pt idx="3">
                  <c:v>2060.8200000000002</c:v>
                </c:pt>
                <c:pt idx="4">
                  <c:v>2053.0100000000002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82D-9E41-9288-E61E1936509E}"/>
            </c:ext>
          </c:extLst>
        </c:ser>
        <c:ser>
          <c:idx val="34"/>
          <c:order val="34"/>
          <c:tx>
            <c:strRef>
              <c:f>data!$B$45</c:f>
              <c:strCache>
                <c:ptCount val="1"/>
                <c:pt idx="0">
                  <c:v>Saint Vincent and the Grenadines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data!$C$45:$G$45</c:f>
              <c:numCache>
                <c:formatCode>General</c:formatCode>
                <c:ptCount val="5"/>
                <c:pt idx="0">
                  <c:v>27.54</c:v>
                </c:pt>
                <c:pt idx="1">
                  <c:v>28.54</c:v>
                </c:pt>
                <c:pt idx="2">
                  <c:v>28.54</c:v>
                </c:pt>
                <c:pt idx="3">
                  <c:v>28.54</c:v>
                </c:pt>
                <c:pt idx="4">
                  <c:v>28.54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82D-9E41-9288-E61E1936509E}"/>
            </c:ext>
          </c:extLst>
        </c:ser>
        <c:ser>
          <c:idx val="35"/>
          <c:order val="35"/>
          <c:tx>
            <c:strRef>
              <c:f>data!$B$46</c:f>
              <c:strCache>
                <c:ptCount val="1"/>
                <c:pt idx="0">
                  <c:v>Costa Rica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data!$C$46:$G$46</c:f>
              <c:numCache>
                <c:formatCode>#,##0</c:formatCode>
                <c:ptCount val="5"/>
                <c:pt idx="0">
                  <c:v>2907.4</c:v>
                </c:pt>
                <c:pt idx="1">
                  <c:v>2857.22</c:v>
                </c:pt>
                <c:pt idx="2">
                  <c:v>2871.2</c:v>
                </c:pt>
                <c:pt idx="3">
                  <c:v>2953.03</c:v>
                </c:pt>
                <c:pt idx="4">
                  <c:v>3034.87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82D-9E41-9288-E61E1936509E}"/>
            </c:ext>
          </c:extLst>
        </c:ser>
        <c:ser>
          <c:idx val="36"/>
          <c:order val="36"/>
          <c:tx>
            <c:strRef>
              <c:f>data!$B$47</c:f>
              <c:strCache>
                <c:ptCount val="1"/>
                <c:pt idx="0">
                  <c:v>Slovenia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data!$C$47:$G$47</c:f>
              <c:numCache>
                <c:formatCode>General</c:formatCode>
                <c:ptCount val="5"/>
                <c:pt idx="0">
                  <c:v>1188</c:v>
                </c:pt>
                <c:pt idx="1">
                  <c:v>1233</c:v>
                </c:pt>
                <c:pt idx="2">
                  <c:v>1247</c:v>
                </c:pt>
                <c:pt idx="3">
                  <c:v>1248</c:v>
                </c:pt>
                <c:pt idx="4">
                  <c:v>1237.83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82D-9E41-9288-E61E1936509E}"/>
            </c:ext>
          </c:extLst>
        </c:ser>
        <c:ser>
          <c:idx val="37"/>
          <c:order val="37"/>
          <c:tx>
            <c:strRef>
              <c:f>data!$B$48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data!$C$48:$G$48</c:f>
              <c:numCache>
                <c:formatCode>#,##0</c:formatCode>
                <c:ptCount val="5"/>
                <c:pt idx="0">
                  <c:v>6371</c:v>
                </c:pt>
                <c:pt idx="1">
                  <c:v>6366</c:v>
                </c:pt>
                <c:pt idx="2">
                  <c:v>6515</c:v>
                </c:pt>
                <c:pt idx="3">
                  <c:v>6900.96</c:v>
                </c:pt>
                <c:pt idx="4">
                  <c:v>6929.05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2D-9E41-9288-E61E1936509E}"/>
            </c:ext>
          </c:extLst>
        </c:ser>
        <c:ser>
          <c:idx val="38"/>
          <c:order val="38"/>
          <c:tx>
            <c:strRef>
              <c:f>data!$B$49</c:f>
              <c:strCache>
                <c:ptCount val="1"/>
                <c:pt idx="0">
                  <c:v>Guernsey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data!$C$49:$G$49</c:f>
              <c:numCache>
                <c:formatCode>General</c:formatCode>
                <c:ptCount val="5"/>
                <c:pt idx="0">
                  <c:v>0.23</c:v>
                </c:pt>
                <c:pt idx="1">
                  <c:v>0.23</c:v>
                </c:pt>
                <c:pt idx="2">
                  <c:v>0.42</c:v>
                </c:pt>
                <c:pt idx="3">
                  <c:v>0.42</c:v>
                </c:pt>
                <c:pt idx="4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82D-9E41-9288-E61E1936509E}"/>
            </c:ext>
          </c:extLst>
        </c:ser>
        <c:ser>
          <c:idx val="39"/>
          <c:order val="39"/>
          <c:tx>
            <c:strRef>
              <c:f>data!$B$50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data!$C$50:$G$50</c:f>
              <c:numCache>
                <c:formatCode>General</c:formatCode>
                <c:ptCount val="5"/>
                <c:pt idx="0">
                  <c:v>531.44000000000005</c:v>
                </c:pt>
                <c:pt idx="1">
                  <c:v>571.6</c:v>
                </c:pt>
                <c:pt idx="2">
                  <c:v>586.49</c:v>
                </c:pt>
                <c:pt idx="3">
                  <c:v>624.67999999999995</c:v>
                </c:pt>
                <c:pt idx="4">
                  <c:v>628.44000000000005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82D-9E41-9288-E61E1936509E}"/>
            </c:ext>
          </c:extLst>
        </c:ser>
        <c:ser>
          <c:idx val="40"/>
          <c:order val="40"/>
          <c:tx>
            <c:strRef>
              <c:f>data!$B$51</c:f>
              <c:strCache>
                <c:ptCount val="1"/>
                <c:pt idx="0">
                  <c:v>Azerbaijan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data!$C$51:$G$51</c:f>
              <c:numCache>
                <c:formatCode>#,##0</c:formatCode>
                <c:ptCount val="5"/>
                <c:pt idx="0">
                  <c:v>944.74</c:v>
                </c:pt>
                <c:pt idx="1">
                  <c:v>987.22</c:v>
                </c:pt>
                <c:pt idx="2">
                  <c:v>1032.49</c:v>
                </c:pt>
                <c:pt idx="3">
                  <c:v>1077.8900000000001</c:v>
                </c:pt>
                <c:pt idx="4">
                  <c:v>1131.77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82D-9E41-9288-E61E1936509E}"/>
            </c:ext>
          </c:extLst>
        </c:ser>
        <c:ser>
          <c:idx val="41"/>
          <c:order val="41"/>
          <c:tx>
            <c:strRef>
              <c:f>data!$B$52</c:f>
              <c:strCache>
                <c:ptCount val="1"/>
                <c:pt idx="0">
                  <c:v>Eswatini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data!$C$52:$G$52</c:f>
              <c:numCache>
                <c:formatCode>General</c:formatCode>
                <c:ptCount val="5"/>
                <c:pt idx="0">
                  <c:v>461.14</c:v>
                </c:pt>
                <c:pt idx="1">
                  <c:v>473.28</c:v>
                </c:pt>
                <c:pt idx="2">
                  <c:v>485.43</c:v>
                </c:pt>
                <c:pt idx="3">
                  <c:v>491.5</c:v>
                </c:pt>
                <c:pt idx="4">
                  <c:v>497.56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82D-9E41-9288-E61E1936509E}"/>
            </c:ext>
          </c:extLst>
        </c:ser>
        <c:ser>
          <c:idx val="42"/>
          <c:order val="42"/>
          <c:tx>
            <c:strRef>
              <c:f>data!$B$53</c:f>
              <c:strCache>
                <c:ptCount val="1"/>
                <c:pt idx="0">
                  <c:v>Nepal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data!$C$53:$G$53</c:f>
              <c:numCache>
                <c:formatCode>#,##0</c:formatCode>
                <c:ptCount val="5"/>
                <c:pt idx="0">
                  <c:v>5672</c:v>
                </c:pt>
                <c:pt idx="1">
                  <c:v>5780.76</c:v>
                </c:pt>
                <c:pt idx="2">
                  <c:v>5962.03</c:v>
                </c:pt>
                <c:pt idx="3">
                  <c:v>5962.03</c:v>
                </c:pt>
                <c:pt idx="4">
                  <c:v>5962.03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82D-9E41-9288-E61E1936509E}"/>
            </c:ext>
          </c:extLst>
        </c:ser>
        <c:ser>
          <c:idx val="43"/>
          <c:order val="43"/>
          <c:tx>
            <c:strRef>
              <c:f>data!$B$54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data!$C$54:$G$54</c:f>
              <c:numCache>
                <c:formatCode>#,##0</c:formatCode>
                <c:ptCount val="5"/>
                <c:pt idx="0">
                  <c:v>9372.27</c:v>
                </c:pt>
                <c:pt idx="1">
                  <c:v>9850.44</c:v>
                </c:pt>
                <c:pt idx="2">
                  <c:v>9848.1200000000008</c:v>
                </c:pt>
                <c:pt idx="3">
                  <c:v>9846.61</c:v>
                </c:pt>
                <c:pt idx="4">
                  <c:v>9892.59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82D-9E41-9288-E61E1936509E}"/>
            </c:ext>
          </c:extLst>
        </c:ser>
        <c:ser>
          <c:idx val="44"/>
          <c:order val="44"/>
          <c:tx>
            <c:strRef>
              <c:f>data!$B$55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data!$C$55:$G$55</c:f>
              <c:numCache>
                <c:formatCode>#,##0</c:formatCode>
                <c:ptCount val="5"/>
                <c:pt idx="0">
                  <c:v>8882</c:v>
                </c:pt>
                <c:pt idx="1">
                  <c:v>9059</c:v>
                </c:pt>
                <c:pt idx="2">
                  <c:v>9329</c:v>
                </c:pt>
                <c:pt idx="3">
                  <c:v>9420</c:v>
                </c:pt>
                <c:pt idx="4">
                  <c:v>9483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82D-9E41-9288-E61E1936509E}"/>
            </c:ext>
          </c:extLst>
        </c:ser>
        <c:ser>
          <c:idx val="45"/>
          <c:order val="45"/>
          <c:tx>
            <c:strRef>
              <c:f>data!$B$56</c:f>
              <c:strCache>
                <c:ptCount val="1"/>
                <c:pt idx="0">
                  <c:v>Republic of Moldova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data!$C$56:$G$56</c:f>
              <c:numCache>
                <c:formatCode>General</c:formatCode>
                <c:ptCount val="5"/>
                <c:pt idx="0">
                  <c:v>325.39999999999998</c:v>
                </c:pt>
                <c:pt idx="1">
                  <c:v>344.4</c:v>
                </c:pt>
                <c:pt idx="2">
                  <c:v>374.5</c:v>
                </c:pt>
                <c:pt idx="3">
                  <c:v>386.4</c:v>
                </c:pt>
                <c:pt idx="4">
                  <c:v>386.5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82D-9E41-9288-E61E1936509E}"/>
            </c:ext>
          </c:extLst>
        </c:ser>
        <c:ser>
          <c:idx val="46"/>
          <c:order val="46"/>
          <c:tx>
            <c:strRef>
              <c:f>data!$B$57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data!$C$57:$G$57</c:f>
              <c:numCache>
                <c:formatCode>#,##0</c:formatCode>
                <c:ptCount val="5"/>
                <c:pt idx="0">
                  <c:v>21875.33</c:v>
                </c:pt>
                <c:pt idx="1">
                  <c:v>22445.64</c:v>
                </c:pt>
                <c:pt idx="2">
                  <c:v>22242</c:v>
                </c:pt>
                <c:pt idx="3">
                  <c:v>22409</c:v>
                </c:pt>
                <c:pt idx="4">
                  <c:v>22409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82D-9E41-9288-E61E1936509E}"/>
            </c:ext>
          </c:extLst>
        </c:ser>
        <c:ser>
          <c:idx val="47"/>
          <c:order val="47"/>
          <c:tx>
            <c:strRef>
              <c:f>data!$B$58</c:f>
              <c:strCache>
                <c:ptCount val="1"/>
                <c:pt idx="0">
                  <c:v>United Kingdom of Great Britain and Northern Ireland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data!$C$58:$G$58</c:f>
              <c:numCache>
                <c:formatCode>#,##0</c:formatCode>
                <c:ptCount val="5"/>
                <c:pt idx="0">
                  <c:v>2778</c:v>
                </c:pt>
                <c:pt idx="1">
                  <c:v>2954</c:v>
                </c:pt>
                <c:pt idx="2">
                  <c:v>3059</c:v>
                </c:pt>
                <c:pt idx="3">
                  <c:v>3155</c:v>
                </c:pt>
                <c:pt idx="4">
                  <c:v>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82D-9E41-9288-E61E1936509E}"/>
            </c:ext>
          </c:extLst>
        </c:ser>
        <c:ser>
          <c:idx val="48"/>
          <c:order val="48"/>
          <c:tx>
            <c:strRef>
              <c:f>data!$B$59</c:f>
              <c:strCache>
                <c:ptCount val="1"/>
                <c:pt idx="0">
                  <c:v>Croatia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data!$C$59:$G$59</c:f>
              <c:numCache>
                <c:formatCode>#,##0</c:formatCode>
                <c:ptCount val="5"/>
                <c:pt idx="0">
                  <c:v>1850</c:v>
                </c:pt>
                <c:pt idx="1">
                  <c:v>1885</c:v>
                </c:pt>
                <c:pt idx="2">
                  <c:v>1920</c:v>
                </c:pt>
                <c:pt idx="3">
                  <c:v>1922</c:v>
                </c:pt>
                <c:pt idx="4">
                  <c:v>1939.11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82D-9E41-9288-E61E1936509E}"/>
            </c:ext>
          </c:extLst>
        </c:ser>
        <c:ser>
          <c:idx val="49"/>
          <c:order val="49"/>
          <c:tx>
            <c:strRef>
              <c:f>data!$B$60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data!$C$60:$G$60</c:f>
              <c:numCache>
                <c:formatCode>#,##0</c:formatCode>
                <c:ptCount val="5"/>
                <c:pt idx="0">
                  <c:v>3775.67</c:v>
                </c:pt>
                <c:pt idx="1">
                  <c:v>3838.14</c:v>
                </c:pt>
                <c:pt idx="2">
                  <c:v>3863.2</c:v>
                </c:pt>
                <c:pt idx="3">
                  <c:v>3881.19</c:v>
                </c:pt>
                <c:pt idx="4">
                  <c:v>3899.15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182D-9E41-9288-E61E1936509E}"/>
            </c:ext>
          </c:extLst>
        </c:ser>
        <c:ser>
          <c:idx val="50"/>
          <c:order val="50"/>
          <c:tx>
            <c:strRef>
              <c:f>data!$B$61</c:f>
              <c:strCache>
                <c:ptCount val="1"/>
                <c:pt idx="0">
                  <c:v>French Polynesia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data!$C$61:$G$61</c:f>
              <c:numCache>
                <c:formatCode>General</c:formatCode>
                <c:ptCount val="5"/>
                <c:pt idx="0">
                  <c:v>144.43</c:v>
                </c:pt>
                <c:pt idx="1">
                  <c:v>148.55000000000001</c:v>
                </c:pt>
                <c:pt idx="2">
                  <c:v>149.46</c:v>
                </c:pt>
                <c:pt idx="3">
                  <c:v>149.46</c:v>
                </c:pt>
                <c:pt idx="4">
                  <c:v>149.46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182D-9E41-9288-E61E1936509E}"/>
            </c:ext>
          </c:extLst>
        </c:ser>
        <c:ser>
          <c:idx val="51"/>
          <c:order val="51"/>
          <c:tx>
            <c:strRef>
              <c:f>data!$B$62</c:f>
              <c:strCache>
                <c:ptCount val="1"/>
                <c:pt idx="0">
                  <c:v>Liechtenstein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data!$C$62:$G$62</c:f>
              <c:numCache>
                <c:formatCode>General</c:formatCode>
                <c:ptCount val="5"/>
                <c:pt idx="0">
                  <c:v>6.5</c:v>
                </c:pt>
                <c:pt idx="1">
                  <c:v>6.7</c:v>
                </c:pt>
                <c:pt idx="2">
                  <c:v>6.7</c:v>
                </c:pt>
                <c:pt idx="3">
                  <c:v>6.7</c:v>
                </c:pt>
                <c:pt idx="4">
                  <c:v>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182D-9E41-9288-E61E1936509E}"/>
            </c:ext>
          </c:extLst>
        </c:ser>
        <c:ser>
          <c:idx val="52"/>
          <c:order val="52"/>
          <c:tx>
            <c:strRef>
              <c:f>data!$B$63</c:f>
              <c:strCache>
                <c:ptCount val="1"/>
                <c:pt idx="0">
                  <c:v>Cyprus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data!$C$63:$G$63</c:f>
              <c:numCache>
                <c:formatCode>General</c:formatCode>
                <c:ptCount val="5"/>
                <c:pt idx="0">
                  <c:v>161.11000000000001</c:v>
                </c:pt>
                <c:pt idx="1">
                  <c:v>171.61</c:v>
                </c:pt>
                <c:pt idx="2">
                  <c:v>172.84</c:v>
                </c:pt>
                <c:pt idx="3">
                  <c:v>172.71</c:v>
                </c:pt>
                <c:pt idx="4">
                  <c:v>172.53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182D-9E41-9288-E61E1936509E}"/>
            </c:ext>
          </c:extLst>
        </c:ser>
        <c:ser>
          <c:idx val="53"/>
          <c:order val="53"/>
          <c:tx>
            <c:strRef>
              <c:f>data!$B$64</c:f>
              <c:strCache>
                <c:ptCount val="1"/>
                <c:pt idx="0">
                  <c:v>Micronesia (Federated States of)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data!$C$64:$G$64</c:f>
              <c:numCache>
                <c:formatCode>General</c:formatCode>
                <c:ptCount val="5"/>
                <c:pt idx="0">
                  <c:v>63.58</c:v>
                </c:pt>
                <c:pt idx="1">
                  <c:v>63.86</c:v>
                </c:pt>
                <c:pt idx="2">
                  <c:v>64.13</c:v>
                </c:pt>
                <c:pt idx="3">
                  <c:v>64.27</c:v>
                </c:pt>
                <c:pt idx="4">
                  <c:v>64.42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182D-9E41-9288-E61E1936509E}"/>
            </c:ext>
          </c:extLst>
        </c:ser>
        <c:ser>
          <c:idx val="54"/>
          <c:order val="54"/>
          <c:tx>
            <c:strRef>
              <c:f>data!$B$65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data!$C$65:$G$65</c:f>
              <c:numCache>
                <c:formatCode>General</c:formatCode>
                <c:ptCount val="5"/>
                <c:pt idx="0">
                  <c:v>85.8</c:v>
                </c:pt>
                <c:pt idx="1">
                  <c:v>86.7</c:v>
                </c:pt>
                <c:pt idx="2">
                  <c:v>88.7</c:v>
                </c:pt>
                <c:pt idx="3">
                  <c:v>88.7</c:v>
                </c:pt>
                <c:pt idx="4">
                  <c:v>88.7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182D-9E41-9288-E61E1936509E}"/>
            </c:ext>
          </c:extLst>
        </c:ser>
        <c:ser>
          <c:idx val="55"/>
          <c:order val="55"/>
          <c:tx>
            <c:strRef>
              <c:f>data!$B$66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data!$C$66:$G$66</c:f>
              <c:numCache>
                <c:formatCode>General</c:formatCode>
                <c:ptCount val="5"/>
                <c:pt idx="0">
                  <c:v>14.83</c:v>
                </c:pt>
                <c:pt idx="1">
                  <c:v>17.010000000000002</c:v>
                </c:pt>
                <c:pt idx="2">
                  <c:v>17.739999999999998</c:v>
                </c:pt>
                <c:pt idx="3">
                  <c:v>16.47</c:v>
                </c:pt>
                <c:pt idx="4">
                  <c:v>15.57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182D-9E41-9288-E61E1936509E}"/>
            </c:ext>
          </c:extLst>
        </c:ser>
        <c:ser>
          <c:idx val="56"/>
          <c:order val="56"/>
          <c:tx>
            <c:strRef>
              <c:f>data!$B$67</c:f>
              <c:strCache>
                <c:ptCount val="1"/>
                <c:pt idx="0">
                  <c:v>Iran (Islamic Republic of)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data!$C$67:$G$67</c:f>
              <c:numCache>
                <c:formatCode>#,##0</c:formatCode>
                <c:ptCount val="5"/>
                <c:pt idx="0">
                  <c:v>9076.06</c:v>
                </c:pt>
                <c:pt idx="1">
                  <c:v>9325.66</c:v>
                </c:pt>
                <c:pt idx="2">
                  <c:v>10691.98</c:v>
                </c:pt>
                <c:pt idx="3">
                  <c:v>10691.98</c:v>
                </c:pt>
                <c:pt idx="4">
                  <c:v>10751.87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182D-9E41-9288-E61E1936509E}"/>
            </c:ext>
          </c:extLst>
        </c:ser>
        <c:ser>
          <c:idx val="57"/>
          <c:order val="57"/>
          <c:tx>
            <c:strRef>
              <c:f>data!$B$68</c:f>
              <c:strCache>
                <c:ptCount val="1"/>
                <c:pt idx="0">
                  <c:v>United Arab Emirates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data!$C$68:$G$68</c:f>
              <c:numCache>
                <c:formatCode>#,##0</c:formatCode>
                <c:ptCount val="5"/>
                <c:pt idx="0">
                  <c:v>245</c:v>
                </c:pt>
                <c:pt idx="1">
                  <c:v>309.43</c:v>
                </c:pt>
                <c:pt idx="2">
                  <c:v>317.3</c:v>
                </c:pt>
                <c:pt idx="3">
                  <c:v>317.3</c:v>
                </c:pt>
                <c:pt idx="4">
                  <c:v>317.3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182D-9E41-9288-E61E1936509E}"/>
            </c:ext>
          </c:extLst>
        </c:ser>
        <c:ser>
          <c:idx val="58"/>
          <c:order val="58"/>
          <c:tx>
            <c:strRef>
              <c:f>data!$B$69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data!$C$69:$G$69</c:f>
              <c:numCache>
                <c:formatCode>#,##0</c:formatCode>
                <c:ptCount val="5"/>
                <c:pt idx="0">
                  <c:v>2752.3</c:v>
                </c:pt>
                <c:pt idx="1">
                  <c:v>2760.6</c:v>
                </c:pt>
                <c:pt idx="2">
                  <c:v>2822.4</c:v>
                </c:pt>
                <c:pt idx="3">
                  <c:v>2822.4</c:v>
                </c:pt>
                <c:pt idx="4">
                  <c:v>2822.4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182D-9E41-9288-E61E1936509E}"/>
            </c:ext>
          </c:extLst>
        </c:ser>
        <c:ser>
          <c:idx val="59"/>
          <c:order val="59"/>
          <c:tx>
            <c:strRef>
              <c:f>data!$B$70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data!$C$70:$G$70</c:f>
              <c:numCache>
                <c:formatCode>#,##0</c:formatCode>
                <c:ptCount val="5"/>
                <c:pt idx="0">
                  <c:v>19361</c:v>
                </c:pt>
                <c:pt idx="1">
                  <c:v>18998</c:v>
                </c:pt>
                <c:pt idx="2">
                  <c:v>20073</c:v>
                </c:pt>
                <c:pt idx="3">
                  <c:v>20061</c:v>
                </c:pt>
                <c:pt idx="4">
                  <c:v>19873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182D-9E41-9288-E61E1936509E}"/>
            </c:ext>
          </c:extLst>
        </c:ser>
        <c:ser>
          <c:idx val="60"/>
          <c:order val="60"/>
          <c:tx>
            <c:strRef>
              <c:f>data!$B$71</c:f>
              <c:strCache>
                <c:ptCount val="1"/>
                <c:pt idx="0">
                  <c:v>Kyrgyzstan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data!$C$71:$G$71</c:f>
              <c:numCache>
                <c:formatCode>#,##0</c:formatCode>
                <c:ptCount val="5"/>
                <c:pt idx="0">
                  <c:v>1136.42</c:v>
                </c:pt>
                <c:pt idx="1">
                  <c:v>1180.9000000000001</c:v>
                </c:pt>
                <c:pt idx="2">
                  <c:v>1229.68</c:v>
                </c:pt>
                <c:pt idx="3">
                  <c:v>1251.81</c:v>
                </c:pt>
                <c:pt idx="4">
                  <c:v>1315.38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182D-9E41-9288-E61E1936509E}"/>
            </c:ext>
          </c:extLst>
        </c:ser>
        <c:ser>
          <c:idx val="61"/>
          <c:order val="61"/>
          <c:tx>
            <c:strRef>
              <c:f>data!$B$72</c:f>
              <c:strCache>
                <c:ptCount val="1"/>
                <c:pt idx="0">
                  <c:v>Syrian Arab Republic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data!$C$72:$G$72</c:f>
              <c:numCache>
                <c:formatCode>#,##0</c:formatCode>
                <c:ptCount val="5"/>
                <c:pt idx="0">
                  <c:v>372.08</c:v>
                </c:pt>
                <c:pt idx="1">
                  <c:v>432.08</c:v>
                </c:pt>
                <c:pt idx="2">
                  <c:v>492.08</c:v>
                </c:pt>
                <c:pt idx="3">
                  <c:v>522.08000000000004</c:v>
                </c:pt>
                <c:pt idx="4">
                  <c:v>522.08000000000004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182D-9E41-9288-E61E1936509E}"/>
            </c:ext>
          </c:extLst>
        </c:ser>
        <c:ser>
          <c:idx val="62"/>
          <c:order val="62"/>
          <c:tx>
            <c:strRef>
              <c:f>data!$B$73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data!$C$73:$G$73</c:f>
              <c:numCache>
                <c:formatCode>#,##0</c:formatCode>
                <c:ptCount val="5"/>
                <c:pt idx="0">
                  <c:v>302450</c:v>
                </c:pt>
                <c:pt idx="1">
                  <c:v>303536</c:v>
                </c:pt>
                <c:pt idx="2">
                  <c:v>308720</c:v>
                </c:pt>
                <c:pt idx="3">
                  <c:v>310095</c:v>
                </c:pt>
                <c:pt idx="4">
                  <c:v>309795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182D-9E41-9288-E61E1936509E}"/>
            </c:ext>
          </c:extLst>
        </c:ser>
        <c:ser>
          <c:idx val="63"/>
          <c:order val="63"/>
          <c:tx>
            <c:strRef>
              <c:f>data!$B$74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data!$C$74:$G$74</c:f>
              <c:numCache>
                <c:formatCode>#,##0</c:formatCode>
                <c:ptCount val="5"/>
                <c:pt idx="0">
                  <c:v>9274</c:v>
                </c:pt>
                <c:pt idx="1">
                  <c:v>9510</c:v>
                </c:pt>
                <c:pt idx="2">
                  <c:v>9548</c:v>
                </c:pt>
                <c:pt idx="3">
                  <c:v>9657</c:v>
                </c:pt>
                <c:pt idx="4">
                  <c:v>9690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182D-9E41-9288-E61E1936509E}"/>
            </c:ext>
          </c:extLst>
        </c:ser>
        <c:ser>
          <c:idx val="64"/>
          <c:order val="64"/>
          <c:tx>
            <c:strRef>
              <c:f>data!$B$75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data!$C$75:$G$75</c:f>
              <c:numCache>
                <c:formatCode>General</c:formatCode>
                <c:ptCount val="5"/>
                <c:pt idx="0">
                  <c:v>345.33</c:v>
                </c:pt>
                <c:pt idx="1">
                  <c:v>359.5</c:v>
                </c:pt>
                <c:pt idx="2">
                  <c:v>373.48</c:v>
                </c:pt>
                <c:pt idx="3">
                  <c:v>364.83</c:v>
                </c:pt>
                <c:pt idx="4">
                  <c:v>369.5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182D-9E41-9288-E61E1936509E}"/>
            </c:ext>
          </c:extLst>
        </c:ser>
        <c:ser>
          <c:idx val="65"/>
          <c:order val="65"/>
          <c:tx>
            <c:strRef>
              <c:f>data!$B$76</c:f>
              <c:strCache>
                <c:ptCount val="1"/>
                <c:pt idx="0">
                  <c:v>Bahrain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data!$C$76:$G$76</c:f>
              <c:numCache>
                <c:formatCode>General</c:formatCode>
                <c:ptCount val="5"/>
                <c:pt idx="0">
                  <c:v>0.22</c:v>
                </c:pt>
                <c:pt idx="1">
                  <c:v>0.37</c:v>
                </c:pt>
                <c:pt idx="2">
                  <c:v>0.52</c:v>
                </c:pt>
                <c:pt idx="3">
                  <c:v>0.6</c:v>
                </c:pt>
                <c:pt idx="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182D-9E41-9288-E61E1936509E}"/>
            </c:ext>
          </c:extLst>
        </c:ser>
        <c:ser>
          <c:idx val="66"/>
          <c:order val="66"/>
          <c:tx>
            <c:strRef>
              <c:f>data!$B$77</c:f>
              <c:strCache>
                <c:ptCount val="1"/>
                <c:pt idx="0">
                  <c:v>Czechia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data!$C$77:$G$77</c:f>
              <c:numCache>
                <c:formatCode>#,##0</c:formatCode>
                <c:ptCount val="5"/>
                <c:pt idx="0">
                  <c:v>2629.42</c:v>
                </c:pt>
                <c:pt idx="1">
                  <c:v>2637.29</c:v>
                </c:pt>
                <c:pt idx="2">
                  <c:v>2657.38</c:v>
                </c:pt>
                <c:pt idx="3">
                  <c:v>2668.39</c:v>
                </c:pt>
                <c:pt idx="4">
                  <c:v>2677.09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182D-9E41-9288-E61E1936509E}"/>
            </c:ext>
          </c:extLst>
        </c:ser>
        <c:ser>
          <c:idx val="67"/>
          <c:order val="67"/>
          <c:tx>
            <c:strRef>
              <c:f>data!$B$78</c:f>
              <c:strCache>
                <c:ptCount val="1"/>
                <c:pt idx="0">
                  <c:v>Morocco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data!$C$78:$G$78</c:f>
              <c:numCache>
                <c:formatCode>#,##0</c:formatCode>
                <c:ptCount val="5"/>
                <c:pt idx="0">
                  <c:v>5485.29</c:v>
                </c:pt>
                <c:pt idx="1">
                  <c:v>5506.54</c:v>
                </c:pt>
                <c:pt idx="2">
                  <c:v>5674.57</c:v>
                </c:pt>
                <c:pt idx="3">
                  <c:v>5684.69</c:v>
                </c:pt>
                <c:pt idx="4">
                  <c:v>5742.49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182D-9E41-9288-E61E1936509E}"/>
            </c:ext>
          </c:extLst>
        </c:ser>
        <c:ser>
          <c:idx val="68"/>
          <c:order val="68"/>
          <c:tx>
            <c:strRef>
              <c:f>data!$B$79</c:f>
              <c:strCache>
                <c:ptCount val="1"/>
                <c:pt idx="0">
                  <c:v>Slovakia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data!$C$79:$G$79</c:f>
              <c:numCache>
                <c:formatCode>General</c:formatCode>
                <c:ptCount val="5"/>
                <c:pt idx="0">
                  <c:v>1902.48</c:v>
                </c:pt>
                <c:pt idx="1">
                  <c:v>1901.41</c:v>
                </c:pt>
                <c:pt idx="2">
                  <c:v>1917.91</c:v>
                </c:pt>
                <c:pt idx="3">
                  <c:v>1921.75</c:v>
                </c:pt>
                <c:pt idx="4">
                  <c:v>1925.9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182D-9E41-9288-E61E1936509E}"/>
            </c:ext>
          </c:extLst>
        </c:ser>
        <c:ser>
          <c:idx val="69"/>
          <c:order val="69"/>
          <c:tx>
            <c:strRef>
              <c:f>data!$B$80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data!$C$80:$G$80</c:f>
              <c:numCache>
                <c:formatCode>General</c:formatCode>
                <c:ptCount val="5"/>
                <c:pt idx="0">
                  <c:v>677.4</c:v>
                </c:pt>
                <c:pt idx="1">
                  <c:v>667.3</c:v>
                </c:pt>
                <c:pt idx="2">
                  <c:v>689.87</c:v>
                </c:pt>
                <c:pt idx="3">
                  <c:v>689.3</c:v>
                </c:pt>
                <c:pt idx="4">
                  <c:v>689.3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182D-9E41-9288-E61E1936509E}"/>
            </c:ext>
          </c:extLst>
        </c:ser>
        <c:ser>
          <c:idx val="70"/>
          <c:order val="70"/>
          <c:tx>
            <c:strRef>
              <c:f>data!$B$81</c:f>
              <c:strCache>
                <c:ptCount val="1"/>
                <c:pt idx="0">
                  <c:v>Russian Federation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data!$C$81:$G$81</c:f>
              <c:numCache>
                <c:formatCode>#,##0</c:formatCode>
                <c:ptCount val="5"/>
                <c:pt idx="0">
                  <c:v>808949.9</c:v>
                </c:pt>
                <c:pt idx="1">
                  <c:v>809268.5</c:v>
                </c:pt>
                <c:pt idx="2">
                  <c:v>815135.6</c:v>
                </c:pt>
                <c:pt idx="3">
                  <c:v>814930.46</c:v>
                </c:pt>
                <c:pt idx="4">
                  <c:v>815311.6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182D-9E41-9288-E61E1936509E}"/>
            </c:ext>
          </c:extLst>
        </c:ser>
        <c:ser>
          <c:idx val="71"/>
          <c:order val="71"/>
          <c:tx>
            <c:strRef>
              <c:f>data!$B$82</c:f>
              <c:strCache>
                <c:ptCount val="1"/>
                <c:pt idx="0">
                  <c:v>Tunisia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data!$C$82:$G$82</c:f>
              <c:numCache>
                <c:formatCode>#,##0</c:formatCode>
                <c:ptCount val="5"/>
                <c:pt idx="0">
                  <c:v>643.98</c:v>
                </c:pt>
                <c:pt idx="1">
                  <c:v>667.85</c:v>
                </c:pt>
                <c:pt idx="2">
                  <c:v>687.43</c:v>
                </c:pt>
                <c:pt idx="3">
                  <c:v>695.08</c:v>
                </c:pt>
                <c:pt idx="4">
                  <c:v>702.73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182D-9E41-9288-E61E1936509E}"/>
            </c:ext>
          </c:extLst>
        </c:ser>
        <c:ser>
          <c:idx val="72"/>
          <c:order val="72"/>
          <c:tx>
            <c:strRef>
              <c:f>data!$B$83</c:f>
              <c:strCache>
                <c:ptCount val="1"/>
                <c:pt idx="0">
                  <c:v>New Caledonia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data!$C$83:$G$83</c:f>
              <c:numCache>
                <c:formatCode>General</c:formatCode>
                <c:ptCount val="5"/>
                <c:pt idx="0">
                  <c:v>831.13</c:v>
                </c:pt>
                <c:pt idx="1">
                  <c:v>837.85</c:v>
                </c:pt>
                <c:pt idx="2">
                  <c:v>839.02</c:v>
                </c:pt>
                <c:pt idx="3">
                  <c:v>838.52</c:v>
                </c:pt>
                <c:pt idx="4">
                  <c:v>838.02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182D-9E41-9288-E61E1936509E}"/>
            </c:ext>
          </c:extLst>
        </c:ser>
        <c:ser>
          <c:idx val="73"/>
          <c:order val="73"/>
          <c:tx>
            <c:strRef>
              <c:f>data!$B$84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data!$C$84:$G$84</c:f>
              <c:numCache>
                <c:formatCode>General</c:formatCode>
                <c:ptCount val="5"/>
                <c:pt idx="0">
                  <c:v>132</c:v>
                </c:pt>
                <c:pt idx="1">
                  <c:v>153</c:v>
                </c:pt>
                <c:pt idx="2">
                  <c:v>154</c:v>
                </c:pt>
                <c:pt idx="3">
                  <c:v>165</c:v>
                </c:pt>
                <c:pt idx="4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182D-9E41-9288-E61E1936509E}"/>
            </c:ext>
          </c:extLst>
        </c:ser>
        <c:ser>
          <c:idx val="74"/>
          <c:order val="74"/>
          <c:tx>
            <c:strRef>
              <c:f>data!$B$85</c:f>
              <c:strCache>
                <c:ptCount val="1"/>
                <c:pt idx="0">
                  <c:v>Lebanon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data!$C$85:$G$85</c:f>
              <c:numCache>
                <c:formatCode>General</c:formatCode>
                <c:ptCount val="5"/>
                <c:pt idx="0">
                  <c:v>139.69999999999999</c:v>
                </c:pt>
                <c:pt idx="1">
                  <c:v>138.18</c:v>
                </c:pt>
                <c:pt idx="2">
                  <c:v>137.35</c:v>
                </c:pt>
                <c:pt idx="3">
                  <c:v>140.33000000000001</c:v>
                </c:pt>
                <c:pt idx="4">
                  <c:v>143.33000000000001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182D-9E41-9288-E61E1936509E}"/>
            </c:ext>
          </c:extLst>
        </c:ser>
        <c:ser>
          <c:idx val="75"/>
          <c:order val="75"/>
          <c:tx>
            <c:strRef>
              <c:f>data!$B$86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data!$C$86:$G$86</c:f>
              <c:numCache>
                <c:formatCode>General</c:formatCode>
                <c:ptCount val="5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182D-9E41-9288-E61E1936509E}"/>
            </c:ext>
          </c:extLst>
        </c:ser>
        <c:ser>
          <c:idx val="76"/>
          <c:order val="76"/>
          <c:tx>
            <c:strRef>
              <c:f>data!$B$87</c:f>
              <c:strCache>
                <c:ptCount val="1"/>
                <c:pt idx="0">
                  <c:v>Iceland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data!$C$87:$G$87</c:f>
              <c:numCache>
                <c:formatCode>#,##0</c:formatCode>
                <c:ptCount val="5"/>
                <c:pt idx="0">
                  <c:v>17.07</c:v>
                </c:pt>
                <c:pt idx="1">
                  <c:v>29.83</c:v>
                </c:pt>
                <c:pt idx="2">
                  <c:v>44.67</c:v>
                </c:pt>
                <c:pt idx="3">
                  <c:v>48.16</c:v>
                </c:pt>
                <c:pt idx="4">
                  <c:v>51.35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182D-9E41-9288-E61E1936509E}"/>
            </c:ext>
          </c:extLst>
        </c:ser>
        <c:ser>
          <c:idx val="77"/>
          <c:order val="77"/>
          <c:tx>
            <c:strRef>
              <c:f>data!$B$88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data!$C$88:$G$88</c:f>
              <c:numCache>
                <c:formatCode>#,##0</c:formatCode>
                <c:ptCount val="5"/>
                <c:pt idx="0">
                  <c:v>11300</c:v>
                </c:pt>
                <c:pt idx="1">
                  <c:v>11354</c:v>
                </c:pt>
                <c:pt idx="2">
                  <c:v>11409</c:v>
                </c:pt>
                <c:pt idx="3">
                  <c:v>11419</c:v>
                </c:pt>
                <c:pt idx="4">
                  <c:v>11419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182D-9E41-9288-E61E1936509E}"/>
            </c:ext>
          </c:extLst>
        </c:ser>
        <c:ser>
          <c:idx val="78"/>
          <c:order val="78"/>
          <c:tx>
            <c:strRef>
              <c:f>data!$B$89</c:f>
              <c:strCache>
                <c:ptCount val="1"/>
                <c:pt idx="0">
                  <c:v>Wallis and Futuna Islands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data!$C$89:$G$89</c:f>
              <c:numCache>
                <c:formatCode>General</c:formatCode>
                <c:ptCount val="5"/>
                <c:pt idx="0">
                  <c:v>5.8</c:v>
                </c:pt>
                <c:pt idx="1">
                  <c:v>5.81</c:v>
                </c:pt>
                <c:pt idx="2">
                  <c:v>5.82</c:v>
                </c:pt>
                <c:pt idx="3">
                  <c:v>5.83</c:v>
                </c:pt>
                <c:pt idx="4">
                  <c:v>5.83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182D-9E41-9288-E61E1936509E}"/>
            </c:ext>
          </c:extLst>
        </c:ser>
        <c:ser>
          <c:idx val="79"/>
          <c:order val="79"/>
          <c:tx>
            <c:strRef>
              <c:f>data!$B$90</c:f>
              <c:strCache>
                <c:ptCount val="1"/>
                <c:pt idx="0">
                  <c:v>State of Palestine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data!$C$90:$G$90</c:f>
              <c:numCache>
                <c:formatCode>General</c:formatCode>
                <c:ptCount val="5"/>
                <c:pt idx="0">
                  <c:v>9.08</c:v>
                </c:pt>
                <c:pt idx="1">
                  <c:v>9.08</c:v>
                </c:pt>
                <c:pt idx="2">
                  <c:v>9.9499999999999993</c:v>
                </c:pt>
                <c:pt idx="3">
                  <c:v>10.14</c:v>
                </c:pt>
                <c:pt idx="4">
                  <c:v>10.14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182D-9E41-9288-E61E1936509E}"/>
            </c:ext>
          </c:extLst>
        </c:ser>
        <c:ser>
          <c:idx val="80"/>
          <c:order val="80"/>
          <c:tx>
            <c:strRef>
              <c:f>data!$B$91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data!$C$91:$G$91</c:f>
              <c:numCache>
                <c:formatCode>#,##0</c:formatCode>
                <c:ptCount val="5"/>
                <c:pt idx="0">
                  <c:v>12132</c:v>
                </c:pt>
                <c:pt idx="1">
                  <c:v>12113</c:v>
                </c:pt>
                <c:pt idx="2">
                  <c:v>12102</c:v>
                </c:pt>
                <c:pt idx="3">
                  <c:v>12141</c:v>
                </c:pt>
                <c:pt idx="4">
                  <c:v>12180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182D-9E41-9288-E61E1936509E}"/>
            </c:ext>
          </c:extLst>
        </c:ser>
        <c:ser>
          <c:idx val="81"/>
          <c:order val="81"/>
          <c:tx>
            <c:strRef>
              <c:f>data!$B$92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data!$C$92:$G$92</c:f>
              <c:numCache>
                <c:formatCode>General</c:formatCode>
                <c:ptCount val="5"/>
                <c:pt idx="0">
                  <c:v>3.45</c:v>
                </c:pt>
                <c:pt idx="1">
                  <c:v>4.8499999999999996</c:v>
                </c:pt>
                <c:pt idx="2">
                  <c:v>6.25</c:v>
                </c:pt>
                <c:pt idx="3">
                  <c:v>6.25</c:v>
                </c:pt>
                <c:pt idx="4">
                  <c:v>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182D-9E41-9288-E61E1936509E}"/>
            </c:ext>
          </c:extLst>
        </c:ser>
        <c:ser>
          <c:idx val="82"/>
          <c:order val="82"/>
          <c:tx>
            <c:strRef>
              <c:f>data!$B$93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data!$C$93:$G$93</c:f>
              <c:numCache>
                <c:formatCode>General</c:formatCode>
                <c:ptCount val="5"/>
                <c:pt idx="0">
                  <c:v>276.48</c:v>
                </c:pt>
                <c:pt idx="1">
                  <c:v>193.94</c:v>
                </c:pt>
                <c:pt idx="2">
                  <c:v>193.94</c:v>
                </c:pt>
                <c:pt idx="3">
                  <c:v>279.64</c:v>
                </c:pt>
                <c:pt idx="4">
                  <c:v>279.64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182D-9E41-9288-E61E1936509E}"/>
            </c:ext>
          </c:extLst>
        </c:ser>
        <c:ser>
          <c:idx val="83"/>
          <c:order val="83"/>
          <c:tx>
            <c:strRef>
              <c:f>data!$B$94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data!$C$94:$G$94</c:f>
              <c:numCache>
                <c:formatCode>#,##0</c:formatCode>
                <c:ptCount val="5"/>
                <c:pt idx="0">
                  <c:v>1667</c:v>
                </c:pt>
                <c:pt idx="1">
                  <c:v>1579</c:v>
                </c:pt>
                <c:pt idx="2">
                  <c:v>1918</c:v>
                </c:pt>
                <c:pt idx="3">
                  <c:v>1956</c:v>
                </c:pt>
                <c:pt idx="4">
                  <c:v>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182D-9E41-9288-E61E1936509E}"/>
            </c:ext>
          </c:extLst>
        </c:ser>
        <c:ser>
          <c:idx val="84"/>
          <c:order val="84"/>
          <c:tx>
            <c:strRef>
              <c:f>data!$B$95</c:f>
              <c:strCache>
                <c:ptCount val="1"/>
                <c:pt idx="0">
                  <c:v>Tajikistan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data!$C$95:$G$95</c:f>
              <c:numCache>
                <c:formatCode>#,##0</c:formatCode>
                <c:ptCount val="5"/>
                <c:pt idx="0">
                  <c:v>408</c:v>
                </c:pt>
                <c:pt idx="1">
                  <c:v>410</c:v>
                </c:pt>
                <c:pt idx="2">
                  <c:v>410</c:v>
                </c:pt>
                <c:pt idx="3">
                  <c:v>421.8</c:v>
                </c:pt>
                <c:pt idx="4">
                  <c:v>423.8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182D-9E41-9288-E61E1936509E}"/>
            </c:ext>
          </c:extLst>
        </c:ser>
        <c:ser>
          <c:idx val="85"/>
          <c:order val="85"/>
          <c:tx>
            <c:strRef>
              <c:f>data!$B$96</c:f>
              <c:strCache>
                <c:ptCount val="1"/>
                <c:pt idx="0">
                  <c:v>Kazakhstan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data!$C$96:$G$96</c:f>
              <c:numCache>
                <c:formatCode>#,##0</c:formatCode>
                <c:ptCount val="5"/>
                <c:pt idx="0">
                  <c:v>3162.24</c:v>
                </c:pt>
                <c:pt idx="1">
                  <c:v>3156.93</c:v>
                </c:pt>
                <c:pt idx="2">
                  <c:v>3082.18</c:v>
                </c:pt>
                <c:pt idx="3">
                  <c:v>3308.46</c:v>
                </c:pt>
                <c:pt idx="4">
                  <c:v>3454.68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182D-9E41-9288-E61E1936509E}"/>
            </c:ext>
          </c:extLst>
        </c:ser>
        <c:ser>
          <c:idx val="86"/>
          <c:order val="86"/>
          <c:tx>
            <c:strRef>
              <c:f>data!$B$97</c:f>
              <c:strCache>
                <c:ptCount val="1"/>
                <c:pt idx="0">
                  <c:v>Iraq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data!$C$97:$G$97</c:f>
              <c:numCache>
                <c:formatCode>#,##0</c:formatCode>
                <c:ptCount val="5"/>
                <c:pt idx="0">
                  <c:v>804</c:v>
                </c:pt>
                <c:pt idx="1">
                  <c:v>818</c:v>
                </c:pt>
                <c:pt idx="2">
                  <c:v>825</c:v>
                </c:pt>
                <c:pt idx="3">
                  <c:v>825</c:v>
                </c:pt>
                <c:pt idx="4">
                  <c:v>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182D-9E41-9288-E61E1936509E}"/>
            </c:ext>
          </c:extLst>
        </c:ser>
        <c:ser>
          <c:idx val="87"/>
          <c:order val="87"/>
          <c:tx>
            <c:strRef>
              <c:f>data!$B$98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data!$C$98:$G$98</c:f>
              <c:numCache>
                <c:formatCode>#,##0</c:formatCode>
                <c:ptCount val="5"/>
                <c:pt idx="0">
                  <c:v>133882.20000000001</c:v>
                </c:pt>
                <c:pt idx="1">
                  <c:v>131814.1</c:v>
                </c:pt>
                <c:pt idx="2">
                  <c:v>129546.1</c:v>
                </c:pt>
                <c:pt idx="3">
                  <c:v>133094.5</c:v>
                </c:pt>
                <c:pt idx="4">
                  <c:v>134005.1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182D-9E41-9288-E61E1936509E}"/>
            </c:ext>
          </c:extLst>
        </c:ser>
        <c:ser>
          <c:idx val="88"/>
          <c:order val="88"/>
          <c:tx>
            <c:strRef>
              <c:f>data!$B$99</c:f>
              <c:strCache>
                <c:ptCount val="1"/>
                <c:pt idx="0">
                  <c:v>Djibouti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data!$C$99:$G$99</c:f>
              <c:numCache>
                <c:formatCode>General</c:formatCode>
                <c:ptCount val="5"/>
                <c:pt idx="0">
                  <c:v>5.6</c:v>
                </c:pt>
                <c:pt idx="1">
                  <c:v>5.6</c:v>
                </c:pt>
                <c:pt idx="2">
                  <c:v>5.6</c:v>
                </c:pt>
                <c:pt idx="3">
                  <c:v>5.6</c:v>
                </c:pt>
                <c:pt idx="4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182D-9E41-9288-E61E1936509E}"/>
            </c:ext>
          </c:extLst>
        </c:ser>
        <c:ser>
          <c:idx val="89"/>
          <c:order val="89"/>
          <c:tx>
            <c:strRef>
              <c:f>data!$B$100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data!$C$100:$G$100</c:f>
              <c:numCache>
                <c:formatCode>General</c:formatCode>
                <c:ptCount val="5"/>
                <c:pt idx="0">
                  <c:v>788.8</c:v>
                </c:pt>
                <c:pt idx="1">
                  <c:v>769.3</c:v>
                </c:pt>
                <c:pt idx="2">
                  <c:v>782.07</c:v>
                </c:pt>
                <c:pt idx="3">
                  <c:v>789.19</c:v>
                </c:pt>
                <c:pt idx="4">
                  <c:v>788.9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182D-9E41-9288-E61E1936509E}"/>
            </c:ext>
          </c:extLst>
        </c:ser>
        <c:ser>
          <c:idx val="90"/>
          <c:order val="90"/>
          <c:tx>
            <c:strRef>
              <c:f>data!$B$101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data!$C$101:$G$101</c:f>
              <c:numCache>
                <c:formatCode>#,##0</c:formatCode>
                <c:ptCount val="5"/>
                <c:pt idx="0">
                  <c:v>43.81</c:v>
                </c:pt>
                <c:pt idx="1">
                  <c:v>59.21</c:v>
                </c:pt>
                <c:pt idx="2">
                  <c:v>65.64</c:v>
                </c:pt>
                <c:pt idx="3">
                  <c:v>48.42</c:v>
                </c:pt>
                <c:pt idx="4">
                  <c:v>44.98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182D-9E41-9288-E61E1936509E}"/>
            </c:ext>
          </c:extLst>
        </c:ser>
        <c:ser>
          <c:idx val="91"/>
          <c:order val="91"/>
          <c:tx>
            <c:strRef>
              <c:f>data!$B$102</c:f>
              <c:strCache>
                <c:ptCount val="1"/>
                <c:pt idx="0">
                  <c:v>Saint Kitts and Nevis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data!$C$102:$G$102</c:f>
              <c:numCache>
                <c:formatCode>General</c:formatCode>
                <c:ptCount val="5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182D-9E41-9288-E61E1936509E}"/>
            </c:ext>
          </c:extLst>
        </c:ser>
        <c:ser>
          <c:idx val="92"/>
          <c:order val="92"/>
          <c:tx>
            <c:strRef>
              <c:f>data!$B$103</c:f>
              <c:strCache>
                <c:ptCount val="1"/>
                <c:pt idx="0">
                  <c:v>Vanuatu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data!$C$103:$G$103</c:f>
              <c:numCache>
                <c:formatCode>General</c:formatCode>
                <c:ptCount val="5"/>
                <c:pt idx="0">
                  <c:v>442.3</c:v>
                </c:pt>
                <c:pt idx="1">
                  <c:v>442.3</c:v>
                </c:pt>
                <c:pt idx="2">
                  <c:v>442.3</c:v>
                </c:pt>
                <c:pt idx="3">
                  <c:v>442.3</c:v>
                </c:pt>
                <c:pt idx="4">
                  <c:v>442.3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182D-9E41-9288-E61E1936509E}"/>
            </c:ext>
          </c:extLst>
        </c:ser>
        <c:ser>
          <c:idx val="93"/>
          <c:order val="93"/>
          <c:tx>
            <c:strRef>
              <c:f>data!$B$104</c:f>
              <c:strCache>
                <c:ptCount val="1"/>
                <c:pt idx="0">
                  <c:v>Andorra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data!$C$104:$G$104</c:f>
              <c:numCache>
                <c:formatCode>General</c:formatCode>
                <c:ptCount val="5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182D-9E41-9288-E61E1936509E}"/>
            </c:ext>
          </c:extLst>
        </c:ser>
        <c:ser>
          <c:idx val="94"/>
          <c:order val="94"/>
          <c:tx>
            <c:strRef>
              <c:f>data!$B$105</c:f>
              <c:strCache>
                <c:ptCount val="1"/>
                <c:pt idx="0">
                  <c:v>Tuvalu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data!$C$105:$G$105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182D-9E41-9288-E61E1936509E}"/>
            </c:ext>
          </c:extLst>
        </c:ser>
        <c:ser>
          <c:idx val="95"/>
          <c:order val="95"/>
          <c:tx>
            <c:strRef>
              <c:f>data!$B$106</c:f>
              <c:strCache>
                <c:ptCount val="1"/>
                <c:pt idx="0">
                  <c:v>Saint Martin (French Part)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data!$C$106:$G$106</c:f>
              <c:numCache>
                <c:formatCode>General</c:formatCode>
                <c:ptCount val="5"/>
                <c:pt idx="0">
                  <c:v>1.24</c:v>
                </c:pt>
                <c:pt idx="1">
                  <c:v>1.24</c:v>
                </c:pt>
                <c:pt idx="2">
                  <c:v>1.24</c:v>
                </c:pt>
                <c:pt idx="3">
                  <c:v>1.24</c:v>
                </c:pt>
                <c:pt idx="4">
                  <c:v>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182D-9E41-9288-E61E1936509E}"/>
            </c:ext>
          </c:extLst>
        </c:ser>
        <c:ser>
          <c:idx val="96"/>
          <c:order val="96"/>
          <c:tx>
            <c:strRef>
              <c:f>data!$B$107</c:f>
              <c:strCache>
                <c:ptCount val="1"/>
                <c:pt idx="0">
                  <c:v>Bermuda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data!$C$107:$G$107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182D-9E41-9288-E61E1936509E}"/>
            </c:ext>
          </c:extLst>
        </c:ser>
        <c:ser>
          <c:idx val="97"/>
          <c:order val="97"/>
          <c:tx>
            <c:strRef>
              <c:f>data!$B$108</c:f>
              <c:strCache>
                <c:ptCount val="1"/>
                <c:pt idx="0">
                  <c:v>San Marino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data!$C$108:$G$108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182D-9E41-9288-E61E1936509E}"/>
            </c:ext>
          </c:extLst>
        </c:ser>
        <c:ser>
          <c:idx val="98"/>
          <c:order val="98"/>
          <c:tx>
            <c:strRef>
              <c:f>data!$B$109</c:f>
              <c:strCache>
                <c:ptCount val="1"/>
                <c:pt idx="0">
                  <c:v>Barbados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data!$C$109:$G$109</c:f>
              <c:numCache>
                <c:formatCode>General</c:formatCode>
                <c:ptCount val="5"/>
                <c:pt idx="0">
                  <c:v>6.3</c:v>
                </c:pt>
                <c:pt idx="1">
                  <c:v>6.3</c:v>
                </c:pt>
                <c:pt idx="2">
                  <c:v>6.3</c:v>
                </c:pt>
                <c:pt idx="3">
                  <c:v>6.3</c:v>
                </c:pt>
                <c:pt idx="4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182D-9E41-9288-E61E1936509E}"/>
            </c:ext>
          </c:extLst>
        </c:ser>
        <c:ser>
          <c:idx val="99"/>
          <c:order val="99"/>
          <c:tx>
            <c:strRef>
              <c:f>data!$B$110</c:f>
              <c:strCache>
                <c:ptCount val="1"/>
                <c:pt idx="0">
                  <c:v>Tonga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data!$C$110:$G$110</c:f>
              <c:numCache>
                <c:formatCode>General</c:formatCode>
                <c:ptCount val="5"/>
                <c:pt idx="0">
                  <c:v>8.9499999999999993</c:v>
                </c:pt>
                <c:pt idx="1">
                  <c:v>8.9499999999999993</c:v>
                </c:pt>
                <c:pt idx="2">
                  <c:v>8.9499999999999993</c:v>
                </c:pt>
                <c:pt idx="3">
                  <c:v>8.9499999999999993</c:v>
                </c:pt>
                <c:pt idx="4">
                  <c:v>8.9499999999999993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182D-9E41-9288-E61E1936509E}"/>
            </c:ext>
          </c:extLst>
        </c:ser>
        <c:ser>
          <c:idx val="100"/>
          <c:order val="100"/>
          <c:tx>
            <c:strRef>
              <c:f>data!$B$111</c:f>
              <c:strCache>
                <c:ptCount val="1"/>
                <c:pt idx="0">
                  <c:v>Norfolk Island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data!$C$111:$G$111</c:f>
              <c:numCache>
                <c:formatCode>General</c:formatCode>
                <c:ptCount val="5"/>
                <c:pt idx="0">
                  <c:v>0.49</c:v>
                </c:pt>
                <c:pt idx="1">
                  <c:v>0.49</c:v>
                </c:pt>
                <c:pt idx="2">
                  <c:v>0.49</c:v>
                </c:pt>
                <c:pt idx="3">
                  <c:v>0.49</c:v>
                </c:pt>
                <c:pt idx="4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182D-9E41-9288-E61E1936509E}"/>
            </c:ext>
          </c:extLst>
        </c:ser>
        <c:ser>
          <c:idx val="101"/>
          <c:order val="101"/>
          <c:tx>
            <c:strRef>
              <c:f>data!$B$112</c:f>
              <c:strCache>
                <c:ptCount val="1"/>
                <c:pt idx="0">
                  <c:v>South Sudan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data!$C$112:$G$112</c:f>
              <c:numCache>
                <c:formatCode>#,##0</c:formatCode>
                <c:ptCount val="5"/>
                <c:pt idx="0">
                  <c:v>7157</c:v>
                </c:pt>
                <c:pt idx="1">
                  <c:v>7157</c:v>
                </c:pt>
                <c:pt idx="2">
                  <c:v>7157</c:v>
                </c:pt>
                <c:pt idx="3">
                  <c:v>7157</c:v>
                </c:pt>
                <c:pt idx="4">
                  <c:v>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182D-9E41-9288-E61E1936509E}"/>
            </c:ext>
          </c:extLst>
        </c:ser>
        <c:ser>
          <c:idx val="102"/>
          <c:order val="102"/>
          <c:tx>
            <c:strRef>
              <c:f>data!$B$113</c:f>
              <c:strCache>
                <c:ptCount val="1"/>
                <c:pt idx="0">
                  <c:v>Turks and Caicos Islands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data!$C$113:$G$113</c:f>
              <c:numCache>
                <c:formatCode>General</c:formatCode>
                <c:ptCount val="5"/>
                <c:pt idx="0">
                  <c:v>10.52</c:v>
                </c:pt>
                <c:pt idx="1">
                  <c:v>10.52</c:v>
                </c:pt>
                <c:pt idx="2">
                  <c:v>10.52</c:v>
                </c:pt>
                <c:pt idx="3">
                  <c:v>10.52</c:v>
                </c:pt>
                <c:pt idx="4">
                  <c:v>10.52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182D-9E41-9288-E61E1936509E}"/>
            </c:ext>
          </c:extLst>
        </c:ser>
        <c:ser>
          <c:idx val="103"/>
          <c:order val="103"/>
          <c:tx>
            <c:strRef>
              <c:f>data!$B$114</c:f>
              <c:strCache>
                <c:ptCount val="1"/>
                <c:pt idx="0">
                  <c:v>Bahamas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data!$C$114:$G$114</c:f>
              <c:numCache>
                <c:formatCode>General</c:formatCode>
                <c:ptCount val="5"/>
                <c:pt idx="0">
                  <c:v>509.86</c:v>
                </c:pt>
                <c:pt idx="1">
                  <c:v>509.86</c:v>
                </c:pt>
                <c:pt idx="2">
                  <c:v>509.86</c:v>
                </c:pt>
                <c:pt idx="3">
                  <c:v>509.86</c:v>
                </c:pt>
                <c:pt idx="4">
                  <c:v>509.86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182D-9E41-9288-E61E1936509E}"/>
            </c:ext>
          </c:extLst>
        </c:ser>
        <c:ser>
          <c:idx val="104"/>
          <c:order val="104"/>
          <c:tx>
            <c:strRef>
              <c:f>data!$B$115</c:f>
              <c:strCache>
                <c:ptCount val="1"/>
                <c:pt idx="0">
                  <c:v>Grenada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data!$C$115:$G$115</c:f>
              <c:numCache>
                <c:formatCode>General</c:formatCode>
                <c:ptCount val="5"/>
                <c:pt idx="0">
                  <c:v>17.7</c:v>
                </c:pt>
                <c:pt idx="1">
                  <c:v>17.7</c:v>
                </c:pt>
                <c:pt idx="2">
                  <c:v>17.7</c:v>
                </c:pt>
                <c:pt idx="3">
                  <c:v>17.7</c:v>
                </c:pt>
                <c:pt idx="4">
                  <c:v>17.7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182D-9E41-9288-E61E1936509E}"/>
            </c:ext>
          </c:extLst>
        </c:ser>
        <c:ser>
          <c:idx val="105"/>
          <c:order val="105"/>
          <c:tx>
            <c:strRef>
              <c:f>data!$B$116</c:f>
              <c:strCache>
                <c:ptCount val="1"/>
                <c:pt idx="0">
                  <c:v>Marshall Islands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data!$C$116:$G$116</c:f>
              <c:numCache>
                <c:formatCode>General</c:formatCode>
                <c:ptCount val="5"/>
                <c:pt idx="0">
                  <c:v>9.4</c:v>
                </c:pt>
                <c:pt idx="1">
                  <c:v>9.4</c:v>
                </c:pt>
                <c:pt idx="2">
                  <c:v>9.4</c:v>
                </c:pt>
                <c:pt idx="3">
                  <c:v>9.4</c:v>
                </c:pt>
                <c:pt idx="4">
                  <c:v>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182D-9E41-9288-E61E1936509E}"/>
            </c:ext>
          </c:extLst>
        </c:ser>
        <c:ser>
          <c:idx val="106"/>
          <c:order val="106"/>
          <c:tx>
            <c:strRef>
              <c:f>data!$B$117</c:f>
              <c:strCache>
                <c:ptCount val="1"/>
                <c:pt idx="0">
                  <c:v>Anguilla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data!$C$117:$G$117</c:f>
              <c:numCache>
                <c:formatCode>General</c:formatCode>
                <c:ptCount val="5"/>
                <c:pt idx="0">
                  <c:v>5.5</c:v>
                </c:pt>
                <c:pt idx="1">
                  <c:v>5.5</c:v>
                </c:pt>
                <c:pt idx="2">
                  <c:v>5.5</c:v>
                </c:pt>
                <c:pt idx="3">
                  <c:v>5.5</c:v>
                </c:pt>
                <c:pt idx="4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182D-9E41-9288-E61E1936509E}"/>
            </c:ext>
          </c:extLst>
        </c:ser>
        <c:ser>
          <c:idx val="107"/>
          <c:order val="107"/>
          <c:tx>
            <c:strRef>
              <c:f>data!$B$118</c:f>
              <c:strCache>
                <c:ptCount val="1"/>
                <c:pt idx="0">
                  <c:v>Pitcairn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data!$C$118:$G$118</c:f>
              <c:numCache>
                <c:formatCode>General</c:formatCode>
                <c:ptCount val="5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182D-9E41-9288-E61E1936509E}"/>
            </c:ext>
          </c:extLst>
        </c:ser>
        <c:ser>
          <c:idx val="108"/>
          <c:order val="108"/>
          <c:tx>
            <c:strRef>
              <c:f>data!$B$119</c:f>
              <c:strCache>
                <c:ptCount val="1"/>
                <c:pt idx="0">
                  <c:v>Seychelles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data!$C$119:$G$119</c:f>
              <c:numCache>
                <c:formatCode>General</c:formatCode>
                <c:ptCount val="5"/>
                <c:pt idx="0">
                  <c:v>33.700000000000003</c:v>
                </c:pt>
                <c:pt idx="1">
                  <c:v>33.700000000000003</c:v>
                </c:pt>
                <c:pt idx="2">
                  <c:v>33.700000000000003</c:v>
                </c:pt>
                <c:pt idx="3">
                  <c:v>33.700000000000003</c:v>
                </c:pt>
                <c:pt idx="4">
                  <c:v>33.700000000000003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182D-9E41-9288-E61E1936509E}"/>
            </c:ext>
          </c:extLst>
        </c:ser>
        <c:ser>
          <c:idx val="109"/>
          <c:order val="109"/>
          <c:tx>
            <c:strRef>
              <c:f>data!$B$120</c:f>
              <c:strCache>
                <c:ptCount val="1"/>
                <c:pt idx="0">
                  <c:v>Mali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data!$C$120:$G$120</c:f>
              <c:numCache>
                <c:formatCode>#,##0</c:formatCode>
                <c:ptCount val="5"/>
                <c:pt idx="0">
                  <c:v>13296</c:v>
                </c:pt>
                <c:pt idx="1">
                  <c:v>13296</c:v>
                </c:pt>
                <c:pt idx="2">
                  <c:v>13296</c:v>
                </c:pt>
                <c:pt idx="3">
                  <c:v>13296</c:v>
                </c:pt>
                <c:pt idx="4">
                  <c:v>13296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182D-9E41-9288-E61E1936509E}"/>
            </c:ext>
          </c:extLst>
        </c:ser>
        <c:ser>
          <c:idx val="110"/>
          <c:order val="110"/>
          <c:tx>
            <c:strRef>
              <c:f>data!$B$121</c:f>
              <c:strCache>
                <c:ptCount val="1"/>
                <c:pt idx="0">
                  <c:v>Sint Maarten (Dutch part)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data!$C$121:$G$121</c:f>
              <c:numCache>
                <c:formatCode>General</c:formatCode>
                <c:ptCount val="5"/>
                <c:pt idx="0">
                  <c:v>0.37</c:v>
                </c:pt>
                <c:pt idx="1">
                  <c:v>0.37</c:v>
                </c:pt>
                <c:pt idx="2">
                  <c:v>0.37</c:v>
                </c:pt>
                <c:pt idx="3">
                  <c:v>0.37</c:v>
                </c:pt>
                <c:pt idx="4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182D-9E41-9288-E61E1936509E}"/>
            </c:ext>
          </c:extLst>
        </c:ser>
        <c:ser>
          <c:idx val="111"/>
          <c:order val="111"/>
          <c:tx>
            <c:strRef>
              <c:f>data!$B$122</c:f>
              <c:strCache>
                <c:ptCount val="1"/>
                <c:pt idx="0">
                  <c:v>Turkmenistan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data!$C$122:$G$122</c:f>
              <c:numCache>
                <c:formatCode>#,##0</c:formatCode>
                <c:ptCount val="5"/>
                <c:pt idx="0">
                  <c:v>4127</c:v>
                </c:pt>
                <c:pt idx="1">
                  <c:v>4127</c:v>
                </c:pt>
                <c:pt idx="2">
                  <c:v>4127</c:v>
                </c:pt>
                <c:pt idx="3">
                  <c:v>4127</c:v>
                </c:pt>
                <c:pt idx="4">
                  <c:v>4127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182D-9E41-9288-E61E1936509E}"/>
            </c:ext>
          </c:extLst>
        </c:ser>
        <c:ser>
          <c:idx val="112"/>
          <c:order val="112"/>
          <c:tx>
            <c:strRef>
              <c:f>data!$B$123</c:f>
              <c:strCache>
                <c:ptCount val="1"/>
                <c:pt idx="0">
                  <c:v>Saint Barthélemy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data!$C$123:$G$123</c:f>
              <c:numCache>
                <c:formatCode>General</c:formatCode>
                <c:ptCount val="5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  <c:pt idx="4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182D-9E41-9288-E61E1936509E}"/>
            </c:ext>
          </c:extLst>
        </c:ser>
        <c:ser>
          <c:idx val="113"/>
          <c:order val="113"/>
          <c:tx>
            <c:strRef>
              <c:f>data!$B$124</c:f>
              <c:strCache>
                <c:ptCount val="1"/>
                <c:pt idx="0">
                  <c:v>Isle of Man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data!$C$124:$G$124</c:f>
              <c:numCache>
                <c:formatCode>General</c:formatCode>
                <c:ptCount val="5"/>
                <c:pt idx="0">
                  <c:v>3.46</c:v>
                </c:pt>
                <c:pt idx="1">
                  <c:v>3.46</c:v>
                </c:pt>
                <c:pt idx="2">
                  <c:v>3.46</c:v>
                </c:pt>
                <c:pt idx="3">
                  <c:v>3.46</c:v>
                </c:pt>
                <c:pt idx="4">
                  <c:v>3.46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182D-9E41-9288-E61E1936509E}"/>
            </c:ext>
          </c:extLst>
        </c:ser>
        <c:ser>
          <c:idx val="114"/>
          <c:order val="114"/>
          <c:tx>
            <c:strRef>
              <c:f>data!$B$125</c:f>
              <c:strCache>
                <c:ptCount val="1"/>
                <c:pt idx="0">
                  <c:v>Bonaire, Sint Eustatius and Saba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data!$C$125:$G$125</c:f>
              <c:numCache>
                <c:formatCode>General</c:formatCode>
                <c:ptCount val="5"/>
                <c:pt idx="0">
                  <c:v>1.91</c:v>
                </c:pt>
                <c:pt idx="1">
                  <c:v>1.91</c:v>
                </c:pt>
                <c:pt idx="2">
                  <c:v>1.91</c:v>
                </c:pt>
                <c:pt idx="3">
                  <c:v>1.91</c:v>
                </c:pt>
                <c:pt idx="4">
                  <c:v>1.91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182D-9E41-9288-E61E1936509E}"/>
            </c:ext>
          </c:extLst>
        </c:ser>
        <c:ser>
          <c:idx val="115"/>
          <c:order val="115"/>
          <c:tx>
            <c:strRef>
              <c:f>data!$B$126</c:f>
              <c:strCache>
                <c:ptCount val="1"/>
                <c:pt idx="0">
                  <c:v>Saint Helena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data!$C$126:$G$126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182D-9E41-9288-E61E1936509E}"/>
            </c:ext>
          </c:extLst>
        </c:ser>
        <c:ser>
          <c:idx val="116"/>
          <c:order val="116"/>
          <c:tx>
            <c:strRef>
              <c:f>data!$B$127</c:f>
              <c:strCache>
                <c:ptCount val="1"/>
                <c:pt idx="0">
                  <c:v>Jersey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data!$C$127:$G$127</c:f>
              <c:numCache>
                <c:formatCode>General</c:formatCode>
                <c:ptCount val="5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182D-9E41-9288-E61E1936509E}"/>
            </c:ext>
          </c:extLst>
        </c:ser>
        <c:ser>
          <c:idx val="117"/>
          <c:order val="117"/>
          <c:tx>
            <c:strRef>
              <c:f>data!$B$128</c:f>
              <c:strCache>
                <c:ptCount val="1"/>
                <c:pt idx="0">
                  <c:v>Maldives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data!$C$128:$G$128</c:f>
              <c:numCache>
                <c:formatCode>General</c:formatCode>
                <c:ptCount val="5"/>
                <c:pt idx="0">
                  <c:v>0.82</c:v>
                </c:pt>
                <c:pt idx="1">
                  <c:v>0.82</c:v>
                </c:pt>
                <c:pt idx="2">
                  <c:v>0.82</c:v>
                </c:pt>
                <c:pt idx="3">
                  <c:v>0.82</c:v>
                </c:pt>
                <c:pt idx="4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182D-9E41-9288-E61E1936509E}"/>
            </c:ext>
          </c:extLst>
        </c:ser>
        <c:ser>
          <c:idx val="118"/>
          <c:order val="118"/>
          <c:tx>
            <c:strRef>
              <c:f>data!$B$129</c:f>
              <c:strCache>
                <c:ptCount val="1"/>
                <c:pt idx="0">
                  <c:v>Aruba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data!$C$129:$G$129</c:f>
              <c:numCache>
                <c:formatCode>General</c:formatCode>
                <c:ptCount val="5"/>
                <c:pt idx="0">
                  <c:v>0.42</c:v>
                </c:pt>
                <c:pt idx="1">
                  <c:v>0.42</c:v>
                </c:pt>
                <c:pt idx="2">
                  <c:v>0.42</c:v>
                </c:pt>
                <c:pt idx="3">
                  <c:v>0.42</c:v>
                </c:pt>
                <c:pt idx="4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182D-9E41-9288-E61E1936509E}"/>
            </c:ext>
          </c:extLst>
        </c:ser>
        <c:ser>
          <c:idx val="119"/>
          <c:order val="119"/>
          <c:tx>
            <c:strRef>
              <c:f>data!$B$130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data!$C$130:$G$130</c:f>
              <c:numCache>
                <c:formatCode>#,##0</c:formatCode>
                <c:ptCount val="5"/>
                <c:pt idx="0">
                  <c:v>1208.44</c:v>
                </c:pt>
                <c:pt idx="1">
                  <c:v>1208.44</c:v>
                </c:pt>
                <c:pt idx="2">
                  <c:v>1208.44</c:v>
                </c:pt>
                <c:pt idx="3">
                  <c:v>1208.44</c:v>
                </c:pt>
                <c:pt idx="4">
                  <c:v>1208.44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182D-9E41-9288-E61E1936509E}"/>
            </c:ext>
          </c:extLst>
        </c:ser>
        <c:ser>
          <c:idx val="120"/>
          <c:order val="120"/>
          <c:tx>
            <c:strRef>
              <c:f>data!$B$131</c:f>
              <c:strCache>
                <c:ptCount val="1"/>
                <c:pt idx="0">
                  <c:v>Kiribati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data!$C$131:$G$131</c:f>
              <c:numCache>
                <c:formatCode>General</c:formatCode>
                <c:ptCount val="5"/>
                <c:pt idx="0">
                  <c:v>1.18</c:v>
                </c:pt>
                <c:pt idx="1">
                  <c:v>1.18</c:v>
                </c:pt>
                <c:pt idx="2">
                  <c:v>1.18</c:v>
                </c:pt>
                <c:pt idx="3">
                  <c:v>1.18</c:v>
                </c:pt>
                <c:pt idx="4">
                  <c:v>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182D-9E41-9288-E61E1936509E}"/>
            </c:ext>
          </c:extLst>
        </c:ser>
        <c:ser>
          <c:idx val="121"/>
          <c:order val="121"/>
          <c:tx>
            <c:strRef>
              <c:f>data!$B$132</c:f>
              <c:strCache>
                <c:ptCount val="1"/>
                <c:pt idx="0">
                  <c:v>Lesotho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data!$C$132:$G$132</c:f>
              <c:numCache>
                <c:formatCode>General</c:formatCode>
                <c:ptCount val="5"/>
                <c:pt idx="0">
                  <c:v>34.520000000000003</c:v>
                </c:pt>
                <c:pt idx="1">
                  <c:v>34.520000000000003</c:v>
                </c:pt>
                <c:pt idx="2">
                  <c:v>34.520000000000003</c:v>
                </c:pt>
                <c:pt idx="3">
                  <c:v>34.520000000000003</c:v>
                </c:pt>
                <c:pt idx="4">
                  <c:v>34.520000000000003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182D-9E41-9288-E61E1936509E}"/>
            </c:ext>
          </c:extLst>
        </c:ser>
        <c:ser>
          <c:idx val="122"/>
          <c:order val="122"/>
          <c:tx>
            <c:strRef>
              <c:f>data!$B$133</c:f>
              <c:strCache>
                <c:ptCount val="1"/>
                <c:pt idx="0">
                  <c:v>Jordan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data!$C$133:$G$133</c:f>
              <c:numCache>
                <c:formatCode>#,##0</c:formatCode>
                <c:ptCount val="5"/>
                <c:pt idx="0">
                  <c:v>97.5</c:v>
                </c:pt>
                <c:pt idx="1">
                  <c:v>97.5</c:v>
                </c:pt>
                <c:pt idx="2">
                  <c:v>97.5</c:v>
                </c:pt>
                <c:pt idx="3">
                  <c:v>97.5</c:v>
                </c:pt>
                <c:pt idx="4">
                  <c:v>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182D-9E41-9288-E61E1936509E}"/>
            </c:ext>
          </c:extLst>
        </c:ser>
        <c:ser>
          <c:idx val="123"/>
          <c:order val="123"/>
          <c:tx>
            <c:strRef>
              <c:f>data!$B$134</c:f>
              <c:strCache>
                <c:ptCount val="1"/>
                <c:pt idx="0">
                  <c:v>Yemen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data!$C$134:$G$134</c:f>
              <c:numCache>
                <c:formatCode>#,##0</c:formatCode>
                <c:ptCount val="5"/>
                <c:pt idx="0">
                  <c:v>549</c:v>
                </c:pt>
                <c:pt idx="1">
                  <c:v>549</c:v>
                </c:pt>
                <c:pt idx="2">
                  <c:v>549</c:v>
                </c:pt>
                <c:pt idx="3">
                  <c:v>549</c:v>
                </c:pt>
                <c:pt idx="4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182D-9E41-9288-E61E1936509E}"/>
            </c:ext>
          </c:extLst>
        </c:ser>
        <c:ser>
          <c:idx val="124"/>
          <c:order val="124"/>
          <c:tx>
            <c:strRef>
              <c:f>data!$B$135</c:f>
              <c:strCache>
                <c:ptCount val="1"/>
                <c:pt idx="0">
                  <c:v>Saudi Arabia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data!$C$135:$G$135</c:f>
              <c:numCache>
                <c:formatCode>#,##0</c:formatCode>
                <c:ptCount val="5"/>
                <c:pt idx="0">
                  <c:v>977</c:v>
                </c:pt>
                <c:pt idx="1">
                  <c:v>977</c:v>
                </c:pt>
                <c:pt idx="2">
                  <c:v>977</c:v>
                </c:pt>
                <c:pt idx="3">
                  <c:v>977</c:v>
                </c:pt>
                <c:pt idx="4">
                  <c:v>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182D-9E41-9288-E61E1936509E}"/>
            </c:ext>
          </c:extLst>
        </c:ser>
        <c:ser>
          <c:idx val="125"/>
          <c:order val="125"/>
          <c:tx>
            <c:strRef>
              <c:f>data!$B$136</c:f>
              <c:strCache>
                <c:ptCount val="1"/>
                <c:pt idx="0">
                  <c:v>Curaçao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data!$C$136:$G$136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182D-9E41-9288-E61E1936509E}"/>
            </c:ext>
          </c:extLst>
        </c:ser>
        <c:ser>
          <c:idx val="126"/>
          <c:order val="126"/>
          <c:tx>
            <c:strRef>
              <c:f>data!$B$137</c:f>
              <c:strCache>
                <c:ptCount val="1"/>
                <c:pt idx="0">
                  <c:v>Libya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data!$C$137:$G$137</c:f>
              <c:numCache>
                <c:formatCode>#,##0</c:formatCode>
                <c:ptCount val="5"/>
                <c:pt idx="0">
                  <c:v>217</c:v>
                </c:pt>
                <c:pt idx="1">
                  <c:v>217</c:v>
                </c:pt>
                <c:pt idx="2">
                  <c:v>217</c:v>
                </c:pt>
                <c:pt idx="3">
                  <c:v>217</c:v>
                </c:pt>
                <c:pt idx="4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182D-9E41-9288-E61E1936509E}"/>
            </c:ext>
          </c:extLst>
        </c:ser>
        <c:ser>
          <c:idx val="127"/>
          <c:order val="127"/>
          <c:tx>
            <c:strRef>
              <c:f>data!$B$138</c:f>
              <c:strCache>
                <c:ptCount val="1"/>
                <c:pt idx="0">
                  <c:v>Faeroe Islands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data!$C$138:$G$138</c:f>
              <c:numCache>
                <c:formatCode>General</c:formatCode>
                <c:ptCount val="5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182D-9E41-9288-E61E1936509E}"/>
            </c:ext>
          </c:extLst>
        </c:ser>
        <c:ser>
          <c:idx val="128"/>
          <c:order val="128"/>
          <c:tx>
            <c:strRef>
              <c:f>data!$B$139</c:f>
              <c:strCache>
                <c:ptCount val="1"/>
                <c:pt idx="0">
                  <c:v>Greenland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data!$C$139:$G$139</c:f>
              <c:numCache>
                <c:formatCode>#,##0</c:formatCode>
                <c:ptCount val="5"/>
                <c:pt idx="0">
                  <c:v>0.22</c:v>
                </c:pt>
                <c:pt idx="1">
                  <c:v>0.22</c:v>
                </c:pt>
                <c:pt idx="2">
                  <c:v>0.22</c:v>
                </c:pt>
                <c:pt idx="3">
                  <c:v>0.22</c:v>
                </c:pt>
                <c:pt idx="4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182D-9E41-9288-E61E1936509E}"/>
            </c:ext>
          </c:extLst>
        </c:ser>
        <c:ser>
          <c:idx val="129"/>
          <c:order val="129"/>
          <c:tx>
            <c:strRef>
              <c:f>data!$B$140</c:f>
              <c:strCache>
                <c:ptCount val="1"/>
                <c:pt idx="0">
                  <c:v>Svalbard and Jan Mayen Islands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data!$C$140:$G$140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182D-9E41-9288-E61E1936509E}"/>
            </c:ext>
          </c:extLst>
        </c:ser>
        <c:ser>
          <c:idx val="130"/>
          <c:order val="130"/>
          <c:tx>
            <c:strRef>
              <c:f>data!$B$141</c:f>
              <c:strCache>
                <c:ptCount val="1"/>
                <c:pt idx="0">
                  <c:v>Falkland Islands (Malvinas)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data!$C$141:$G$141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182D-9E41-9288-E61E1936509E}"/>
            </c:ext>
          </c:extLst>
        </c:ser>
        <c:ser>
          <c:idx val="131"/>
          <c:order val="131"/>
          <c:tx>
            <c:strRef>
              <c:f>data!$B$142</c:f>
              <c:strCache>
                <c:ptCount val="1"/>
                <c:pt idx="0">
                  <c:v>Gibraltar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data!$C$142:$G$142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182D-9E41-9288-E61E1936509E}"/>
            </c:ext>
          </c:extLst>
        </c:ser>
        <c:ser>
          <c:idx val="132"/>
          <c:order val="132"/>
          <c:tx>
            <c:strRef>
              <c:f>data!$B$143</c:f>
              <c:strCache>
                <c:ptCount val="1"/>
                <c:pt idx="0">
                  <c:v>Nauru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data!$C$143:$G$143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182D-9E41-9288-E61E1936509E}"/>
            </c:ext>
          </c:extLst>
        </c:ser>
        <c:ser>
          <c:idx val="133"/>
          <c:order val="133"/>
          <c:tx>
            <c:strRef>
              <c:f>data!$B$144</c:f>
              <c:strCache>
                <c:ptCount val="1"/>
                <c:pt idx="0">
                  <c:v>Qatar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data!$C$144:$G$144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182D-9E41-9288-E61E1936509E}"/>
            </c:ext>
          </c:extLst>
        </c:ser>
        <c:ser>
          <c:idx val="134"/>
          <c:order val="134"/>
          <c:tx>
            <c:strRef>
              <c:f>data!$B$145</c:f>
              <c:strCache>
                <c:ptCount val="1"/>
                <c:pt idx="0">
                  <c:v>Tokelau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data!$C$145:$G$145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182D-9E41-9288-E61E1936509E}"/>
            </c:ext>
          </c:extLst>
        </c:ser>
        <c:ser>
          <c:idx val="135"/>
          <c:order val="135"/>
          <c:tx>
            <c:strRef>
              <c:f>data!$B$146</c:f>
              <c:strCache>
                <c:ptCount val="1"/>
                <c:pt idx="0">
                  <c:v>Holy See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data!$C$146:$G$146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182D-9E41-9288-E61E1936509E}"/>
            </c:ext>
          </c:extLst>
        </c:ser>
        <c:ser>
          <c:idx val="136"/>
          <c:order val="136"/>
          <c:tx>
            <c:strRef>
              <c:f>data!$B$147</c:f>
              <c:strCache>
                <c:ptCount val="1"/>
                <c:pt idx="0">
                  <c:v>Monaco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data!$C$147:$G$147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182D-9E41-9288-E61E1936509E}"/>
            </c:ext>
          </c:extLst>
        </c:ser>
        <c:ser>
          <c:idx val="137"/>
          <c:order val="137"/>
          <c:tx>
            <c:strRef>
              <c:f>data!$B$148</c:f>
              <c:strCache>
                <c:ptCount val="1"/>
                <c:pt idx="0">
                  <c:v>Western Sahara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data!$C$148:$G$148</c:f>
              <c:numCache>
                <c:formatCode>#,##0</c:formatCode>
                <c:ptCount val="5"/>
                <c:pt idx="0">
                  <c:v>665.1</c:v>
                </c:pt>
                <c:pt idx="1">
                  <c:v>669.31</c:v>
                </c:pt>
                <c:pt idx="2">
                  <c:v>665.11</c:v>
                </c:pt>
                <c:pt idx="3">
                  <c:v>664.7</c:v>
                </c:pt>
                <c:pt idx="4">
                  <c:v>665.07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182D-9E41-9288-E61E1936509E}"/>
            </c:ext>
          </c:extLst>
        </c:ser>
        <c:ser>
          <c:idx val="138"/>
          <c:order val="138"/>
          <c:tx>
            <c:strRef>
              <c:f>data!$B$149</c:f>
              <c:strCache>
                <c:ptCount val="1"/>
                <c:pt idx="0">
                  <c:v>Oman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data!$C$149:$G$149</c:f>
              <c:numCache>
                <c:formatCode>#,##0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182D-9E41-9288-E61E1936509E}"/>
            </c:ext>
          </c:extLst>
        </c:ser>
        <c:ser>
          <c:idx val="139"/>
          <c:order val="139"/>
          <c:tx>
            <c:strRef>
              <c:f>data!$B$150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data!$C$150:$G$150</c:f>
              <c:numCache>
                <c:formatCode>#,##0</c:formatCode>
                <c:ptCount val="5"/>
                <c:pt idx="0">
                  <c:v>24950</c:v>
                </c:pt>
                <c:pt idx="1">
                  <c:v>24876</c:v>
                </c:pt>
                <c:pt idx="2">
                  <c:v>24966</c:v>
                </c:pt>
                <c:pt idx="3">
                  <c:v>24944</c:v>
                </c:pt>
                <c:pt idx="4">
                  <c:v>24935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182D-9E41-9288-E61E1936509E}"/>
            </c:ext>
          </c:extLst>
        </c:ser>
        <c:ser>
          <c:idx val="140"/>
          <c:order val="140"/>
          <c:tx>
            <c:strRef>
              <c:f>data!$B$151</c:f>
              <c:strCache>
                <c:ptCount val="1"/>
                <c:pt idx="0">
                  <c:v>Mongolia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data!$C$151:$G$151</c:f>
              <c:numCache>
                <c:formatCode>0</c:formatCode>
                <c:ptCount val="5"/>
                <c:pt idx="0">
                  <c:v>14352</c:v>
                </c:pt>
                <c:pt idx="1">
                  <c:v>14263.9</c:v>
                </c:pt>
                <c:pt idx="2">
                  <c:v>14183.9</c:v>
                </c:pt>
                <c:pt idx="3">
                  <c:v>14178.33</c:v>
                </c:pt>
                <c:pt idx="4">
                  <c:v>14172.78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182D-9E41-9288-E61E1936509E}"/>
            </c:ext>
          </c:extLst>
        </c:ser>
        <c:ser>
          <c:idx val="141"/>
          <c:order val="141"/>
          <c:tx>
            <c:strRef>
              <c:f>data!$B$152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data!$C$152:$G$152</c:f>
              <c:numCache>
                <c:formatCode>0</c:formatCode>
                <c:ptCount val="5"/>
                <c:pt idx="0">
                  <c:v>348272.93</c:v>
                </c:pt>
                <c:pt idx="1">
                  <c:v>347801.97</c:v>
                </c:pt>
                <c:pt idx="2">
                  <c:v>347322.21</c:v>
                </c:pt>
                <c:pt idx="3">
                  <c:v>347115.71</c:v>
                </c:pt>
                <c:pt idx="4">
                  <c:v>346928.1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182D-9E41-9288-E61E1936509E}"/>
            </c:ext>
          </c:extLst>
        </c:ser>
        <c:ser>
          <c:idx val="142"/>
          <c:order val="142"/>
          <c:tx>
            <c:strRef>
              <c:f>data!$B$153</c:f>
              <c:strCache>
                <c:ptCount val="1"/>
                <c:pt idx="0">
                  <c:v>Mauritania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data!$C$153:$G$153</c:f>
              <c:numCache>
                <c:formatCode>0</c:formatCode>
                <c:ptCount val="5"/>
                <c:pt idx="0">
                  <c:v>476.04</c:v>
                </c:pt>
                <c:pt idx="1">
                  <c:v>421.64</c:v>
                </c:pt>
                <c:pt idx="2">
                  <c:v>367.24</c:v>
                </c:pt>
                <c:pt idx="3">
                  <c:v>340.04</c:v>
                </c:pt>
                <c:pt idx="4">
                  <c:v>312.8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182D-9E41-9288-E61E1936509E}"/>
            </c:ext>
          </c:extLst>
        </c:ser>
        <c:ser>
          <c:idx val="143"/>
          <c:order val="143"/>
          <c:tx>
            <c:strRef>
              <c:f>data!$B$154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data!$C$154:$G$154</c:f>
              <c:numCache>
                <c:formatCode>#,##0</c:formatCode>
                <c:ptCount val="5"/>
                <c:pt idx="0">
                  <c:v>28063</c:v>
                </c:pt>
                <c:pt idx="1">
                  <c:v>28163</c:v>
                </c:pt>
                <c:pt idx="2">
                  <c:v>28073</c:v>
                </c:pt>
                <c:pt idx="3">
                  <c:v>27980</c:v>
                </c:pt>
                <c:pt idx="4">
                  <c:v>27980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182D-9E41-9288-E61E1936509E}"/>
            </c:ext>
          </c:extLst>
        </c:ser>
        <c:ser>
          <c:idx val="144"/>
          <c:order val="144"/>
          <c:tx>
            <c:strRef>
              <c:f>data!$B$155</c:f>
              <c:strCache>
                <c:ptCount val="1"/>
                <c:pt idx="0">
                  <c:v>Armenia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data!$C$155:$G$155</c:f>
              <c:numCache>
                <c:formatCode>0</c:formatCode>
                <c:ptCount val="5"/>
                <c:pt idx="0">
                  <c:v>334.73</c:v>
                </c:pt>
                <c:pt idx="1">
                  <c:v>332.64</c:v>
                </c:pt>
                <c:pt idx="2">
                  <c:v>330.56</c:v>
                </c:pt>
                <c:pt idx="3">
                  <c:v>329.52</c:v>
                </c:pt>
                <c:pt idx="4">
                  <c:v>328.47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182D-9E41-9288-E61E1936509E}"/>
            </c:ext>
          </c:extLst>
        </c:ser>
        <c:ser>
          <c:idx val="145"/>
          <c:order val="145"/>
          <c:tx>
            <c:strRef>
              <c:f>data!$B$156</c:f>
              <c:strCache>
                <c:ptCount val="1"/>
                <c:pt idx="0">
                  <c:v>Niue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data!$C$156:$G$156</c:f>
              <c:numCache>
                <c:formatCode>General</c:formatCode>
                <c:ptCount val="5"/>
                <c:pt idx="0">
                  <c:v>18.93</c:v>
                </c:pt>
                <c:pt idx="1">
                  <c:v>18.829999999999998</c:v>
                </c:pt>
                <c:pt idx="2">
                  <c:v>18.77</c:v>
                </c:pt>
                <c:pt idx="3">
                  <c:v>18.82</c:v>
                </c:pt>
                <c:pt idx="4">
                  <c:v>18.87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182D-9E41-9288-E61E1936509E}"/>
            </c:ext>
          </c:extLst>
        </c:ser>
        <c:ser>
          <c:idx val="146"/>
          <c:order val="146"/>
          <c:tx>
            <c:strRef>
              <c:f>data!$B$157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data!$C$157:$G$157</c:f>
              <c:numCache>
                <c:formatCode>#,##0</c:formatCode>
                <c:ptCount val="5"/>
                <c:pt idx="0">
                  <c:v>1920.33</c:v>
                </c:pt>
                <c:pt idx="1">
                  <c:v>1920.33</c:v>
                </c:pt>
                <c:pt idx="2">
                  <c:v>1888.34</c:v>
                </c:pt>
                <c:pt idx="3">
                  <c:v>1883.4</c:v>
                </c:pt>
                <c:pt idx="4">
                  <c:v>1883.4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182D-9E41-9288-E61E1936509E}"/>
            </c:ext>
          </c:extLst>
        </c:ser>
        <c:ser>
          <c:idx val="147"/>
          <c:order val="147"/>
          <c:tx>
            <c:strRef>
              <c:f>data!$B$158</c:f>
              <c:strCache>
                <c:ptCount val="1"/>
                <c:pt idx="0">
                  <c:v>Bosnia and Herzegovina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data!$C$158:$G$158</c:f>
              <c:numCache>
                <c:formatCode>#,##0</c:formatCode>
                <c:ptCount val="5"/>
                <c:pt idx="0">
                  <c:v>2210</c:v>
                </c:pt>
                <c:pt idx="1">
                  <c:v>2111.65</c:v>
                </c:pt>
                <c:pt idx="2">
                  <c:v>2102.66</c:v>
                </c:pt>
                <c:pt idx="3">
                  <c:v>2160.5</c:v>
                </c:pt>
                <c:pt idx="4">
                  <c:v>2187.91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182D-9E41-9288-E61E1936509E}"/>
            </c:ext>
          </c:extLst>
        </c:ser>
        <c:ser>
          <c:idx val="148"/>
          <c:order val="148"/>
          <c:tx>
            <c:strRef>
              <c:f>data!$B$159</c:f>
              <c:strCache>
                <c:ptCount val="1"/>
                <c:pt idx="0">
                  <c:v>Kenya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data!$C$159:$G$159</c:f>
              <c:numCache>
                <c:formatCode>#,##0</c:formatCode>
                <c:ptCount val="5"/>
                <c:pt idx="0">
                  <c:v>3858.54</c:v>
                </c:pt>
                <c:pt idx="1">
                  <c:v>3961.19</c:v>
                </c:pt>
                <c:pt idx="2">
                  <c:v>3616.34</c:v>
                </c:pt>
                <c:pt idx="3">
                  <c:v>3522.41</c:v>
                </c:pt>
                <c:pt idx="4">
                  <c:v>3611.09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182D-9E41-9288-E61E1936509E}"/>
            </c:ext>
          </c:extLst>
        </c:ser>
        <c:ser>
          <c:idx val="149"/>
          <c:order val="149"/>
          <c:tx>
            <c:strRef>
              <c:f>data!$B$160</c:f>
              <c:strCache>
                <c:ptCount val="1"/>
                <c:pt idx="0">
                  <c:v>British Virgin Islands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data!$C$160:$G$160</c:f>
              <c:numCache>
                <c:formatCode>General</c:formatCode>
                <c:ptCount val="5"/>
                <c:pt idx="0">
                  <c:v>3.71</c:v>
                </c:pt>
                <c:pt idx="1">
                  <c:v>3.67</c:v>
                </c:pt>
                <c:pt idx="2">
                  <c:v>3.64</c:v>
                </c:pt>
                <c:pt idx="3">
                  <c:v>3.62</c:v>
                </c:pt>
                <c:pt idx="4">
                  <c:v>3.62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182D-9E41-9288-E61E1936509E}"/>
            </c:ext>
          </c:extLst>
        </c:ser>
        <c:ser>
          <c:idx val="150"/>
          <c:order val="150"/>
          <c:tx>
            <c:strRef>
              <c:f>data!$B$161</c:f>
              <c:strCache>
                <c:ptCount val="1"/>
                <c:pt idx="0">
                  <c:v>Niger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data!$C$161:$G$161</c:f>
              <c:numCache>
                <c:formatCode>0</c:formatCode>
                <c:ptCount val="5"/>
                <c:pt idx="0">
                  <c:v>1945</c:v>
                </c:pt>
                <c:pt idx="1">
                  <c:v>1328.1</c:v>
                </c:pt>
                <c:pt idx="2">
                  <c:v>1203.9000000000001</c:v>
                </c:pt>
                <c:pt idx="3">
                  <c:v>1141.8</c:v>
                </c:pt>
                <c:pt idx="4">
                  <c:v>1079.7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182D-9E41-9288-E61E1936509E}"/>
            </c:ext>
          </c:extLst>
        </c:ser>
        <c:ser>
          <c:idx val="151"/>
          <c:order val="151"/>
          <c:tx>
            <c:strRef>
              <c:f>data!$B$162</c:f>
              <c:strCache>
                <c:ptCount val="1"/>
                <c:pt idx="0">
                  <c:v>Guadeloupe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data!$C$162:$G$162</c:f>
              <c:numCache>
                <c:formatCode>General</c:formatCode>
                <c:ptCount val="5"/>
                <c:pt idx="0">
                  <c:v>73.17</c:v>
                </c:pt>
                <c:pt idx="1">
                  <c:v>72.27</c:v>
                </c:pt>
                <c:pt idx="2">
                  <c:v>71.55</c:v>
                </c:pt>
                <c:pt idx="3">
                  <c:v>72.22</c:v>
                </c:pt>
                <c:pt idx="4">
                  <c:v>71.92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182D-9E41-9288-E61E1936509E}"/>
            </c:ext>
          </c:extLst>
        </c:ser>
        <c:ser>
          <c:idx val="152"/>
          <c:order val="152"/>
          <c:tx>
            <c:strRef>
              <c:f>data!$B$163</c:f>
              <c:strCache>
                <c:ptCount val="1"/>
                <c:pt idx="0">
                  <c:v>Solomon Islands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data!$C$163:$G$163</c:f>
              <c:numCache>
                <c:formatCode>0</c:formatCode>
                <c:ptCount val="5"/>
                <c:pt idx="0">
                  <c:v>2544.91</c:v>
                </c:pt>
                <c:pt idx="1">
                  <c:v>2537.6</c:v>
                </c:pt>
                <c:pt idx="2">
                  <c:v>2530.2800000000002</c:v>
                </c:pt>
                <c:pt idx="3">
                  <c:v>2526.62</c:v>
                </c:pt>
                <c:pt idx="4">
                  <c:v>2522.9699999999998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182D-9E41-9288-E61E1936509E}"/>
            </c:ext>
          </c:extLst>
        </c:ser>
        <c:ser>
          <c:idx val="153"/>
          <c:order val="153"/>
          <c:tx>
            <c:strRef>
              <c:f>data!$B$164</c:f>
              <c:strCache>
                <c:ptCount val="1"/>
                <c:pt idx="0">
                  <c:v>Saint Lucia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data!$C$164:$G$164</c:f>
              <c:numCache>
                <c:formatCode>General</c:formatCode>
                <c:ptCount val="5"/>
                <c:pt idx="0">
                  <c:v>21.27</c:v>
                </c:pt>
                <c:pt idx="1">
                  <c:v>21.01</c:v>
                </c:pt>
                <c:pt idx="2">
                  <c:v>20.77</c:v>
                </c:pt>
                <c:pt idx="3">
                  <c:v>20.77</c:v>
                </c:pt>
                <c:pt idx="4">
                  <c:v>20.77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182D-9E41-9288-E61E1936509E}"/>
            </c:ext>
          </c:extLst>
        </c:ser>
        <c:ser>
          <c:idx val="154"/>
          <c:order val="154"/>
          <c:tx>
            <c:strRef>
              <c:f>data!$B$165</c:f>
              <c:strCache>
                <c:ptCount val="1"/>
                <c:pt idx="0">
                  <c:v>Gabon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data!$C$165:$G$165</c:f>
              <c:numCache>
                <c:formatCode>0</c:formatCode>
                <c:ptCount val="5"/>
                <c:pt idx="0">
                  <c:v>23761.62</c:v>
                </c:pt>
                <c:pt idx="1">
                  <c:v>23700</c:v>
                </c:pt>
                <c:pt idx="2">
                  <c:v>23649.41</c:v>
                </c:pt>
                <c:pt idx="3">
                  <c:v>23590</c:v>
                </c:pt>
                <c:pt idx="4">
                  <c:v>23530.6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182D-9E41-9288-E61E1936509E}"/>
            </c:ext>
          </c:extLst>
        </c:ser>
        <c:ser>
          <c:idx val="155"/>
          <c:order val="155"/>
          <c:tx>
            <c:strRef>
              <c:f>data!$B$166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data!$C$166:$G$166</c:f>
              <c:numCache>
                <c:formatCode>0</c:formatCode>
                <c:ptCount val="5"/>
                <c:pt idx="0">
                  <c:v>18142.09</c:v>
                </c:pt>
                <c:pt idx="1">
                  <c:v>17778.09</c:v>
                </c:pt>
                <c:pt idx="2">
                  <c:v>17414.09</c:v>
                </c:pt>
                <c:pt idx="3">
                  <c:v>17232.09</c:v>
                </c:pt>
                <c:pt idx="4">
                  <c:v>17050.09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182D-9E41-9288-E61E1936509E}"/>
            </c:ext>
          </c:extLst>
        </c:ser>
        <c:ser>
          <c:idx val="156"/>
          <c:order val="156"/>
          <c:tx>
            <c:strRef>
              <c:f>data!$B$167</c:f>
              <c:strCache>
                <c:ptCount val="1"/>
                <c:pt idx="0">
                  <c:v>Eritrea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data!$C$167:$G$167</c:f>
              <c:numCache>
                <c:formatCode>0</c:formatCode>
                <c:ptCount val="5"/>
                <c:pt idx="0">
                  <c:v>1150.06</c:v>
                </c:pt>
                <c:pt idx="1">
                  <c:v>1118.46</c:v>
                </c:pt>
                <c:pt idx="2">
                  <c:v>1086.8599999999999</c:v>
                </c:pt>
                <c:pt idx="3">
                  <c:v>1071.06</c:v>
                </c:pt>
                <c:pt idx="4">
                  <c:v>1055.26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182D-9E41-9288-E61E1936509E}"/>
            </c:ext>
          </c:extLst>
        </c:ser>
        <c:ser>
          <c:idx val="157"/>
          <c:order val="157"/>
          <c:tx>
            <c:strRef>
              <c:f>data!$B$168</c:f>
              <c:strCache>
                <c:ptCount val="1"/>
                <c:pt idx="0">
                  <c:v>Guyana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data!$C$168:$G$168</c:f>
              <c:numCache>
                <c:formatCode>0</c:formatCode>
                <c:ptCount val="5"/>
                <c:pt idx="0">
                  <c:v>18602.150000000001</c:v>
                </c:pt>
                <c:pt idx="1">
                  <c:v>18564.22</c:v>
                </c:pt>
                <c:pt idx="2">
                  <c:v>18519.810000000001</c:v>
                </c:pt>
                <c:pt idx="3">
                  <c:v>18461.36</c:v>
                </c:pt>
                <c:pt idx="4">
                  <c:v>18415.34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182D-9E41-9288-E61E1936509E}"/>
            </c:ext>
          </c:extLst>
        </c:ser>
        <c:ser>
          <c:idx val="158"/>
          <c:order val="158"/>
          <c:tx>
            <c:strRef>
              <c:f>data!$B$169</c:f>
              <c:strCache>
                <c:ptCount val="1"/>
                <c:pt idx="0">
                  <c:v>Portugal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data!$C$169:$G$169</c:f>
              <c:numCache>
                <c:formatCode>#,##0</c:formatCode>
                <c:ptCount val="5"/>
                <c:pt idx="0">
                  <c:v>3399</c:v>
                </c:pt>
                <c:pt idx="1">
                  <c:v>3281</c:v>
                </c:pt>
                <c:pt idx="2">
                  <c:v>3252</c:v>
                </c:pt>
                <c:pt idx="3">
                  <c:v>3312</c:v>
                </c:pt>
                <c:pt idx="4">
                  <c:v>3312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182D-9E41-9288-E61E1936509E}"/>
            </c:ext>
          </c:extLst>
        </c:ser>
        <c:ser>
          <c:idx val="159"/>
          <c:order val="159"/>
          <c:tx>
            <c:strRef>
              <c:f>data!$B$170</c:f>
              <c:strCache>
                <c:ptCount val="1"/>
                <c:pt idx="0">
                  <c:v>Congo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data!$C$170:$G$170</c:f>
              <c:numCache>
                <c:formatCode>0</c:formatCode>
                <c:ptCount val="5"/>
                <c:pt idx="0">
                  <c:v>22315</c:v>
                </c:pt>
                <c:pt idx="1">
                  <c:v>22195</c:v>
                </c:pt>
                <c:pt idx="2">
                  <c:v>22075</c:v>
                </c:pt>
                <c:pt idx="3">
                  <c:v>22015</c:v>
                </c:pt>
                <c:pt idx="4">
                  <c:v>21946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182D-9E41-9288-E61E1936509E}"/>
            </c:ext>
          </c:extLst>
        </c:ser>
        <c:ser>
          <c:idx val="160"/>
          <c:order val="160"/>
          <c:tx>
            <c:strRef>
              <c:f>data!$B$171</c:f>
              <c:strCache>
                <c:ptCount val="1"/>
                <c:pt idx="0">
                  <c:v>Mauritius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data!$C$171:$G$171</c:f>
              <c:numCache>
                <c:formatCode>General</c:formatCode>
                <c:ptCount val="5"/>
                <c:pt idx="0">
                  <c:v>41.07</c:v>
                </c:pt>
                <c:pt idx="1">
                  <c:v>41.93</c:v>
                </c:pt>
                <c:pt idx="2">
                  <c:v>38.39</c:v>
                </c:pt>
                <c:pt idx="3">
                  <c:v>38.299999999999997</c:v>
                </c:pt>
                <c:pt idx="4">
                  <c:v>38.770000000000003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182D-9E41-9288-E61E1936509E}"/>
            </c:ext>
          </c:extLst>
        </c:ser>
        <c:ser>
          <c:idx val="161"/>
          <c:order val="161"/>
          <c:tx>
            <c:strRef>
              <c:f>data!$B$172</c:f>
              <c:strCache>
                <c:ptCount val="1"/>
                <c:pt idx="0">
                  <c:v>Suriname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data!$C$172:$G$172</c:f>
              <c:numCache>
                <c:formatCode>0</c:formatCode>
                <c:ptCount val="5"/>
                <c:pt idx="0">
                  <c:v>15377.63</c:v>
                </c:pt>
                <c:pt idx="1">
                  <c:v>15340.87</c:v>
                </c:pt>
                <c:pt idx="2">
                  <c:v>15299.86</c:v>
                </c:pt>
                <c:pt idx="3">
                  <c:v>15251.67</c:v>
                </c:pt>
                <c:pt idx="4">
                  <c:v>15196.29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182D-9E41-9288-E61E1936509E}"/>
            </c:ext>
          </c:extLst>
        </c:ser>
        <c:ser>
          <c:idx val="162"/>
          <c:order val="162"/>
          <c:tx>
            <c:strRef>
              <c:f>data!$B$173</c:f>
              <c:strCache>
                <c:ptCount val="1"/>
                <c:pt idx="0">
                  <c:v>Papua New Guinea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data!$C$173:$G$173</c:f>
              <c:numCache>
                <c:formatCode>0</c:formatCode>
                <c:ptCount val="5"/>
                <c:pt idx="0">
                  <c:v>36399.68</c:v>
                </c:pt>
                <c:pt idx="1">
                  <c:v>36277.97</c:v>
                </c:pt>
                <c:pt idx="2">
                  <c:v>36178.89</c:v>
                </c:pt>
                <c:pt idx="3">
                  <c:v>36024.42</c:v>
                </c:pt>
                <c:pt idx="4">
                  <c:v>35855.760000000002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182D-9E41-9288-E61E1936509E}"/>
            </c:ext>
          </c:extLst>
        </c:ser>
        <c:ser>
          <c:idx val="163"/>
          <c:order val="163"/>
          <c:tx>
            <c:strRef>
              <c:f>data!$B$174</c:f>
              <c:strCache>
                <c:ptCount val="1"/>
                <c:pt idx="0">
                  <c:v>Haiti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data!$C$174:$G$174</c:f>
              <c:numCache>
                <c:formatCode>0</c:formatCode>
                <c:ptCount val="5"/>
                <c:pt idx="0">
                  <c:v>382.92</c:v>
                </c:pt>
                <c:pt idx="1">
                  <c:v>380.65</c:v>
                </c:pt>
                <c:pt idx="2">
                  <c:v>378.38</c:v>
                </c:pt>
                <c:pt idx="3">
                  <c:v>362.85</c:v>
                </c:pt>
                <c:pt idx="4">
                  <c:v>347.3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182D-9E41-9288-E61E1936509E}"/>
            </c:ext>
          </c:extLst>
        </c:ser>
        <c:ser>
          <c:idx val="164"/>
          <c:order val="164"/>
          <c:tx>
            <c:strRef>
              <c:f>data!$B$175</c:f>
              <c:strCache>
                <c:ptCount val="1"/>
                <c:pt idx="0">
                  <c:v>Central African Republic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data!$C$175:$G$175</c:f>
              <c:numCache>
                <c:formatCode>0</c:formatCode>
                <c:ptCount val="5"/>
                <c:pt idx="0">
                  <c:v>23203</c:v>
                </c:pt>
                <c:pt idx="1">
                  <c:v>22903</c:v>
                </c:pt>
                <c:pt idx="2">
                  <c:v>22603</c:v>
                </c:pt>
                <c:pt idx="3">
                  <c:v>22453</c:v>
                </c:pt>
                <c:pt idx="4">
                  <c:v>22303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182D-9E41-9288-E61E1936509E}"/>
            </c:ext>
          </c:extLst>
        </c:ser>
        <c:ser>
          <c:idx val="165"/>
          <c:order val="165"/>
          <c:tx>
            <c:strRef>
              <c:f>data!$B$176</c:f>
              <c:strCache>
                <c:ptCount val="1"/>
                <c:pt idx="0">
                  <c:v>French Guiana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data!$C$176:$G$176</c:f>
              <c:numCache>
                <c:formatCode>0</c:formatCode>
                <c:ptCount val="5"/>
                <c:pt idx="0">
                  <c:v>8125</c:v>
                </c:pt>
                <c:pt idx="1">
                  <c:v>8079.44</c:v>
                </c:pt>
                <c:pt idx="2">
                  <c:v>8036.5</c:v>
                </c:pt>
                <c:pt idx="3">
                  <c:v>8020</c:v>
                </c:pt>
                <c:pt idx="4">
                  <c:v>8002.85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182D-9E41-9288-E61E1936509E}"/>
            </c:ext>
          </c:extLst>
        </c:ser>
        <c:ser>
          <c:idx val="166"/>
          <c:order val="166"/>
          <c:tx>
            <c:strRef>
              <c:f>data!$B$177</c:f>
              <c:strCache>
                <c:ptCount val="1"/>
                <c:pt idx="0">
                  <c:v>Pakistan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data!$C$177:$G$177</c:f>
              <c:numCache>
                <c:formatCode>0</c:formatCode>
                <c:ptCount val="5"/>
                <c:pt idx="0">
                  <c:v>4986.79</c:v>
                </c:pt>
                <c:pt idx="1">
                  <c:v>4511.26</c:v>
                </c:pt>
                <c:pt idx="2">
                  <c:v>4093.73</c:v>
                </c:pt>
                <c:pt idx="3">
                  <c:v>3932.6</c:v>
                </c:pt>
                <c:pt idx="4">
                  <c:v>3725.9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182D-9E41-9288-E61E1936509E}"/>
            </c:ext>
          </c:extLst>
        </c:ser>
        <c:ser>
          <c:idx val="167"/>
          <c:order val="167"/>
          <c:tx>
            <c:strRef>
              <c:f>data!$B$178</c:f>
              <c:strCache>
                <c:ptCount val="1"/>
                <c:pt idx="0">
                  <c:v>Rwanda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data!$C$178:$G$178</c:f>
              <c:numCache>
                <c:formatCode>General</c:formatCode>
                <c:ptCount val="5"/>
                <c:pt idx="0">
                  <c:v>317</c:v>
                </c:pt>
                <c:pt idx="1">
                  <c:v>287</c:v>
                </c:pt>
                <c:pt idx="2">
                  <c:v>265</c:v>
                </c:pt>
                <c:pt idx="3">
                  <c:v>270</c:v>
                </c:pt>
                <c:pt idx="4">
                  <c:v>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182D-9E41-9288-E61E1936509E}"/>
            </c:ext>
          </c:extLst>
        </c:ser>
        <c:ser>
          <c:idx val="168"/>
          <c:order val="168"/>
          <c:tx>
            <c:strRef>
              <c:f>data!$B$179</c:f>
              <c:strCache>
                <c:ptCount val="1"/>
                <c:pt idx="0">
                  <c:v>Cayman Islands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data!$C$179:$G$179</c:f>
              <c:numCache>
                <c:formatCode>General</c:formatCode>
                <c:ptCount val="5"/>
                <c:pt idx="0">
                  <c:v>13.13</c:v>
                </c:pt>
                <c:pt idx="1">
                  <c:v>12.93</c:v>
                </c:pt>
                <c:pt idx="2">
                  <c:v>12.72</c:v>
                </c:pt>
                <c:pt idx="3">
                  <c:v>12.72</c:v>
                </c:pt>
                <c:pt idx="4">
                  <c:v>12.72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182D-9E41-9288-E61E1936509E}"/>
            </c:ext>
          </c:extLst>
        </c:ser>
        <c:ser>
          <c:idx val="169"/>
          <c:order val="169"/>
          <c:tx>
            <c:strRef>
              <c:f>data!$B$180</c:f>
              <c:strCache>
                <c:ptCount val="1"/>
                <c:pt idx="0">
                  <c:v>Chad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data!$C$180:$G$180</c:f>
              <c:numCache>
                <c:formatCode>0</c:formatCode>
                <c:ptCount val="5"/>
                <c:pt idx="0">
                  <c:v>6730</c:v>
                </c:pt>
                <c:pt idx="1">
                  <c:v>6353</c:v>
                </c:pt>
                <c:pt idx="2">
                  <c:v>5530</c:v>
                </c:pt>
                <c:pt idx="3">
                  <c:v>4890</c:v>
                </c:pt>
                <c:pt idx="4">
                  <c:v>4313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182D-9E41-9288-E61E1936509E}"/>
            </c:ext>
          </c:extLst>
        </c:ser>
        <c:ser>
          <c:idx val="170"/>
          <c:order val="170"/>
          <c:tx>
            <c:strRef>
              <c:f>data!$B$181</c:f>
              <c:strCache>
                <c:ptCount val="1"/>
                <c:pt idx="0">
                  <c:v>Ethiopia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data!$C$181:$G$181</c:f>
              <c:numCache>
                <c:formatCode>0</c:formatCode>
                <c:ptCount val="5"/>
                <c:pt idx="0">
                  <c:v>19258.5</c:v>
                </c:pt>
                <c:pt idx="1">
                  <c:v>18528.5</c:v>
                </c:pt>
                <c:pt idx="2">
                  <c:v>17798.5</c:v>
                </c:pt>
                <c:pt idx="3">
                  <c:v>17433.5</c:v>
                </c:pt>
                <c:pt idx="4">
                  <c:v>17068.5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182D-9E41-9288-E61E1936509E}"/>
            </c:ext>
          </c:extLst>
        </c:ser>
        <c:ser>
          <c:idx val="171"/>
          <c:order val="171"/>
          <c:tx>
            <c:strRef>
              <c:f>data!$B$182</c:f>
              <c:strCache>
                <c:ptCount val="1"/>
                <c:pt idx="0">
                  <c:v>Philippines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data!$C$182:$G$182</c:f>
              <c:numCache>
                <c:formatCode>#,##0</c:formatCode>
                <c:ptCount val="5"/>
                <c:pt idx="0">
                  <c:v>7778.81</c:v>
                </c:pt>
                <c:pt idx="1">
                  <c:v>7309.26</c:v>
                </c:pt>
                <c:pt idx="2">
                  <c:v>6839.72</c:v>
                </c:pt>
                <c:pt idx="3">
                  <c:v>7014.15</c:v>
                </c:pt>
                <c:pt idx="4">
                  <c:v>7188.59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182D-9E41-9288-E61E1936509E}"/>
            </c:ext>
          </c:extLst>
        </c:ser>
        <c:ser>
          <c:idx val="172"/>
          <c:order val="172"/>
          <c:tx>
            <c:strRef>
              <c:f>data!$B$183</c:f>
              <c:strCache>
                <c:ptCount val="1"/>
                <c:pt idx="0">
                  <c:v>Madagascar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data!$C$183:$G$183</c:f>
              <c:numCache>
                <c:formatCode>0</c:formatCode>
                <c:ptCount val="5"/>
                <c:pt idx="0">
                  <c:v>13693.45</c:v>
                </c:pt>
                <c:pt idx="1">
                  <c:v>13030.67</c:v>
                </c:pt>
                <c:pt idx="2">
                  <c:v>12561.98</c:v>
                </c:pt>
                <c:pt idx="3">
                  <c:v>12495.89</c:v>
                </c:pt>
                <c:pt idx="4">
                  <c:v>12429.81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182D-9E41-9288-E61E1936509E}"/>
            </c:ext>
          </c:extLst>
        </c:ser>
        <c:ser>
          <c:idx val="173"/>
          <c:order val="173"/>
          <c:tx>
            <c:strRef>
              <c:f>data!$B$184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data!$C$184:$G$184</c:f>
              <c:numCache>
                <c:formatCode>0</c:formatCode>
                <c:ptCount val="5"/>
                <c:pt idx="0">
                  <c:v>35204</c:v>
                </c:pt>
                <c:pt idx="1">
                  <c:v>33378</c:v>
                </c:pt>
                <c:pt idx="2">
                  <c:v>30214</c:v>
                </c:pt>
                <c:pt idx="3">
                  <c:v>29097</c:v>
                </c:pt>
                <c:pt idx="4">
                  <c:v>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182D-9E41-9288-E61E1936509E}"/>
            </c:ext>
          </c:extLst>
        </c:ser>
        <c:ser>
          <c:idx val="174"/>
          <c:order val="174"/>
          <c:tx>
            <c:strRef>
              <c:f>data!$B$185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data!$C$185:$G$185</c:f>
              <c:numCache>
                <c:formatCode>0</c:formatCode>
                <c:ptCount val="5"/>
                <c:pt idx="0">
                  <c:v>70591.649999999994</c:v>
                </c:pt>
                <c:pt idx="1">
                  <c:v>68381.350000000006</c:v>
                </c:pt>
                <c:pt idx="2">
                  <c:v>66943.31</c:v>
                </c:pt>
                <c:pt idx="3">
                  <c:v>66330.91</c:v>
                </c:pt>
                <c:pt idx="4">
                  <c:v>65692.08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182D-9E41-9288-E61E1936509E}"/>
            </c:ext>
          </c:extLst>
        </c:ser>
        <c:ser>
          <c:idx val="175"/>
          <c:order val="175"/>
          <c:tx>
            <c:strRef>
              <c:f>data!$B$186</c:f>
              <c:strCache>
                <c:ptCount val="1"/>
                <c:pt idx="0">
                  <c:v>Namibia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data!$C$186:$G$186</c:f>
              <c:numCache>
                <c:formatCode>0</c:formatCode>
                <c:ptCount val="5"/>
                <c:pt idx="0">
                  <c:v>8769.17</c:v>
                </c:pt>
                <c:pt idx="1">
                  <c:v>8059.08</c:v>
                </c:pt>
                <c:pt idx="2">
                  <c:v>7348.99</c:v>
                </c:pt>
                <c:pt idx="3">
                  <c:v>6993.95</c:v>
                </c:pt>
                <c:pt idx="4">
                  <c:v>6638.9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182D-9E41-9288-E61E1936509E}"/>
            </c:ext>
          </c:extLst>
        </c:ser>
        <c:ser>
          <c:idx val="176"/>
          <c:order val="176"/>
          <c:tx>
            <c:strRef>
              <c:f>data!$B$187</c:f>
              <c:strCache>
                <c:ptCount val="1"/>
                <c:pt idx="0">
                  <c:v>Trinidad and Tobago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data!$C$187:$G$187</c:f>
              <c:numCache>
                <c:formatCode>0</c:formatCode>
                <c:ptCount val="5"/>
                <c:pt idx="0">
                  <c:v>242.06</c:v>
                </c:pt>
                <c:pt idx="1">
                  <c:v>236.65</c:v>
                </c:pt>
                <c:pt idx="2">
                  <c:v>232.41</c:v>
                </c:pt>
                <c:pt idx="3">
                  <c:v>230.29</c:v>
                </c:pt>
                <c:pt idx="4">
                  <c:v>228.19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182D-9E41-9288-E61E1936509E}"/>
            </c:ext>
          </c:extLst>
        </c:ser>
        <c:ser>
          <c:idx val="177"/>
          <c:order val="177"/>
          <c:tx>
            <c:strRef>
              <c:f>data!$B$188</c:f>
              <c:strCache>
                <c:ptCount val="1"/>
                <c:pt idx="0">
                  <c:v>Republic of Korea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data!$C$188:$G$188</c:f>
              <c:numCache>
                <c:formatCode>0</c:formatCode>
                <c:ptCount val="5"/>
                <c:pt idx="0">
                  <c:v>6551</c:v>
                </c:pt>
                <c:pt idx="1">
                  <c:v>6476</c:v>
                </c:pt>
                <c:pt idx="2">
                  <c:v>6387</c:v>
                </c:pt>
                <c:pt idx="3">
                  <c:v>6337</c:v>
                </c:pt>
                <c:pt idx="4">
                  <c:v>6287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182D-9E41-9288-E61E1936509E}"/>
            </c:ext>
          </c:extLst>
        </c:ser>
        <c:ser>
          <c:idx val="178"/>
          <c:order val="178"/>
          <c:tx>
            <c:strRef>
              <c:f>data!$B$189</c:f>
              <c:strCache>
                <c:ptCount val="1"/>
                <c:pt idx="0">
                  <c:v>Sudan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data!$C$189:$G$189</c:f>
              <c:numCache>
                <c:formatCode>0</c:formatCode>
                <c:ptCount val="5"/>
                <c:pt idx="0">
                  <c:v>23570.31</c:v>
                </c:pt>
                <c:pt idx="1">
                  <c:v>21826.16</c:v>
                </c:pt>
                <c:pt idx="2">
                  <c:v>20081.169999999998</c:v>
                </c:pt>
                <c:pt idx="3">
                  <c:v>19209.93</c:v>
                </c:pt>
                <c:pt idx="4">
                  <c:v>18359.55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182D-9E41-9288-E61E1936509E}"/>
            </c:ext>
          </c:extLst>
        </c:ser>
        <c:ser>
          <c:idx val="179"/>
          <c:order val="179"/>
          <c:tx>
            <c:strRef>
              <c:f>data!$B$190</c:f>
              <c:strCache>
                <c:ptCount val="1"/>
                <c:pt idx="0">
                  <c:v>Togo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data!$C$190:$G$190</c:f>
              <c:numCache>
                <c:formatCode>0</c:formatCode>
                <c:ptCount val="5"/>
                <c:pt idx="0">
                  <c:v>1361.66</c:v>
                </c:pt>
                <c:pt idx="1">
                  <c:v>1268.46</c:v>
                </c:pt>
                <c:pt idx="2">
                  <c:v>1238.8699999999999</c:v>
                </c:pt>
                <c:pt idx="3">
                  <c:v>1224.07</c:v>
                </c:pt>
                <c:pt idx="4">
                  <c:v>1209.27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182D-9E41-9288-E61E1936509E}"/>
            </c:ext>
          </c:extLst>
        </c:ser>
        <c:ser>
          <c:idx val="180"/>
          <c:order val="180"/>
          <c:tx>
            <c:strRef>
              <c:f>data!$B$191</c:f>
              <c:strCache>
                <c:ptCount val="1"/>
                <c:pt idx="0">
                  <c:v>Timor-Leste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data!$C$191:$G$191</c:f>
              <c:numCache>
                <c:formatCode>0</c:formatCode>
                <c:ptCount val="5"/>
                <c:pt idx="0">
                  <c:v>963.1</c:v>
                </c:pt>
                <c:pt idx="1">
                  <c:v>949.1</c:v>
                </c:pt>
                <c:pt idx="2">
                  <c:v>935.1</c:v>
                </c:pt>
                <c:pt idx="3">
                  <c:v>928.1</c:v>
                </c:pt>
                <c:pt idx="4">
                  <c:v>921.1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182D-9E41-9288-E61E1936509E}"/>
            </c:ext>
          </c:extLst>
        </c:ser>
        <c:ser>
          <c:idx val="181"/>
          <c:order val="181"/>
          <c:tx>
            <c:strRef>
              <c:f>data!$B$192</c:f>
              <c:strCache>
                <c:ptCount val="1"/>
                <c:pt idx="0">
                  <c:v>Saint Pierre and Miquelon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data!$C$192:$G$192</c:f>
              <c:numCache>
                <c:formatCode>0</c:formatCode>
                <c:ptCount val="5"/>
                <c:pt idx="0">
                  <c:v>1.9</c:v>
                </c:pt>
                <c:pt idx="1">
                  <c:v>1.67</c:v>
                </c:pt>
                <c:pt idx="2">
                  <c:v>1.44</c:v>
                </c:pt>
                <c:pt idx="3">
                  <c:v>1.33</c:v>
                </c:pt>
                <c:pt idx="4">
                  <c:v>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182D-9E41-9288-E61E1936509E}"/>
            </c:ext>
          </c:extLst>
        </c:ser>
        <c:ser>
          <c:idx val="182"/>
          <c:order val="182"/>
          <c:tx>
            <c:strRef>
              <c:f>data!$B$193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data!$C$193:$G$193</c:f>
              <c:numCache>
                <c:formatCode>0</c:formatCode>
                <c:ptCount val="5"/>
                <c:pt idx="0">
                  <c:v>76448.539999999994</c:v>
                </c:pt>
                <c:pt idx="1">
                  <c:v>75297.83</c:v>
                </c:pt>
                <c:pt idx="2">
                  <c:v>74049.8</c:v>
                </c:pt>
                <c:pt idx="3">
                  <c:v>73194.53</c:v>
                </c:pt>
                <c:pt idx="4">
                  <c:v>72330.37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182D-9E41-9288-E61E1936509E}"/>
            </c:ext>
          </c:extLst>
        </c:ser>
        <c:ser>
          <c:idx val="183"/>
          <c:order val="183"/>
          <c:tx>
            <c:strRef>
              <c:f>data!$B$194</c:f>
              <c:strCache>
                <c:ptCount val="1"/>
                <c:pt idx="0">
                  <c:v>Dominica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data!$C$194:$G$194</c:f>
              <c:numCache>
                <c:formatCode>General</c:formatCode>
                <c:ptCount val="5"/>
                <c:pt idx="0">
                  <c:v>50.31</c:v>
                </c:pt>
                <c:pt idx="1">
                  <c:v>47.87</c:v>
                </c:pt>
                <c:pt idx="2">
                  <c:v>47.87</c:v>
                </c:pt>
                <c:pt idx="3">
                  <c:v>47.87</c:v>
                </c:pt>
                <c:pt idx="4">
                  <c:v>47.87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182D-9E41-9288-E61E1936509E}"/>
            </c:ext>
          </c:extLst>
        </c:ser>
        <c:ser>
          <c:idx val="184"/>
          <c:order val="184"/>
          <c:tx>
            <c:strRef>
              <c:f>data!$B$195</c:f>
              <c:strCache>
                <c:ptCount val="1"/>
                <c:pt idx="0">
                  <c:v>Zambia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data!$C$195:$G$195</c:f>
              <c:numCache>
                <c:formatCode>0</c:formatCode>
                <c:ptCount val="5"/>
                <c:pt idx="0">
                  <c:v>47412</c:v>
                </c:pt>
                <c:pt idx="1">
                  <c:v>47054</c:v>
                </c:pt>
                <c:pt idx="2">
                  <c:v>46696</c:v>
                </c:pt>
                <c:pt idx="3">
                  <c:v>45755.1</c:v>
                </c:pt>
                <c:pt idx="4">
                  <c:v>44814.03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182D-9E41-9288-E61E1936509E}"/>
            </c:ext>
          </c:extLst>
        </c:ser>
        <c:ser>
          <c:idx val="185"/>
          <c:order val="185"/>
          <c:tx>
            <c:strRef>
              <c:f>data!$B$196</c:f>
              <c:strCache>
                <c:ptCount val="1"/>
                <c:pt idx="0">
                  <c:v>Zimbabwe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data!$C$196:$G$196</c:f>
              <c:numCache>
                <c:formatCode>0</c:formatCode>
                <c:ptCount val="5"/>
                <c:pt idx="0">
                  <c:v>18826.68</c:v>
                </c:pt>
                <c:pt idx="1">
                  <c:v>18365.98</c:v>
                </c:pt>
                <c:pt idx="2">
                  <c:v>17905.28</c:v>
                </c:pt>
                <c:pt idx="3">
                  <c:v>17674.93</c:v>
                </c:pt>
                <c:pt idx="4">
                  <c:v>17444.580000000002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182D-9E41-9288-E61E1936509E}"/>
            </c:ext>
          </c:extLst>
        </c:ser>
        <c:ser>
          <c:idx val="186"/>
          <c:order val="186"/>
          <c:tx>
            <c:strRef>
              <c:f>data!$B$197</c:f>
              <c:strCache>
                <c:ptCount val="1"/>
                <c:pt idx="0">
                  <c:v>Somalia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data!$C$197:$G$197</c:f>
              <c:numCache>
                <c:formatCode>0</c:formatCode>
                <c:ptCount val="5"/>
                <c:pt idx="0">
                  <c:v>8282.5</c:v>
                </c:pt>
                <c:pt idx="1">
                  <c:v>7515</c:v>
                </c:pt>
                <c:pt idx="2">
                  <c:v>6747.5</c:v>
                </c:pt>
                <c:pt idx="3">
                  <c:v>6363.75</c:v>
                </c:pt>
                <c:pt idx="4">
                  <c:v>5980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182D-9E41-9288-E61E1936509E}"/>
            </c:ext>
          </c:extLst>
        </c:ser>
        <c:ser>
          <c:idx val="187"/>
          <c:order val="187"/>
          <c:tx>
            <c:strRef>
              <c:f>data!$B$198</c:f>
              <c:strCache>
                <c:ptCount val="1"/>
                <c:pt idx="0">
                  <c:v>Sri Lanka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data!$C$198:$G$198</c:f>
              <c:numCache>
                <c:formatCode>#,##0</c:formatCode>
                <c:ptCount val="5"/>
                <c:pt idx="0">
                  <c:v>2350.33</c:v>
                </c:pt>
                <c:pt idx="1">
                  <c:v>2166.42</c:v>
                </c:pt>
                <c:pt idx="2">
                  <c:v>2103.62</c:v>
                </c:pt>
                <c:pt idx="3">
                  <c:v>2128.8200000000002</c:v>
                </c:pt>
                <c:pt idx="4">
                  <c:v>2113.02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182D-9E41-9288-E61E1936509E}"/>
            </c:ext>
          </c:extLst>
        </c:ser>
        <c:ser>
          <c:idx val="188"/>
          <c:order val="188"/>
          <c:tx>
            <c:strRef>
              <c:f>data!$B$199</c:f>
              <c:strCache>
                <c:ptCount val="1"/>
                <c:pt idx="0">
                  <c:v>Guinea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data!$C$199:$G$199</c:f>
              <c:numCache>
                <c:formatCode>0</c:formatCode>
                <c:ptCount val="5"/>
                <c:pt idx="0">
                  <c:v>7276</c:v>
                </c:pt>
                <c:pt idx="1">
                  <c:v>6929</c:v>
                </c:pt>
                <c:pt idx="2">
                  <c:v>6569</c:v>
                </c:pt>
                <c:pt idx="3">
                  <c:v>6389</c:v>
                </c:pt>
                <c:pt idx="4">
                  <c:v>6189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182D-9E41-9288-E61E1936509E}"/>
            </c:ext>
          </c:extLst>
        </c:ser>
        <c:ser>
          <c:idx val="189"/>
          <c:order val="189"/>
          <c:tx>
            <c:strRef>
              <c:f>data!$B$200</c:f>
              <c:strCache>
                <c:ptCount val="1"/>
                <c:pt idx="0">
                  <c:v>Antigua and Barbuda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data!$C$200:$G$200</c:f>
              <c:numCache>
                <c:formatCode>0</c:formatCode>
                <c:ptCount val="5"/>
                <c:pt idx="0">
                  <c:v>10.11</c:v>
                </c:pt>
                <c:pt idx="1">
                  <c:v>9.4499999999999993</c:v>
                </c:pt>
                <c:pt idx="2">
                  <c:v>8.7799999999999994</c:v>
                </c:pt>
                <c:pt idx="3">
                  <c:v>8.4499999999999993</c:v>
                </c:pt>
                <c:pt idx="4">
                  <c:v>8.1199999999999992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182D-9E41-9288-E61E1936509E}"/>
            </c:ext>
          </c:extLst>
        </c:ser>
        <c:ser>
          <c:idx val="190"/>
          <c:order val="190"/>
          <c:tx>
            <c:strRef>
              <c:f>data!$B$201</c:f>
              <c:strCache>
                <c:ptCount val="1"/>
                <c:pt idx="0">
                  <c:v>Cameroon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data!$C$201:$G$201</c:f>
              <c:numCache>
                <c:formatCode>0</c:formatCode>
                <c:ptCount val="5"/>
                <c:pt idx="0">
                  <c:v>22500</c:v>
                </c:pt>
                <c:pt idx="1">
                  <c:v>21597.49</c:v>
                </c:pt>
                <c:pt idx="2">
                  <c:v>20900.48</c:v>
                </c:pt>
                <c:pt idx="3">
                  <c:v>20620.48</c:v>
                </c:pt>
                <c:pt idx="4">
                  <c:v>20340.48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182D-9E41-9288-E61E1936509E}"/>
            </c:ext>
          </c:extLst>
        </c:ser>
        <c:ser>
          <c:idx val="191"/>
          <c:order val="191"/>
          <c:tx>
            <c:strRef>
              <c:f>data!$B$202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data!$C$202:$G$202</c:f>
              <c:numCache>
                <c:formatCode>#,##0</c:formatCode>
                <c:ptCount val="5"/>
                <c:pt idx="0">
                  <c:v>20618.5</c:v>
                </c:pt>
                <c:pt idx="1">
                  <c:v>19691.349999999999</c:v>
                </c:pt>
                <c:pt idx="2">
                  <c:v>18947.650000000001</c:v>
                </c:pt>
                <c:pt idx="3">
                  <c:v>19464.22</c:v>
                </c:pt>
                <c:pt idx="4">
                  <c:v>19114.04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182D-9E41-9288-E61E1936509E}"/>
            </c:ext>
          </c:extLst>
        </c:ser>
        <c:ser>
          <c:idx val="192"/>
          <c:order val="192"/>
          <c:tx>
            <c:strRef>
              <c:f>data!$B$203</c:f>
              <c:strCache>
                <c:ptCount val="1"/>
                <c:pt idx="0">
                  <c:v>American Samoa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data!$C$203:$G$203</c:f>
              <c:numCache>
                <c:formatCode>0</c:formatCode>
                <c:ptCount val="5"/>
                <c:pt idx="0">
                  <c:v>18.07</c:v>
                </c:pt>
                <c:pt idx="1">
                  <c:v>17.73</c:v>
                </c:pt>
                <c:pt idx="2">
                  <c:v>17.43</c:v>
                </c:pt>
                <c:pt idx="3">
                  <c:v>17.28</c:v>
                </c:pt>
                <c:pt idx="4">
                  <c:v>17.13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182D-9E41-9288-E61E1936509E}"/>
            </c:ext>
          </c:extLst>
        </c:ser>
        <c:ser>
          <c:idx val="193"/>
          <c:order val="193"/>
          <c:tx>
            <c:strRef>
              <c:f>data!$B$204</c:f>
              <c:strCache>
                <c:ptCount val="1"/>
                <c:pt idx="0">
                  <c:v>Samoa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data!$C$204:$G$204</c:f>
              <c:numCache>
                <c:formatCode>0</c:formatCode>
                <c:ptCount val="5"/>
                <c:pt idx="0">
                  <c:v>176.13</c:v>
                </c:pt>
                <c:pt idx="1">
                  <c:v>171.31</c:v>
                </c:pt>
                <c:pt idx="2">
                  <c:v>166.49</c:v>
                </c:pt>
                <c:pt idx="3">
                  <c:v>164.07</c:v>
                </c:pt>
                <c:pt idx="4">
                  <c:v>161.66999999999999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182D-9E41-9288-E61E1936509E}"/>
            </c:ext>
          </c:extLst>
        </c:ser>
        <c:ser>
          <c:idx val="194"/>
          <c:order val="194"/>
          <c:tx>
            <c:strRef>
              <c:f>data!$B$205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data!$C$205:$G$205</c:f>
              <c:numCache>
                <c:formatCode>0</c:formatCode>
                <c:ptCount val="5"/>
                <c:pt idx="0">
                  <c:v>64958.14</c:v>
                </c:pt>
                <c:pt idx="1">
                  <c:v>62735.5</c:v>
                </c:pt>
                <c:pt idx="2">
                  <c:v>60807.79</c:v>
                </c:pt>
                <c:pt idx="3">
                  <c:v>60134.66</c:v>
                </c:pt>
                <c:pt idx="4">
                  <c:v>59141.91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182D-9E41-9288-E61E1936509E}"/>
            </c:ext>
          </c:extLst>
        </c:ser>
        <c:ser>
          <c:idx val="195"/>
          <c:order val="195"/>
          <c:tx>
            <c:strRef>
              <c:f>data!$B$206</c:f>
              <c:strCache>
                <c:ptCount val="1"/>
                <c:pt idx="0">
                  <c:v>Panama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data!$C$206:$G$206</c:f>
              <c:numCache>
                <c:formatCode>0</c:formatCode>
                <c:ptCount val="5"/>
                <c:pt idx="0">
                  <c:v>4607.3999999999996</c:v>
                </c:pt>
                <c:pt idx="1">
                  <c:v>4442.1400000000003</c:v>
                </c:pt>
                <c:pt idx="2">
                  <c:v>4327.99</c:v>
                </c:pt>
                <c:pt idx="3">
                  <c:v>4270.91</c:v>
                </c:pt>
                <c:pt idx="4">
                  <c:v>4213.84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182D-9E41-9288-E61E1936509E}"/>
            </c:ext>
          </c:extLst>
        </c:ser>
        <c:ser>
          <c:idx val="196"/>
          <c:order val="196"/>
          <c:tx>
            <c:strRef>
              <c:f>data!$B$207</c:f>
              <c:strCache>
                <c:ptCount val="1"/>
                <c:pt idx="0">
                  <c:v>Nigeria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data!$C$207:$G$207</c:f>
              <c:numCache>
                <c:formatCode>0</c:formatCode>
                <c:ptCount val="5"/>
                <c:pt idx="0">
                  <c:v>26526.09</c:v>
                </c:pt>
                <c:pt idx="1">
                  <c:v>24893.040000000001</c:v>
                </c:pt>
                <c:pt idx="2">
                  <c:v>23259.98</c:v>
                </c:pt>
                <c:pt idx="3">
                  <c:v>22443.45</c:v>
                </c:pt>
                <c:pt idx="4">
                  <c:v>21626.95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182D-9E41-9288-E61E1936509E}"/>
            </c:ext>
          </c:extLst>
        </c:ser>
        <c:ser>
          <c:idx val="197"/>
          <c:order val="197"/>
          <c:tx>
            <c:strRef>
              <c:f>data!$B$208</c:f>
              <c:strCache>
                <c:ptCount val="1"/>
                <c:pt idx="0">
                  <c:v>Lao People's Democratic Republic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data!$C$208:$G$208</c:f>
              <c:numCache>
                <c:formatCode>0</c:formatCode>
                <c:ptCount val="5"/>
                <c:pt idx="0">
                  <c:v>17843</c:v>
                </c:pt>
                <c:pt idx="1">
                  <c:v>17425</c:v>
                </c:pt>
                <c:pt idx="2">
                  <c:v>16940.5</c:v>
                </c:pt>
                <c:pt idx="3">
                  <c:v>16768</c:v>
                </c:pt>
                <c:pt idx="4">
                  <c:v>16595.5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182D-9E41-9288-E61E1936509E}"/>
            </c:ext>
          </c:extLst>
        </c:ser>
        <c:ser>
          <c:idx val="198"/>
          <c:order val="198"/>
          <c:tx>
            <c:strRef>
              <c:f>data!$B$209</c:f>
              <c:strCache>
                <c:ptCount val="1"/>
                <c:pt idx="0">
                  <c:v>Burkina Faso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data!$C$209:$G$209</c:f>
              <c:numCache>
                <c:formatCode>0</c:formatCode>
                <c:ptCount val="5"/>
                <c:pt idx="0">
                  <c:v>7716.6</c:v>
                </c:pt>
                <c:pt idx="1">
                  <c:v>7216.5</c:v>
                </c:pt>
                <c:pt idx="2">
                  <c:v>6716.5</c:v>
                </c:pt>
                <c:pt idx="3">
                  <c:v>6466.4</c:v>
                </c:pt>
                <c:pt idx="4">
                  <c:v>6216.4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182D-9E41-9288-E61E1936509E}"/>
            </c:ext>
          </c:extLst>
        </c:ser>
        <c:ser>
          <c:idx val="199"/>
          <c:order val="199"/>
          <c:tx>
            <c:strRef>
              <c:f>data!$B$210</c:f>
              <c:strCache>
                <c:ptCount val="1"/>
                <c:pt idx="0">
                  <c:v>Honduras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data!$C$210:$G$210</c:f>
              <c:numCache>
                <c:formatCode>0</c:formatCode>
                <c:ptCount val="5"/>
                <c:pt idx="0">
                  <c:v>6987.78</c:v>
                </c:pt>
                <c:pt idx="1">
                  <c:v>6778.27</c:v>
                </c:pt>
                <c:pt idx="2">
                  <c:v>6575.47</c:v>
                </c:pt>
                <c:pt idx="3">
                  <c:v>6463.83</c:v>
                </c:pt>
                <c:pt idx="4">
                  <c:v>6359.26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182D-9E41-9288-E61E1936509E}"/>
            </c:ext>
          </c:extLst>
        </c:ser>
        <c:ser>
          <c:idx val="200"/>
          <c:order val="200"/>
          <c:tx>
            <c:strRef>
              <c:f>data!$B$211</c:f>
              <c:strCache>
                <c:ptCount val="1"/>
                <c:pt idx="0">
                  <c:v>Uganda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data!$C$211:$G$211</c:f>
              <c:numCache>
                <c:formatCode>0</c:formatCode>
                <c:ptCount val="5"/>
                <c:pt idx="0">
                  <c:v>3575.47</c:v>
                </c:pt>
                <c:pt idx="1">
                  <c:v>3162.95</c:v>
                </c:pt>
                <c:pt idx="2">
                  <c:v>2750.42</c:v>
                </c:pt>
                <c:pt idx="3">
                  <c:v>2544.16</c:v>
                </c:pt>
                <c:pt idx="4">
                  <c:v>2337.9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182D-9E41-9288-E61E1936509E}"/>
            </c:ext>
          </c:extLst>
        </c:ser>
        <c:ser>
          <c:idx val="201"/>
          <c:order val="201"/>
          <c:tx>
            <c:strRef>
              <c:f>data!$B$212</c:f>
              <c:strCache>
                <c:ptCount val="1"/>
                <c:pt idx="0">
                  <c:v>Brunei Darussalam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data!$C$212:$G$212</c:f>
              <c:numCache>
                <c:formatCode>General</c:formatCode>
                <c:ptCount val="5"/>
                <c:pt idx="0">
                  <c:v>413</c:v>
                </c:pt>
                <c:pt idx="1">
                  <c:v>397</c:v>
                </c:pt>
                <c:pt idx="2">
                  <c:v>380</c:v>
                </c:pt>
                <c:pt idx="3">
                  <c:v>380</c:v>
                </c:pt>
                <c:pt idx="4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182D-9E41-9288-E61E1936509E}"/>
            </c:ext>
          </c:extLst>
        </c:ser>
        <c:ser>
          <c:idx val="202"/>
          <c:order val="202"/>
          <c:tx>
            <c:strRef>
              <c:f>data!$B$213</c:f>
              <c:strCache>
                <c:ptCount val="1"/>
                <c:pt idx="0">
                  <c:v>Botswana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data!$C$213:$G$213</c:f>
              <c:numCache>
                <c:formatCode>0</c:formatCode>
                <c:ptCount val="5"/>
                <c:pt idx="0">
                  <c:v>18803.7</c:v>
                </c:pt>
                <c:pt idx="1">
                  <c:v>17620.7</c:v>
                </c:pt>
                <c:pt idx="2">
                  <c:v>16437.7</c:v>
                </c:pt>
                <c:pt idx="3">
                  <c:v>15846.2</c:v>
                </c:pt>
                <c:pt idx="4">
                  <c:v>15254.7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182D-9E41-9288-E61E1936509E}"/>
            </c:ext>
          </c:extLst>
        </c:ser>
        <c:ser>
          <c:idx val="203"/>
          <c:order val="203"/>
          <c:tx>
            <c:strRef>
              <c:f>data!$B$214</c:f>
              <c:strCache>
                <c:ptCount val="1"/>
                <c:pt idx="0">
                  <c:v>Senegal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data!$C$214:$G$214</c:f>
              <c:numCache>
                <c:formatCode>0</c:formatCode>
                <c:ptCount val="5"/>
                <c:pt idx="0">
                  <c:v>9303.16</c:v>
                </c:pt>
                <c:pt idx="1">
                  <c:v>8853.16</c:v>
                </c:pt>
                <c:pt idx="2">
                  <c:v>8468.16</c:v>
                </c:pt>
                <c:pt idx="3">
                  <c:v>8268.16</c:v>
                </c:pt>
                <c:pt idx="4">
                  <c:v>8068.16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182D-9E41-9288-E61E1936509E}"/>
            </c:ext>
          </c:extLst>
        </c:ser>
        <c:ser>
          <c:idx val="204"/>
          <c:order val="204"/>
          <c:tx>
            <c:strRef>
              <c:f>data!$B$215</c:f>
              <c:strCache>
                <c:ptCount val="1"/>
                <c:pt idx="0">
                  <c:v>Bolivia (Plurinational State of)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data!$C$215:$G$215</c:f>
              <c:numCache>
                <c:formatCode>0</c:formatCode>
                <c:ptCount val="5"/>
                <c:pt idx="0">
                  <c:v>57804.72</c:v>
                </c:pt>
                <c:pt idx="1">
                  <c:v>55101.39</c:v>
                </c:pt>
                <c:pt idx="2">
                  <c:v>53086.01</c:v>
                </c:pt>
                <c:pt idx="3">
                  <c:v>52027.22</c:v>
                </c:pt>
                <c:pt idx="4">
                  <c:v>50833.760000000002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182D-9E41-9288-E61E1936509E}"/>
            </c:ext>
          </c:extLst>
        </c:ser>
        <c:ser>
          <c:idx val="205"/>
          <c:order val="205"/>
          <c:tx>
            <c:strRef>
              <c:f>data!$B$216</c:f>
              <c:strCache>
                <c:ptCount val="1"/>
                <c:pt idx="0">
                  <c:v>El Salvador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data!$C$216:$G$216</c:f>
              <c:numCache>
                <c:formatCode>0</c:formatCode>
                <c:ptCount val="5"/>
                <c:pt idx="0">
                  <c:v>718.88</c:v>
                </c:pt>
                <c:pt idx="1">
                  <c:v>673.88</c:v>
                </c:pt>
                <c:pt idx="2">
                  <c:v>628.88</c:v>
                </c:pt>
                <c:pt idx="3">
                  <c:v>606.38</c:v>
                </c:pt>
                <c:pt idx="4">
                  <c:v>583.88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182D-9E41-9288-E61E1936509E}"/>
            </c:ext>
          </c:extLst>
        </c:ser>
        <c:ser>
          <c:idx val="206"/>
          <c:order val="206"/>
          <c:tx>
            <c:strRef>
              <c:f>data!$B$217</c:f>
              <c:strCache>
                <c:ptCount val="1"/>
                <c:pt idx="0">
                  <c:v>Venezuela (Bolivarian Republic of)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data!$C$217:$G$217</c:f>
              <c:numCache>
                <c:formatCode>0</c:formatCode>
                <c:ptCount val="5"/>
                <c:pt idx="0">
                  <c:v>52026</c:v>
                </c:pt>
                <c:pt idx="1">
                  <c:v>49151</c:v>
                </c:pt>
                <c:pt idx="2">
                  <c:v>47505</c:v>
                </c:pt>
                <c:pt idx="3">
                  <c:v>46683</c:v>
                </c:pt>
                <c:pt idx="4">
                  <c:v>46230.9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182D-9E41-9288-E61E1936509E}"/>
            </c:ext>
          </c:extLst>
        </c:ser>
        <c:ser>
          <c:idx val="207"/>
          <c:order val="207"/>
          <c:tx>
            <c:strRef>
              <c:f>data!$B$218</c:f>
              <c:strCache>
                <c:ptCount val="1"/>
                <c:pt idx="0">
                  <c:v>Sao Tome and Principe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data!$C$218:$G$218</c:f>
              <c:numCache>
                <c:formatCode>0</c:formatCode>
                <c:ptCount val="5"/>
                <c:pt idx="0">
                  <c:v>58.62</c:v>
                </c:pt>
                <c:pt idx="1">
                  <c:v>58.36</c:v>
                </c:pt>
                <c:pt idx="2">
                  <c:v>58.1</c:v>
                </c:pt>
                <c:pt idx="3">
                  <c:v>55</c:v>
                </c:pt>
                <c:pt idx="4">
                  <c:v>51.9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F-182D-9E41-9288-E61E1936509E}"/>
            </c:ext>
          </c:extLst>
        </c:ser>
        <c:ser>
          <c:idx val="208"/>
          <c:order val="208"/>
          <c:tx>
            <c:strRef>
              <c:f>data!$B$219</c:f>
              <c:strCache>
                <c:ptCount val="1"/>
                <c:pt idx="0">
                  <c:v>Comoros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data!$C$219:$G$219</c:f>
              <c:numCache>
                <c:formatCode>0</c:formatCode>
                <c:ptCount val="5"/>
                <c:pt idx="0">
                  <c:v>46.06</c:v>
                </c:pt>
                <c:pt idx="1">
                  <c:v>41.68</c:v>
                </c:pt>
                <c:pt idx="2">
                  <c:v>37.299999999999997</c:v>
                </c:pt>
                <c:pt idx="3">
                  <c:v>35.11</c:v>
                </c:pt>
                <c:pt idx="4">
                  <c:v>32.92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182D-9E41-9288-E61E1936509E}"/>
            </c:ext>
          </c:extLst>
        </c:ser>
        <c:ser>
          <c:idx val="209"/>
          <c:order val="209"/>
          <c:tx>
            <c:strRef>
              <c:f>data!$B$220</c:f>
              <c:strCache>
                <c:ptCount val="1"/>
                <c:pt idx="0">
                  <c:v>Democratic People's Republic of Korea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data!$C$220:$G$220</c:f>
              <c:numCache>
                <c:formatCode>0</c:formatCode>
                <c:ptCount val="5"/>
                <c:pt idx="0">
                  <c:v>6912.03</c:v>
                </c:pt>
                <c:pt idx="1">
                  <c:v>6454.69</c:v>
                </c:pt>
                <c:pt idx="2">
                  <c:v>6242.39</c:v>
                </c:pt>
                <c:pt idx="3">
                  <c:v>6136.24</c:v>
                </c:pt>
                <c:pt idx="4">
                  <c:v>6030.09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182D-9E41-9288-E61E1936509E}"/>
            </c:ext>
          </c:extLst>
        </c:ser>
        <c:ser>
          <c:idx val="210"/>
          <c:order val="210"/>
          <c:tx>
            <c:strRef>
              <c:f>data!$B$221</c:f>
              <c:strCache>
                <c:ptCount val="1"/>
                <c:pt idx="0">
                  <c:v>Sierra Leone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data!$C$221:$G$221</c:f>
              <c:numCache>
                <c:formatCode>0</c:formatCode>
                <c:ptCount val="5"/>
                <c:pt idx="0">
                  <c:v>3126.7</c:v>
                </c:pt>
                <c:pt idx="1">
                  <c:v>2929.43</c:v>
                </c:pt>
                <c:pt idx="2">
                  <c:v>2732.16</c:v>
                </c:pt>
                <c:pt idx="3">
                  <c:v>2633.53</c:v>
                </c:pt>
                <c:pt idx="4">
                  <c:v>2534.88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2-182D-9E41-9288-E61E1936509E}"/>
            </c:ext>
          </c:extLst>
        </c:ser>
        <c:ser>
          <c:idx val="211"/>
          <c:order val="211"/>
          <c:tx>
            <c:strRef>
              <c:f>data!$B$222</c:f>
              <c:strCache>
                <c:ptCount val="1"/>
                <c:pt idx="0">
                  <c:v>Mozambique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data!$C$222:$G$222</c:f>
              <c:numCache>
                <c:formatCode>0</c:formatCode>
                <c:ptCount val="5"/>
                <c:pt idx="0">
                  <c:v>43378</c:v>
                </c:pt>
                <c:pt idx="1">
                  <c:v>41188</c:v>
                </c:pt>
                <c:pt idx="2">
                  <c:v>38972.14</c:v>
                </c:pt>
                <c:pt idx="3">
                  <c:v>37940</c:v>
                </c:pt>
                <c:pt idx="4">
                  <c:v>36743.760000000002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3-182D-9E41-9288-E61E1936509E}"/>
            </c:ext>
          </c:extLst>
        </c:ser>
        <c:ser>
          <c:idx val="212"/>
          <c:order val="212"/>
          <c:tx>
            <c:strRef>
              <c:f>data!$B$223</c:f>
              <c:strCache>
                <c:ptCount val="1"/>
                <c:pt idx="0">
                  <c:v>Ghana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data!$C$223:$G$223</c:f>
              <c:numCache>
                <c:formatCode>#,##0</c:formatCode>
                <c:ptCount val="5"/>
                <c:pt idx="0">
                  <c:v>9924.26</c:v>
                </c:pt>
                <c:pt idx="1">
                  <c:v>8848.61</c:v>
                </c:pt>
                <c:pt idx="2">
                  <c:v>7942.93</c:v>
                </c:pt>
                <c:pt idx="3">
                  <c:v>7880.44</c:v>
                </c:pt>
                <c:pt idx="4">
                  <c:v>7985.71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182D-9E41-9288-E61E1936509E}"/>
            </c:ext>
          </c:extLst>
        </c:ser>
        <c:ser>
          <c:idx val="213"/>
          <c:order val="213"/>
          <c:tx>
            <c:strRef>
              <c:f>data!$B$224</c:f>
              <c:strCache>
                <c:ptCount val="1"/>
                <c:pt idx="0">
                  <c:v>Ecuador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data!$C$224:$G$224</c:f>
              <c:numCache>
                <c:formatCode>0</c:formatCode>
                <c:ptCount val="5"/>
                <c:pt idx="0">
                  <c:v>14632.21</c:v>
                </c:pt>
                <c:pt idx="1">
                  <c:v>13730.5</c:v>
                </c:pt>
                <c:pt idx="2">
                  <c:v>13028.19</c:v>
                </c:pt>
                <c:pt idx="3">
                  <c:v>12819.18</c:v>
                </c:pt>
                <c:pt idx="4">
                  <c:v>12497.83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5-182D-9E41-9288-E61E1936509E}"/>
            </c:ext>
          </c:extLst>
        </c:ser>
        <c:ser>
          <c:idx val="214"/>
          <c:order val="214"/>
          <c:tx>
            <c:strRef>
              <c:f>data!$B$225</c:f>
              <c:strCache>
                <c:ptCount val="1"/>
                <c:pt idx="0">
                  <c:v>Equatorial Guinea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data!$C$225:$G$225</c:f>
              <c:numCache>
                <c:formatCode>0</c:formatCode>
                <c:ptCount val="5"/>
                <c:pt idx="0">
                  <c:v>2699.15</c:v>
                </c:pt>
                <c:pt idx="1">
                  <c:v>2615.58</c:v>
                </c:pt>
                <c:pt idx="2">
                  <c:v>2532.0100000000002</c:v>
                </c:pt>
                <c:pt idx="3">
                  <c:v>2490.2199999999998</c:v>
                </c:pt>
                <c:pt idx="4">
                  <c:v>2448.42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182D-9E41-9288-E61E1936509E}"/>
            </c:ext>
          </c:extLst>
        </c:ser>
        <c:ser>
          <c:idx val="215"/>
          <c:order val="215"/>
          <c:tx>
            <c:strRef>
              <c:f>data!$B$226</c:f>
              <c:strCache>
                <c:ptCount val="1"/>
                <c:pt idx="0">
                  <c:v>Guinea-Bissau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data!$C$226:$G$226</c:f>
              <c:numCache>
                <c:formatCode>0</c:formatCode>
                <c:ptCount val="5"/>
                <c:pt idx="0">
                  <c:v>2233.33</c:v>
                </c:pt>
                <c:pt idx="1">
                  <c:v>2148.88</c:v>
                </c:pt>
                <c:pt idx="2">
                  <c:v>2064.4299999999998</c:v>
                </c:pt>
                <c:pt idx="3">
                  <c:v>2022.21</c:v>
                </c:pt>
                <c:pt idx="4">
                  <c:v>1980.01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7-182D-9E41-9288-E61E1936509E}"/>
            </c:ext>
          </c:extLst>
        </c:ser>
        <c:ser>
          <c:idx val="216"/>
          <c:order val="216"/>
          <c:tx>
            <c:strRef>
              <c:f>data!$B$227</c:f>
              <c:strCache>
                <c:ptCount val="1"/>
                <c:pt idx="0">
                  <c:v>Liberia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data!$C$227:$G$227</c:f>
              <c:numCache>
                <c:formatCode>0</c:formatCode>
                <c:ptCount val="5"/>
                <c:pt idx="0">
                  <c:v>8525.24</c:v>
                </c:pt>
                <c:pt idx="1">
                  <c:v>8222.64</c:v>
                </c:pt>
                <c:pt idx="2">
                  <c:v>7920.04</c:v>
                </c:pt>
                <c:pt idx="3">
                  <c:v>7768.74</c:v>
                </c:pt>
                <c:pt idx="4">
                  <c:v>7617.44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182D-9E41-9288-E61E1936509E}"/>
            </c:ext>
          </c:extLst>
        </c:ser>
        <c:ser>
          <c:idx val="217"/>
          <c:order val="217"/>
          <c:tx>
            <c:strRef>
              <c:f>data!$B$228</c:f>
              <c:strCache>
                <c:ptCount val="1"/>
                <c:pt idx="0">
                  <c:v>Montserrat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data!$C$228:$G$228</c:f>
              <c:numCache>
                <c:formatCode>General</c:formatCode>
                <c:ptCount val="5"/>
                <c:pt idx="0">
                  <c:v>3.5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9-182D-9E41-9288-E61E1936509E}"/>
            </c:ext>
          </c:extLst>
        </c:ser>
        <c:ser>
          <c:idx val="218"/>
          <c:order val="218"/>
          <c:tx>
            <c:strRef>
              <c:f>data!$B$229</c:f>
              <c:strCache>
                <c:ptCount val="1"/>
                <c:pt idx="0">
                  <c:v>Angola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data!$C$229:$G$229</c:f>
              <c:numCache>
                <c:formatCode>0</c:formatCode>
                <c:ptCount val="5"/>
                <c:pt idx="0">
                  <c:v>79262.78</c:v>
                </c:pt>
                <c:pt idx="1">
                  <c:v>77708.61</c:v>
                </c:pt>
                <c:pt idx="2">
                  <c:v>72158</c:v>
                </c:pt>
                <c:pt idx="3">
                  <c:v>69382.69</c:v>
                </c:pt>
                <c:pt idx="4">
                  <c:v>66607.38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A-182D-9E41-9288-E61E1936509E}"/>
            </c:ext>
          </c:extLst>
        </c:ser>
        <c:ser>
          <c:idx val="219"/>
          <c:order val="219"/>
          <c:tx>
            <c:strRef>
              <c:f>data!$B$230</c:f>
              <c:strCache>
                <c:ptCount val="1"/>
                <c:pt idx="0">
                  <c:v>Democratic Republic of the Congo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data!$C$230:$G$230</c:f>
              <c:numCache>
                <c:formatCode>0</c:formatCode>
                <c:ptCount val="5"/>
                <c:pt idx="0">
                  <c:v>150629</c:v>
                </c:pt>
                <c:pt idx="1">
                  <c:v>143899</c:v>
                </c:pt>
                <c:pt idx="2">
                  <c:v>137169</c:v>
                </c:pt>
                <c:pt idx="3">
                  <c:v>131662.12</c:v>
                </c:pt>
                <c:pt idx="4">
                  <c:v>126155.24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B-182D-9E41-9288-E61E1936509E}"/>
            </c:ext>
          </c:extLst>
        </c:ser>
        <c:ser>
          <c:idx val="220"/>
          <c:order val="220"/>
          <c:tx>
            <c:strRef>
              <c:f>data!$B$231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data!$C$231:$G$231</c:f>
              <c:numCache>
                <c:formatCode>0</c:formatCode>
                <c:ptCount val="5"/>
                <c:pt idx="0">
                  <c:v>588898</c:v>
                </c:pt>
                <c:pt idx="1">
                  <c:v>551088.6</c:v>
                </c:pt>
                <c:pt idx="2">
                  <c:v>511580.7</c:v>
                </c:pt>
                <c:pt idx="3">
                  <c:v>503884.79999999999</c:v>
                </c:pt>
                <c:pt idx="4">
                  <c:v>496619.6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C-182D-9E41-9288-E61E1936509E}"/>
            </c:ext>
          </c:extLst>
        </c:ser>
        <c:ser>
          <c:idx val="221"/>
          <c:order val="221"/>
          <c:tx>
            <c:strRef>
              <c:f>data!$B$232</c:f>
              <c:strCache>
                <c:ptCount val="1"/>
                <c:pt idx="0">
                  <c:v>Guatemala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data!$C$232:$G$232</c:f>
              <c:numCache>
                <c:formatCode>0</c:formatCode>
                <c:ptCount val="5"/>
                <c:pt idx="0">
                  <c:v>4781.2</c:v>
                </c:pt>
                <c:pt idx="1">
                  <c:v>4209.2</c:v>
                </c:pt>
                <c:pt idx="2">
                  <c:v>3722.6</c:v>
                </c:pt>
                <c:pt idx="3">
                  <c:v>3585.8</c:v>
                </c:pt>
                <c:pt idx="4">
                  <c:v>3527.8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D-182D-9E41-9288-E61E1936509E}"/>
            </c:ext>
          </c:extLst>
        </c:ser>
        <c:ser>
          <c:idx val="222"/>
          <c:order val="222"/>
          <c:tx>
            <c:strRef>
              <c:f>data!$B$233</c:f>
              <c:strCache>
                <c:ptCount val="1"/>
                <c:pt idx="0">
                  <c:v>United Republic of Tanzania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data!$C$233:$G$233</c:f>
              <c:numCache>
                <c:formatCode>0</c:formatCode>
                <c:ptCount val="5"/>
                <c:pt idx="0">
                  <c:v>57390.01</c:v>
                </c:pt>
                <c:pt idx="1">
                  <c:v>53670.01</c:v>
                </c:pt>
                <c:pt idx="2">
                  <c:v>49950.01</c:v>
                </c:pt>
                <c:pt idx="3">
                  <c:v>48090</c:v>
                </c:pt>
                <c:pt idx="4">
                  <c:v>45745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E-182D-9E41-9288-E61E1936509E}"/>
            </c:ext>
          </c:extLst>
        </c:ser>
        <c:ser>
          <c:idx val="223"/>
          <c:order val="223"/>
          <c:tx>
            <c:strRef>
              <c:f>data!$B$234</c:f>
              <c:strCache>
                <c:ptCount val="1"/>
                <c:pt idx="0">
                  <c:v>United States Virgin Islands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data!$C$234:$G$234</c:f>
              <c:numCache>
                <c:formatCode>General</c:formatCode>
                <c:ptCount val="5"/>
                <c:pt idx="0">
                  <c:v>24.54</c:v>
                </c:pt>
                <c:pt idx="1">
                  <c:v>20.47</c:v>
                </c:pt>
                <c:pt idx="2">
                  <c:v>18.43</c:v>
                </c:pt>
                <c:pt idx="3">
                  <c:v>19.16</c:v>
                </c:pt>
                <c:pt idx="4">
                  <c:v>19.91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F-182D-9E41-9288-E61E1936509E}"/>
            </c:ext>
          </c:extLst>
        </c:ser>
        <c:ser>
          <c:idx val="224"/>
          <c:order val="224"/>
          <c:tx>
            <c:strRef>
              <c:f>data!$B$235</c:f>
              <c:strCache>
                <c:ptCount val="1"/>
                <c:pt idx="0">
                  <c:v>Malawi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data!$C$235:$G$235</c:f>
              <c:numCache>
                <c:formatCode>0</c:formatCode>
                <c:ptCount val="5"/>
                <c:pt idx="0">
                  <c:v>3501.7</c:v>
                </c:pt>
                <c:pt idx="1">
                  <c:v>3081.7</c:v>
                </c:pt>
                <c:pt idx="2">
                  <c:v>2661.7</c:v>
                </c:pt>
                <c:pt idx="3">
                  <c:v>2451.6999999999998</c:v>
                </c:pt>
                <c:pt idx="4">
                  <c:v>2241.6999999999998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0-182D-9E41-9288-E61E1936509E}"/>
            </c:ext>
          </c:extLst>
        </c:ser>
        <c:ser>
          <c:idx val="225"/>
          <c:order val="225"/>
          <c:tx>
            <c:strRef>
              <c:f>data!$B$236</c:f>
              <c:strCache>
                <c:ptCount val="1"/>
                <c:pt idx="0">
                  <c:v>Indonesia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data!$C$236:$G$236</c:f>
              <c:numCache>
                <c:formatCode>0</c:formatCode>
                <c:ptCount val="5"/>
                <c:pt idx="0">
                  <c:v>118545</c:v>
                </c:pt>
                <c:pt idx="1">
                  <c:v>101280</c:v>
                </c:pt>
                <c:pt idx="2">
                  <c:v>99659.199999999997</c:v>
                </c:pt>
                <c:pt idx="3">
                  <c:v>95027.9</c:v>
                </c:pt>
                <c:pt idx="4">
                  <c:v>92133.2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1-182D-9E41-9288-E61E1936509E}"/>
            </c:ext>
          </c:extLst>
        </c:ser>
        <c:ser>
          <c:idx val="226"/>
          <c:order val="226"/>
          <c:tx>
            <c:strRef>
              <c:f>data!$B$237</c:f>
              <c:strCache>
                <c:ptCount val="1"/>
                <c:pt idx="0">
                  <c:v>Mayotte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data!$C$237:$G$237</c:f>
              <c:numCache>
                <c:formatCode>0</c:formatCode>
                <c:ptCount val="5"/>
                <c:pt idx="0">
                  <c:v>19.100000000000001</c:v>
                </c:pt>
                <c:pt idx="1">
                  <c:v>15.67</c:v>
                </c:pt>
                <c:pt idx="2">
                  <c:v>14.41</c:v>
                </c:pt>
                <c:pt idx="3">
                  <c:v>14.14</c:v>
                </c:pt>
                <c:pt idx="4">
                  <c:v>13.89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2-182D-9E41-9288-E61E1936509E}"/>
            </c:ext>
          </c:extLst>
        </c:ser>
        <c:ser>
          <c:idx val="227"/>
          <c:order val="227"/>
          <c:tx>
            <c:strRef>
              <c:f>data!$B$238</c:f>
              <c:strCache>
                <c:ptCount val="1"/>
                <c:pt idx="0">
                  <c:v>Belize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data!$C$238:$G$238</c:f>
              <c:numCache>
                <c:formatCode>0</c:formatCode>
                <c:ptCount val="5"/>
                <c:pt idx="0">
                  <c:v>1600.03</c:v>
                </c:pt>
                <c:pt idx="1">
                  <c:v>1459.3</c:v>
                </c:pt>
                <c:pt idx="2">
                  <c:v>1391.39</c:v>
                </c:pt>
                <c:pt idx="3">
                  <c:v>1332.83</c:v>
                </c:pt>
                <c:pt idx="4">
                  <c:v>1277.05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3-182D-9E41-9288-E61E1936509E}"/>
            </c:ext>
          </c:extLst>
        </c:ser>
        <c:ser>
          <c:idx val="228"/>
          <c:order val="228"/>
          <c:tx>
            <c:strRef>
              <c:f>data!$B$239</c:f>
              <c:strCache>
                <c:ptCount val="1"/>
                <c:pt idx="0">
                  <c:v>Benin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data!$C$239:$G$239</c:f>
              <c:numCache>
                <c:formatCode>0</c:formatCode>
                <c:ptCount val="5"/>
                <c:pt idx="0">
                  <c:v>4835.1499999999996</c:v>
                </c:pt>
                <c:pt idx="1">
                  <c:v>4135.1499999999996</c:v>
                </c:pt>
                <c:pt idx="2">
                  <c:v>3635.15</c:v>
                </c:pt>
                <c:pt idx="3">
                  <c:v>3385.15</c:v>
                </c:pt>
                <c:pt idx="4">
                  <c:v>3135.15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4-182D-9E41-9288-E61E1936509E}"/>
            </c:ext>
          </c:extLst>
        </c:ser>
        <c:ser>
          <c:idx val="229"/>
          <c:order val="229"/>
          <c:tx>
            <c:strRef>
              <c:f>data!$B$240</c:f>
              <c:strCache>
                <c:ptCount val="1"/>
                <c:pt idx="0">
                  <c:v>Côte d’Ivoire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data!$C$240:$G$240</c:f>
              <c:numCache>
                <c:formatCode>0</c:formatCode>
                <c:ptCount val="5"/>
                <c:pt idx="0">
                  <c:v>7850.86</c:v>
                </c:pt>
                <c:pt idx="1">
                  <c:v>5094.45</c:v>
                </c:pt>
                <c:pt idx="2">
                  <c:v>3965.58</c:v>
                </c:pt>
                <c:pt idx="3">
                  <c:v>3401.15</c:v>
                </c:pt>
                <c:pt idx="4">
                  <c:v>2836.71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5-182D-9E41-9288-E61E1936509E}"/>
            </c:ext>
          </c:extLst>
        </c:ser>
        <c:ser>
          <c:idx val="230"/>
          <c:order val="230"/>
          <c:tx>
            <c:strRef>
              <c:f>data!$B$241</c:f>
              <c:strCache>
                <c:ptCount val="1"/>
                <c:pt idx="0">
                  <c:v>Myanmar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data!$C$241:$G$241</c:f>
              <c:numCache>
                <c:formatCode>0</c:formatCode>
                <c:ptCount val="5"/>
                <c:pt idx="0">
                  <c:v>39218.480000000003</c:v>
                </c:pt>
                <c:pt idx="1">
                  <c:v>34868.11</c:v>
                </c:pt>
                <c:pt idx="2">
                  <c:v>31441</c:v>
                </c:pt>
                <c:pt idx="3">
                  <c:v>29992.44</c:v>
                </c:pt>
                <c:pt idx="4">
                  <c:v>28543.89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6-182D-9E41-9288-E61E1936509E}"/>
            </c:ext>
          </c:extLst>
        </c:ser>
        <c:ser>
          <c:idx val="231"/>
          <c:order val="231"/>
          <c:tx>
            <c:strRef>
              <c:f>data!$B$242</c:f>
              <c:strCache>
                <c:ptCount val="1"/>
                <c:pt idx="0">
                  <c:v>Cambodia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data!$C$242:$G$242</c:f>
              <c:numCache>
                <c:formatCode>0</c:formatCode>
                <c:ptCount val="5"/>
                <c:pt idx="0">
                  <c:v>11004.79</c:v>
                </c:pt>
                <c:pt idx="1">
                  <c:v>10781</c:v>
                </c:pt>
                <c:pt idx="2">
                  <c:v>10589.23</c:v>
                </c:pt>
                <c:pt idx="3">
                  <c:v>8846.82</c:v>
                </c:pt>
                <c:pt idx="4">
                  <c:v>8068.37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7-182D-9E41-9288-E61E1936509E}"/>
            </c:ext>
          </c:extLst>
        </c:ser>
        <c:ser>
          <c:idx val="232"/>
          <c:order val="232"/>
          <c:tx>
            <c:strRef>
              <c:f>data!$B$243</c:f>
              <c:strCache>
                <c:ptCount val="1"/>
                <c:pt idx="0">
                  <c:v>Gambia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data!$C$243:$G$243</c:f>
              <c:numCache>
                <c:formatCode>0</c:formatCode>
                <c:ptCount val="5"/>
                <c:pt idx="0">
                  <c:v>414.66</c:v>
                </c:pt>
                <c:pt idx="1">
                  <c:v>357.33</c:v>
                </c:pt>
                <c:pt idx="2">
                  <c:v>300</c:v>
                </c:pt>
                <c:pt idx="3">
                  <c:v>271.33999999999997</c:v>
                </c:pt>
                <c:pt idx="4">
                  <c:v>242.67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8-182D-9E41-9288-E61E1936509E}"/>
            </c:ext>
          </c:extLst>
        </c:ser>
        <c:ser>
          <c:idx val="233"/>
          <c:order val="233"/>
          <c:tx>
            <c:strRef>
              <c:f>data!$B$244</c:f>
              <c:strCache>
                <c:ptCount val="1"/>
                <c:pt idx="0">
                  <c:v>Northern Mariana Islands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data!$C$244:$G$244</c:f>
              <c:numCache>
                <c:formatCode>0</c:formatCode>
                <c:ptCount val="5"/>
                <c:pt idx="0">
                  <c:v>33.61</c:v>
                </c:pt>
                <c:pt idx="1">
                  <c:v>31.96</c:v>
                </c:pt>
                <c:pt idx="2">
                  <c:v>30.32</c:v>
                </c:pt>
                <c:pt idx="3">
                  <c:v>29.49</c:v>
                </c:pt>
                <c:pt idx="4">
                  <c:v>24.36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9-182D-9E41-9288-E61E1936509E}"/>
            </c:ext>
          </c:extLst>
        </c:ser>
        <c:ser>
          <c:idx val="234"/>
          <c:order val="234"/>
          <c:tx>
            <c:strRef>
              <c:f>data!$B$245</c:f>
              <c:strCache>
                <c:ptCount val="1"/>
                <c:pt idx="0">
                  <c:v>Paraguay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data!$C$245:$G$245</c:f>
              <c:numCache>
                <c:formatCode>0</c:formatCode>
                <c:ptCount val="5"/>
                <c:pt idx="0">
                  <c:v>25545.86</c:v>
                </c:pt>
                <c:pt idx="1">
                  <c:v>22991.65</c:v>
                </c:pt>
                <c:pt idx="2">
                  <c:v>19570.21</c:v>
                </c:pt>
                <c:pt idx="3">
                  <c:v>17498.939999999999</c:v>
                </c:pt>
                <c:pt idx="4">
                  <c:v>16102.26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A-182D-9E41-9288-E61E1936509E}"/>
            </c:ext>
          </c:extLst>
        </c:ser>
        <c:ser>
          <c:idx val="235"/>
          <c:order val="235"/>
          <c:tx>
            <c:strRef>
              <c:f>data!$B$246</c:f>
              <c:strCache>
                <c:ptCount val="1"/>
                <c:pt idx="0">
                  <c:v>Nicaragua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data!$C$246:$G$246</c:f>
              <c:numCache>
                <c:formatCode>0</c:formatCode>
                <c:ptCount val="5"/>
                <c:pt idx="0">
                  <c:v>6399.32</c:v>
                </c:pt>
                <c:pt idx="1">
                  <c:v>5399.32</c:v>
                </c:pt>
                <c:pt idx="2">
                  <c:v>4188.1499999999996</c:v>
                </c:pt>
                <c:pt idx="3">
                  <c:v>3907.53</c:v>
                </c:pt>
                <c:pt idx="4">
                  <c:v>3407.53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B-182D-9E41-9288-E61E19365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044112"/>
        <c:axId val="2005093264"/>
      </c:lineChart>
      <c:catAx>
        <c:axId val="200504411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2005093264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2005093264"/>
        <c:scaling>
          <c:logBase val="2"/>
          <c:orientation val="minMax"/>
          <c:max val="20000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Forest Area</a:t>
                </a:r>
                <a:r>
                  <a:rPr lang="en-GB" baseline="0"/>
                  <a:t> [1000 ha]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200504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</a:t>
            </a:r>
            <a:r>
              <a:rPr lang="en-GB" baseline="0"/>
              <a:t>ef</a:t>
            </a:r>
            <a:r>
              <a:rPr lang="en-GB"/>
              <a:t>orestation tradjetories</a:t>
            </a:r>
            <a:r>
              <a:rPr lang="en-GB" baseline="0"/>
              <a:t> for highest achieving nations </a:t>
            </a:r>
            <a:r>
              <a:rPr lang="en-GB"/>
              <a:t>(ranked by net area growth</a:t>
            </a:r>
            <a:r>
              <a:rPr lang="en-GB" baseline="0"/>
              <a:t> 1990-2020)</a:t>
            </a:r>
            <a:br>
              <a:rPr lang="en-GB" baseline="0"/>
            </a:br>
            <a:r>
              <a:rPr lang="en-GB" baseline="0"/>
              <a:t>Data normalised to annual growth average of (four) 5/10 yr sample periods</a:t>
            </a:r>
            <a:br>
              <a:rPr lang="en-GB" baseline="0"/>
            </a:br>
            <a:r>
              <a:rPr lang="en-GB" baseline="0"/>
              <a:t>[1000 ha/year]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560868369546256E-2"/>
          <c:y val="3.611852322072092E-2"/>
          <c:w val="0.94243913163045379"/>
          <c:h val="0.95830684852857151"/>
        </c:manualLayout>
      </c:layout>
      <c:lineChart>
        <c:grouping val="standard"/>
        <c:varyColors val="0"/>
        <c:ser>
          <c:idx val="0"/>
          <c:order val="0"/>
          <c:tx>
            <c:strRef>
              <c:f>data!$B$11</c:f>
              <c:strCache>
                <c:ptCount val="1"/>
                <c:pt idx="0">
                  <c:v>Puerto Rico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data!$AD$11:$AG$11</c:f>
              <c:numCache>
                <c:formatCode>#,##0</c:formatCode>
                <c:ptCount val="4"/>
                <c:pt idx="0">
                  <c:v>10.882</c:v>
                </c:pt>
                <c:pt idx="1">
                  <c:v>6.2300000000000013</c:v>
                </c:pt>
                <c:pt idx="2">
                  <c:v>0.48600000000000138</c:v>
                </c:pt>
                <c:pt idx="3">
                  <c:v>0.48999999999999772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E-3C42-99ED-1A04B09FD198}"/>
            </c:ext>
          </c:extLst>
        </c:ser>
        <c:ser>
          <c:idx val="1"/>
          <c:order val="1"/>
          <c:tx>
            <c:strRef>
              <c:f>data!$B$12</c:f>
              <c:strCache>
                <c:ptCount val="1"/>
                <c:pt idx="0">
                  <c:v>Viet Nam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data!$AD$12:$AG$12</c:f>
              <c:numCache>
                <c:formatCode>#,##0</c:formatCode>
                <c:ptCount val="4"/>
                <c:pt idx="0">
                  <c:v>240.81400000000014</c:v>
                </c:pt>
                <c:pt idx="1">
                  <c:v>160.3959999999999</c:v>
                </c:pt>
                <c:pt idx="2">
                  <c:v>134.76000000000022</c:v>
                </c:pt>
                <c:pt idx="3">
                  <c:v>116.24599999999991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E-3C42-99ED-1A04B09FD198}"/>
            </c:ext>
          </c:extLst>
        </c:ser>
        <c:ser>
          <c:idx val="2"/>
          <c:order val="2"/>
          <c:tx>
            <c:strRef>
              <c:f>data!$B$13</c:f>
              <c:strCache>
                <c:ptCount val="1"/>
                <c:pt idx="0">
                  <c:v>Montenegro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data!$AD$13:$AG$13</c:f>
              <c:numCache>
                <c:formatCode>#,##0</c:formatCode>
                <c:ptCount val="4"/>
                <c:pt idx="0">
                  <c:v>0</c:v>
                </c:pt>
                <c:pt idx="1">
                  <c:v>20.100000000000001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E-3C42-99ED-1A04B09FD198}"/>
            </c:ext>
          </c:extLst>
        </c:ser>
        <c:ser>
          <c:idx val="3"/>
          <c:order val="3"/>
          <c:tx>
            <c:strRef>
              <c:f>data!$B$14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data!$AD$14:$AG$14</c:f>
              <c:numCache>
                <c:formatCode>#,##0</c:formatCode>
                <c:ptCount val="4"/>
                <c:pt idx="0">
                  <c:v>37.700000000000003</c:v>
                </c:pt>
                <c:pt idx="1">
                  <c:v>49.7</c:v>
                </c:pt>
                <c:pt idx="2">
                  <c:v>50.4</c:v>
                </c:pt>
                <c:pt idx="3">
                  <c:v>11.6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5E-3C42-99ED-1A04B09FD198}"/>
            </c:ext>
          </c:extLst>
        </c:ser>
        <c:ser>
          <c:idx val="4"/>
          <c:order val="4"/>
          <c:tx>
            <c:strRef>
              <c:f>data!$B$15</c:f>
              <c:strCache>
                <c:ptCount val="1"/>
                <c:pt idx="0">
                  <c:v>Dominican Republic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data!$AD$15:$AG$15</c:f>
              <c:numCache>
                <c:formatCode>#,##0</c:formatCode>
                <c:ptCount val="4"/>
                <c:pt idx="0">
                  <c:v>37.757999999999996</c:v>
                </c:pt>
                <c:pt idx="1">
                  <c:v>10.064999999999987</c:v>
                </c:pt>
                <c:pt idx="2">
                  <c:v>6.1060000000000398</c:v>
                </c:pt>
                <c:pt idx="3">
                  <c:v>8.0899999999999643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5E-3C42-99ED-1A04B09FD198}"/>
            </c:ext>
          </c:extLst>
        </c:ser>
        <c:ser>
          <c:idx val="5"/>
          <c:order val="5"/>
          <c:tx>
            <c:strRef>
              <c:f>data!$B$16</c:f>
              <c:strCache>
                <c:ptCount val="1"/>
                <c:pt idx="0">
                  <c:v>Fiji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data!$AD$16:$AG$16</c:f>
              <c:numCache>
                <c:formatCode>#,##0</c:formatCode>
                <c:ptCount val="4"/>
                <c:pt idx="0">
                  <c:v>6.6779999999999973</c:v>
                </c:pt>
                <c:pt idx="1">
                  <c:v>6.6769999999999978</c:v>
                </c:pt>
                <c:pt idx="2">
                  <c:v>6.6759999999999762</c:v>
                </c:pt>
                <c:pt idx="3">
                  <c:v>6.6800000000000184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5E-3C42-99ED-1A04B09FD198}"/>
            </c:ext>
          </c:extLst>
        </c:ser>
        <c:ser>
          <c:idx val="6"/>
          <c:order val="6"/>
          <c:tx>
            <c:strRef>
              <c:f>data!$B$17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data!$AD$17:$AG$17</c:f>
              <c:numCache>
                <c:formatCode>#,##0</c:formatCode>
                <c:ptCount val="4"/>
                <c:pt idx="0">
                  <c:v>318.92700000000002</c:v>
                </c:pt>
                <c:pt idx="1">
                  <c:v>145.14099999999999</c:v>
                </c:pt>
                <c:pt idx="2">
                  <c:v>1.168000000000029</c:v>
                </c:pt>
                <c:pt idx="3">
                  <c:v>4.1979999999995927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5E-3C42-99ED-1A04B09FD198}"/>
            </c:ext>
          </c:extLst>
        </c:ser>
        <c:ser>
          <c:idx val="7"/>
          <c:order val="7"/>
          <c:tx>
            <c:strRef>
              <c:f>data!$B$18</c:f>
              <c:strCache>
                <c:ptCount val="1"/>
                <c:pt idx="0">
                  <c:v>Cabo Verde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data!$AD$18:$AG$18</c:f>
              <c:numCache>
                <c:formatCode>#,##0</c:formatCode>
                <c:ptCount val="4"/>
                <c:pt idx="0">
                  <c:v>2.4339999999999997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5E-3C42-99ED-1A04B09FD198}"/>
            </c:ext>
          </c:extLst>
        </c:ser>
        <c:ser>
          <c:idx val="8"/>
          <c:order val="8"/>
          <c:tx>
            <c:strRef>
              <c:f>data!$B$19</c:f>
              <c:strCache>
                <c:ptCount val="1"/>
                <c:pt idx="0">
                  <c:v>Guam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data!$AD$19:$AG$19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5E-3C42-99ED-1A04B09FD198}"/>
            </c:ext>
          </c:extLst>
        </c:ser>
        <c:ser>
          <c:idx val="9"/>
          <c:order val="9"/>
          <c:tx>
            <c:strRef>
              <c:f>data!$B$20</c:f>
              <c:strCache>
                <c:ptCount val="1"/>
                <c:pt idx="0">
                  <c:v>Palau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data!$AD$20:$AG$20</c:f>
              <c:numCache>
                <c:formatCode>#,##0</c:formatCode>
                <c:ptCount val="4"/>
                <c:pt idx="0">
                  <c:v>0.14299999999999996</c:v>
                </c:pt>
                <c:pt idx="1">
                  <c:v>9.8000000000000392E-2</c:v>
                </c:pt>
                <c:pt idx="2">
                  <c:v>8.5999999999999938E-2</c:v>
                </c:pt>
                <c:pt idx="3">
                  <c:v>8.3999999999998923E-2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5E-3C42-99ED-1A04B09FD198}"/>
            </c:ext>
          </c:extLst>
        </c:ser>
        <c:ser>
          <c:idx val="10"/>
          <c:order val="10"/>
          <c:tx>
            <c:strRef>
              <c:f>data!$B$21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data!$AD$21:$AG$21</c:f>
              <c:numCache>
                <c:formatCode>#,##0</c:formatCode>
                <c:ptCount val="4"/>
                <c:pt idx="0">
                  <c:v>57.1</c:v>
                </c:pt>
                <c:pt idx="1">
                  <c:v>36.229999999999997</c:v>
                </c:pt>
                <c:pt idx="2">
                  <c:v>37.740000000000009</c:v>
                </c:pt>
                <c:pt idx="3">
                  <c:v>22.2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5E-3C42-99ED-1A04B09FD198}"/>
            </c:ext>
          </c:extLst>
        </c:ser>
        <c:ser>
          <c:idx val="11"/>
          <c:order val="11"/>
          <c:tx>
            <c:strRef>
              <c:f>data!$B$22</c:f>
              <c:strCache>
                <c:ptCount val="1"/>
                <c:pt idx="0">
                  <c:v>Jamaica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data!$AD$22:$AG$22</c:f>
              <c:numCache>
                <c:formatCode>#,##0</c:formatCode>
                <c:ptCount val="4"/>
                <c:pt idx="0">
                  <c:v>-2.799999999999727E-2</c:v>
                </c:pt>
                <c:pt idx="1">
                  <c:v>3.7450000000000045</c:v>
                </c:pt>
                <c:pt idx="2">
                  <c:v>3.8019999999999983</c:v>
                </c:pt>
                <c:pt idx="3">
                  <c:v>3.8859999999999899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75E-3C42-99ED-1A04B09FD198}"/>
            </c:ext>
          </c:extLst>
        </c:ser>
        <c:ser>
          <c:idx val="12"/>
          <c:order val="12"/>
          <c:tx>
            <c:strRef>
              <c:f>data!$B$23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data!$AD$23:$AG$23</c:f>
              <c:numCache>
                <c:formatCode>#,##0</c:formatCode>
                <c:ptCount val="4"/>
                <c:pt idx="0">
                  <c:v>77.95</c:v>
                </c:pt>
                <c:pt idx="1">
                  <c:v>65.87900000000009</c:v>
                </c:pt>
                <c:pt idx="2">
                  <c:v>53.807999999999808</c:v>
                </c:pt>
                <c:pt idx="3">
                  <c:v>53.809999999999853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75E-3C42-99ED-1A04B09FD198}"/>
            </c:ext>
          </c:extLst>
        </c:ser>
        <c:ser>
          <c:idx val="13"/>
          <c:order val="13"/>
          <c:tx>
            <c:strRef>
              <c:f>data!$B$24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data!$AD$24:$AG$24</c:f>
              <c:numCache>
                <c:formatCode>#,##0</c:formatCode>
                <c:ptCount val="4"/>
                <c:pt idx="0">
                  <c:v>1985.9959999999992</c:v>
                </c:pt>
                <c:pt idx="1">
                  <c:v>2360.9830000000015</c:v>
                </c:pt>
                <c:pt idx="2">
                  <c:v>1936.773999999999</c:v>
                </c:pt>
                <c:pt idx="3">
                  <c:v>1936.7859999999987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75E-3C42-99ED-1A04B09FD198}"/>
            </c:ext>
          </c:extLst>
        </c:ser>
        <c:ser>
          <c:idx val="14"/>
          <c:order val="14"/>
          <c:tx>
            <c:strRef>
              <c:f>data!$B$25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data!$AD$25:$AG$25</c:f>
              <c:numCache>
                <c:formatCode>#,##0</c:formatCode>
                <c:ptCount val="4"/>
                <c:pt idx="0">
                  <c:v>9.9280000000000204</c:v>
                </c:pt>
                <c:pt idx="1">
                  <c:v>9.9289999999999967</c:v>
                </c:pt>
                <c:pt idx="2">
                  <c:v>1.9779999999999744</c:v>
                </c:pt>
                <c:pt idx="3">
                  <c:v>1.9800000000000182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75E-3C42-99ED-1A04B09FD198}"/>
            </c:ext>
          </c:extLst>
        </c:ser>
        <c:ser>
          <c:idx val="15"/>
          <c:order val="15"/>
          <c:tx>
            <c:strRef>
              <c:f>data!$B$26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data!$AD$26:$AG$26</c:f>
              <c:numCache>
                <c:formatCode>#,##0</c:formatCode>
                <c:ptCount val="4"/>
                <c:pt idx="0">
                  <c:v>3.2989999999999782</c:v>
                </c:pt>
                <c:pt idx="1">
                  <c:v>9.7130000000000116</c:v>
                </c:pt>
                <c:pt idx="2">
                  <c:v>16.998000000000047</c:v>
                </c:pt>
                <c:pt idx="3">
                  <c:v>3.4779999999999744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75E-3C42-99ED-1A04B09FD198}"/>
            </c:ext>
          </c:extLst>
        </c:ser>
        <c:ser>
          <c:idx val="16"/>
          <c:order val="16"/>
          <c:tx>
            <c:strRef>
              <c:f>data!$B$27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data!$AD$27:$AG$27</c:f>
              <c:numCache>
                <c:formatCode>#,##0</c:formatCode>
                <c:ptCount val="4"/>
                <c:pt idx="0">
                  <c:v>4.8</c:v>
                </c:pt>
                <c:pt idx="1">
                  <c:v>36.200000000000003</c:v>
                </c:pt>
                <c:pt idx="2">
                  <c:v>19.2</c:v>
                </c:pt>
                <c:pt idx="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75E-3C42-99ED-1A04B09FD198}"/>
            </c:ext>
          </c:extLst>
        </c:ser>
        <c:ser>
          <c:idx val="17"/>
          <c:order val="17"/>
          <c:tx>
            <c:strRef>
              <c:f>data!$B$28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data!$AD$28:$AG$28</c:f>
              <c:numCache>
                <c:formatCode>#,##0</c:formatCode>
                <c:ptCount val="4"/>
                <c:pt idx="0">
                  <c:v>85.2</c:v>
                </c:pt>
                <c:pt idx="1">
                  <c:v>113.1</c:v>
                </c:pt>
                <c:pt idx="2">
                  <c:v>83.4</c:v>
                </c:pt>
                <c:pt idx="3">
                  <c:v>83.4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75E-3C42-99ED-1A04B09FD198}"/>
            </c:ext>
          </c:extLst>
        </c:ser>
        <c:ser>
          <c:idx val="18"/>
          <c:order val="18"/>
          <c:tx>
            <c:strRef>
              <c:f>data!$B$29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data!$AD$29:$AG$29</c:f>
              <c:numCache>
                <c:formatCode>#,##0</c:formatCode>
                <c:ptCount val="4"/>
                <c:pt idx="0">
                  <c:v>49.3</c:v>
                </c:pt>
                <c:pt idx="1">
                  <c:v>35.700000000000003</c:v>
                </c:pt>
                <c:pt idx="2">
                  <c:v>0.7</c:v>
                </c:pt>
                <c:pt idx="3">
                  <c:v>26.820000000000071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75E-3C42-99ED-1A04B09FD198}"/>
            </c:ext>
          </c:extLst>
        </c:ser>
        <c:ser>
          <c:idx val="19"/>
          <c:order val="19"/>
          <c:tx>
            <c:strRef>
              <c:f>data!$B$30</c:f>
              <c:strCache>
                <c:ptCount val="1"/>
                <c:pt idx="0">
                  <c:v>Serbia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data!$AD$30:$AG$30</c:f>
              <c:numCache>
                <c:formatCode>#,##0</c:formatCode>
                <c:ptCount val="4"/>
                <c:pt idx="0">
                  <c:v>14.7</c:v>
                </c:pt>
                <c:pt idx="1">
                  <c:v>25.3</c:v>
                </c:pt>
                <c:pt idx="2">
                  <c:v>1.30600000000004</c:v>
                </c:pt>
                <c:pt idx="3">
                  <c:v>0.62399999999997813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75E-3C42-99ED-1A04B09FD198}"/>
            </c:ext>
          </c:extLst>
        </c:ser>
        <c:ser>
          <c:idx val="20"/>
          <c:order val="20"/>
          <c:tx>
            <c:strRef>
              <c:f>data!$B$31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data!$AD$31:$AG$31</c:f>
              <c:numCache>
                <c:formatCode>#,##0</c:formatCode>
                <c:ptCount val="4"/>
                <c:pt idx="0">
                  <c:v>30.167999999999985</c:v>
                </c:pt>
                <c:pt idx="1">
                  <c:v>30.157000000000018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75E-3C42-99ED-1A04B09FD198}"/>
            </c:ext>
          </c:extLst>
        </c:ser>
        <c:ser>
          <c:idx val="21"/>
          <c:order val="21"/>
          <c:tx>
            <c:strRef>
              <c:f>data!$B$32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data!$AD$32:$AG$32</c:f>
              <c:numCache>
                <c:formatCode>#,##0</c:formatCode>
                <c:ptCount val="4"/>
                <c:pt idx="0">
                  <c:v>16.872000000000003</c:v>
                </c:pt>
                <c:pt idx="1">
                  <c:v>9.0019999999999989</c:v>
                </c:pt>
                <c:pt idx="2">
                  <c:v>6.8579999999999925</c:v>
                </c:pt>
                <c:pt idx="3">
                  <c:v>5.4700000000000042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75E-3C42-99ED-1A04B09FD198}"/>
            </c:ext>
          </c:extLst>
        </c:ser>
        <c:ser>
          <c:idx val="22"/>
          <c:order val="22"/>
          <c:tx>
            <c:strRef>
              <c:f>data!$B$33</c:f>
              <c:strCache>
                <c:ptCount val="1"/>
                <c:pt idx="0">
                  <c:v>Martinique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data!$AD$33:$AG$33</c:f>
              <c:numCache>
                <c:formatCode>#,##0</c:formatCode>
                <c:ptCount val="4"/>
                <c:pt idx="0">
                  <c:v>8.9999999999999858E-2</c:v>
                </c:pt>
                <c:pt idx="1">
                  <c:v>0.15499999999999972</c:v>
                </c:pt>
                <c:pt idx="2">
                  <c:v>0.2</c:v>
                </c:pt>
                <c:pt idx="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75E-3C42-99ED-1A04B09FD198}"/>
            </c:ext>
          </c:extLst>
        </c:ser>
        <c:ser>
          <c:idx val="23"/>
          <c:order val="23"/>
          <c:tx>
            <c:strRef>
              <c:f>data!$B$34</c:f>
              <c:strCache>
                <c:ptCount val="1"/>
                <c:pt idx="0">
                  <c:v>Réunion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data!$AD$34:$AG$34</c:f>
              <c:numCache>
                <c:formatCode>#,##0</c:formatCode>
                <c:ptCount val="4"/>
                <c:pt idx="0">
                  <c:v>0.3019999999999996</c:v>
                </c:pt>
                <c:pt idx="1">
                  <c:v>0.3019999999999996</c:v>
                </c:pt>
                <c:pt idx="2">
                  <c:v>0.41000000000000225</c:v>
                </c:pt>
                <c:pt idx="3">
                  <c:v>0.47999999999999832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75E-3C42-99ED-1A04B09FD198}"/>
            </c:ext>
          </c:extLst>
        </c:ser>
        <c:ser>
          <c:idx val="24"/>
          <c:order val="24"/>
          <c:tx>
            <c:strRef>
              <c:f>data!$B$35</c:f>
              <c:strCache>
                <c:ptCount val="1"/>
                <c:pt idx="0">
                  <c:v>Lithuania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data!$AD$35:$AG$35</c:f>
              <c:numCache>
                <c:formatCode>#,##0</c:formatCode>
                <c:ptCount val="4"/>
                <c:pt idx="0">
                  <c:v>7.5</c:v>
                </c:pt>
                <c:pt idx="1">
                  <c:v>15</c:v>
                </c:pt>
                <c:pt idx="2">
                  <c:v>3.4</c:v>
                </c:pt>
                <c:pt idx="3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75E-3C42-99ED-1A04B09FD198}"/>
            </c:ext>
          </c:extLst>
        </c:ser>
        <c:ser>
          <c:idx val="25"/>
          <c:order val="25"/>
          <c:tx>
            <c:strRef>
              <c:f>data!$B$36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data!$AD$36:$AG$36</c:f>
              <c:numCache>
                <c:formatCode>#,##0</c:formatCode>
                <c:ptCount val="4"/>
                <c:pt idx="0">
                  <c:v>57.10100000000002</c:v>
                </c:pt>
                <c:pt idx="1">
                  <c:v>90.819999999999894</c:v>
                </c:pt>
                <c:pt idx="2">
                  <c:v>174.16400000000067</c:v>
                </c:pt>
                <c:pt idx="3">
                  <c:v>122.92399999999979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75E-3C42-99ED-1A04B09FD198}"/>
            </c:ext>
          </c:extLst>
        </c:ser>
        <c:ser>
          <c:idx val="26"/>
          <c:order val="26"/>
          <c:tx>
            <c:strRef>
              <c:f>data!$B$37</c:f>
              <c:strCache>
                <c:ptCount val="1"/>
                <c:pt idx="0">
                  <c:v>Latvia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data!$AD$37:$AG$37</c:f>
              <c:numCache>
                <c:formatCode>#,##0</c:formatCode>
                <c:ptCount val="4"/>
                <c:pt idx="0">
                  <c:v>6.8</c:v>
                </c:pt>
                <c:pt idx="1">
                  <c:v>13.111999999999989</c:v>
                </c:pt>
                <c:pt idx="2">
                  <c:v>3.8640000000000327</c:v>
                </c:pt>
                <c:pt idx="3">
                  <c:v>3.8699999999999819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75E-3C42-99ED-1A04B09FD198}"/>
            </c:ext>
          </c:extLst>
        </c:ser>
        <c:ser>
          <c:idx val="27"/>
          <c:order val="27"/>
          <c:tx>
            <c:strRef>
              <c:f>data!$B$38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data!$AD$38:$AG$38</c:f>
              <c:numCache>
                <c:formatCode>#,##0</c:formatCode>
                <c:ptCount val="4"/>
                <c:pt idx="0">
                  <c:v>4.5549999999999953</c:v>
                </c:pt>
                <c:pt idx="1">
                  <c:v>0.28799999999999953</c:v>
                </c:pt>
                <c:pt idx="2">
                  <c:v>6.7940000000000058</c:v>
                </c:pt>
                <c:pt idx="3">
                  <c:v>1.4180000000000064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75E-3C42-99ED-1A04B09FD198}"/>
            </c:ext>
          </c:extLst>
        </c:ser>
        <c:ser>
          <c:idx val="28"/>
          <c:order val="28"/>
          <c:tx>
            <c:strRef>
              <c:f>data!$B$39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data!$AD$39:$AG$39</c:f>
              <c:numCache>
                <c:formatCode>#,##0</c:formatCode>
                <c:ptCount val="4"/>
                <c:pt idx="0">
                  <c:v>36.486999999999895</c:v>
                </c:pt>
                <c:pt idx="1">
                  <c:v>93.473000000000326</c:v>
                </c:pt>
                <c:pt idx="2">
                  <c:v>109.44399999999951</c:v>
                </c:pt>
                <c:pt idx="3">
                  <c:v>118.01200000000026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75E-3C42-99ED-1A04B09FD198}"/>
            </c:ext>
          </c:extLst>
        </c:ser>
        <c:ser>
          <c:idx val="29"/>
          <c:order val="29"/>
          <c:tx>
            <c:strRef>
              <c:f>data!$B$40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data!$AD$40:$AG$40</c:f>
              <c:numCache>
                <c:formatCode>#,##0</c:formatCode>
                <c:ptCount val="4"/>
                <c:pt idx="0">
                  <c:v>4.268000000000006</c:v>
                </c:pt>
                <c:pt idx="1">
                  <c:v>3.8539999999999965</c:v>
                </c:pt>
                <c:pt idx="2">
                  <c:v>3.4380000000000108</c:v>
                </c:pt>
                <c:pt idx="3">
                  <c:v>3.4399999999999635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75E-3C42-99ED-1A04B09FD198}"/>
            </c:ext>
          </c:extLst>
        </c:ser>
        <c:ser>
          <c:idx val="30"/>
          <c:order val="30"/>
          <c:tx>
            <c:strRef>
              <c:f>data!$B$41</c:f>
              <c:strCache>
                <c:ptCount val="1"/>
                <c:pt idx="0">
                  <c:v>Cook Islands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data!$AD$41:$AG$41</c:f>
              <c:numCache>
                <c:formatCode>#,##0</c:formatCode>
                <c:ptCount val="4"/>
                <c:pt idx="0">
                  <c:v>6.6000000000000017E-2</c:v>
                </c:pt>
                <c:pt idx="1">
                  <c:v>1.9999999999999575E-3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75E-3C42-99ED-1A04B09FD198}"/>
            </c:ext>
          </c:extLst>
        </c:ser>
        <c:ser>
          <c:idx val="31"/>
          <c:order val="31"/>
          <c:tx>
            <c:strRef>
              <c:f>data!$B$42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data!$AD$42:$AG$42</c:f>
              <c:numCache>
                <c:formatCode>#,##0</c:formatCode>
                <c:ptCount val="4"/>
                <c:pt idx="0">
                  <c:v>365.3</c:v>
                </c:pt>
                <c:pt idx="1">
                  <c:v>190.5</c:v>
                </c:pt>
                <c:pt idx="2">
                  <c:v>266.39999999999998</c:v>
                </c:pt>
                <c:pt idx="3">
                  <c:v>266.39999999999998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75E-3C42-99ED-1A04B09FD198}"/>
            </c:ext>
          </c:extLst>
        </c:ser>
        <c:ser>
          <c:idx val="32"/>
          <c:order val="32"/>
          <c:tx>
            <c:strRef>
              <c:f>data!$B$43</c:f>
              <c:strCache>
                <c:ptCount val="1"/>
                <c:pt idx="0">
                  <c:v>Uzbekistan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data!$AD$43:$AG$43</c:f>
              <c:numCache>
                <c:formatCode>#,##0</c:formatCode>
                <c:ptCount val="4"/>
                <c:pt idx="0">
                  <c:v>41.209000000000017</c:v>
                </c:pt>
                <c:pt idx="1">
                  <c:v>38.813999999999986</c:v>
                </c:pt>
                <c:pt idx="2">
                  <c:v>39.960000000000036</c:v>
                </c:pt>
                <c:pt idx="3">
                  <c:v>28.051999999999953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75E-3C42-99ED-1A04B09FD198}"/>
            </c:ext>
          </c:extLst>
        </c:ser>
        <c:ser>
          <c:idx val="33"/>
          <c:order val="33"/>
          <c:tx>
            <c:strRef>
              <c:f>data!$B$44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data!$AD$44:$AG$44</c:f>
              <c:numCache>
                <c:formatCode>#,##0</c:formatCode>
                <c:ptCount val="4"/>
                <c:pt idx="0">
                  <c:v>10.726999999999999</c:v>
                </c:pt>
                <c:pt idx="1">
                  <c:v>12.522000000000002</c:v>
                </c:pt>
                <c:pt idx="2">
                  <c:v>2.8860000000000126</c:v>
                </c:pt>
                <c:pt idx="3">
                  <c:v>-1.5619999999999892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75E-3C42-99ED-1A04B09FD198}"/>
            </c:ext>
          </c:extLst>
        </c:ser>
        <c:ser>
          <c:idx val="34"/>
          <c:order val="34"/>
          <c:tx>
            <c:strRef>
              <c:f>data!$B$45</c:f>
              <c:strCache>
                <c:ptCount val="1"/>
                <c:pt idx="0">
                  <c:v>Saint Vincent and the Grenadines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data!$AD$45:$AG$45</c:f>
              <c:numCache>
                <c:formatCode>#,##0</c:formatCode>
                <c:ptCount val="4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75E-3C42-99ED-1A04B09FD198}"/>
            </c:ext>
          </c:extLst>
        </c:ser>
        <c:ser>
          <c:idx val="35"/>
          <c:order val="35"/>
          <c:tx>
            <c:strRef>
              <c:f>data!$B$46</c:f>
              <c:strCache>
                <c:ptCount val="1"/>
                <c:pt idx="0">
                  <c:v>Costa Rica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data!$AD$46:$AG$46</c:f>
              <c:numCache>
                <c:formatCode>#,##0</c:formatCode>
                <c:ptCount val="4"/>
                <c:pt idx="0">
                  <c:v>-5.0180000000000291</c:v>
                </c:pt>
                <c:pt idx="1">
                  <c:v>1.3980000000000019</c:v>
                </c:pt>
                <c:pt idx="2">
                  <c:v>16.366000000000078</c:v>
                </c:pt>
                <c:pt idx="3">
                  <c:v>16.367999999999938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75E-3C42-99ED-1A04B09FD198}"/>
            </c:ext>
          </c:extLst>
        </c:ser>
        <c:ser>
          <c:idx val="36"/>
          <c:order val="36"/>
          <c:tx>
            <c:strRef>
              <c:f>data!$B$47</c:f>
              <c:strCache>
                <c:ptCount val="1"/>
                <c:pt idx="0">
                  <c:v>Slovenia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data!$AD$47:$AG$47</c:f>
              <c:numCache>
                <c:formatCode>#,##0</c:formatCode>
                <c:ptCount val="4"/>
                <c:pt idx="0">
                  <c:v>4.5</c:v>
                </c:pt>
                <c:pt idx="1">
                  <c:v>1.4</c:v>
                </c:pt>
                <c:pt idx="2">
                  <c:v>0.2</c:v>
                </c:pt>
                <c:pt idx="3">
                  <c:v>-2.0340000000000145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75E-3C42-99ED-1A04B09FD198}"/>
            </c:ext>
          </c:extLst>
        </c:ser>
        <c:ser>
          <c:idx val="37"/>
          <c:order val="37"/>
          <c:tx>
            <c:strRef>
              <c:f>data!$B$48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data!$AD$48:$AG$48</c:f>
              <c:numCache>
                <c:formatCode>#,##0</c:formatCode>
                <c:ptCount val="4"/>
                <c:pt idx="0">
                  <c:v>-0.5</c:v>
                </c:pt>
                <c:pt idx="1">
                  <c:v>14.9</c:v>
                </c:pt>
                <c:pt idx="2">
                  <c:v>77.192000000000007</c:v>
                </c:pt>
                <c:pt idx="3">
                  <c:v>5.6180000000000287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75E-3C42-99ED-1A04B09FD198}"/>
            </c:ext>
          </c:extLst>
        </c:ser>
        <c:ser>
          <c:idx val="38"/>
          <c:order val="38"/>
          <c:tx>
            <c:strRef>
              <c:f>data!$B$49</c:f>
              <c:strCache>
                <c:ptCount val="1"/>
                <c:pt idx="0">
                  <c:v>Guernsey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data!$AD$49:$AG$49</c:f>
              <c:numCache>
                <c:formatCode>#,##0</c:formatCode>
                <c:ptCount val="4"/>
                <c:pt idx="0">
                  <c:v>0</c:v>
                </c:pt>
                <c:pt idx="1">
                  <c:v>1.8999999999999996E-2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75E-3C42-99ED-1A04B09FD198}"/>
            </c:ext>
          </c:extLst>
        </c:ser>
        <c:ser>
          <c:idx val="39"/>
          <c:order val="39"/>
          <c:tx>
            <c:strRef>
              <c:f>data!$B$50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data!$AD$50:$AG$50</c:f>
              <c:numCache>
                <c:formatCode>#,##0</c:formatCode>
                <c:ptCount val="4"/>
                <c:pt idx="0">
                  <c:v>4.0159999999999965</c:v>
                </c:pt>
                <c:pt idx="1">
                  <c:v>1.4889999999999985</c:v>
                </c:pt>
                <c:pt idx="2">
                  <c:v>7.6379999999999884</c:v>
                </c:pt>
                <c:pt idx="3">
                  <c:v>0.75200000000002087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75E-3C42-99ED-1A04B09FD198}"/>
            </c:ext>
          </c:extLst>
        </c:ser>
        <c:ser>
          <c:idx val="40"/>
          <c:order val="40"/>
          <c:tx>
            <c:strRef>
              <c:f>data!$B$51</c:f>
              <c:strCache>
                <c:ptCount val="1"/>
                <c:pt idx="0">
                  <c:v>Azerbaijan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data!$AD$51:$AG$51</c:f>
              <c:numCache>
                <c:formatCode>#,##0</c:formatCode>
                <c:ptCount val="4"/>
                <c:pt idx="0">
                  <c:v>4.248000000000002</c:v>
                </c:pt>
                <c:pt idx="1">
                  <c:v>4.5269999999999984</c:v>
                </c:pt>
                <c:pt idx="2">
                  <c:v>9.0800000000000178</c:v>
                </c:pt>
                <c:pt idx="3">
                  <c:v>10.775999999999977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75E-3C42-99ED-1A04B09FD198}"/>
            </c:ext>
          </c:extLst>
        </c:ser>
        <c:ser>
          <c:idx val="41"/>
          <c:order val="41"/>
          <c:tx>
            <c:strRef>
              <c:f>data!$B$52</c:f>
              <c:strCache>
                <c:ptCount val="1"/>
                <c:pt idx="0">
                  <c:v>Eswatini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data!$AD$52:$AG$52</c:f>
              <c:numCache>
                <c:formatCode>#,##0</c:formatCode>
                <c:ptCount val="4"/>
                <c:pt idx="0">
                  <c:v>1.2139999999999986</c:v>
                </c:pt>
                <c:pt idx="1">
                  <c:v>1.2150000000000034</c:v>
                </c:pt>
                <c:pt idx="2">
                  <c:v>1.2139999999999986</c:v>
                </c:pt>
                <c:pt idx="3">
                  <c:v>1.2120000000000004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75E-3C42-99ED-1A04B09FD198}"/>
            </c:ext>
          </c:extLst>
        </c:ser>
        <c:ser>
          <c:idx val="42"/>
          <c:order val="42"/>
          <c:tx>
            <c:strRef>
              <c:f>data!$B$53</c:f>
              <c:strCache>
                <c:ptCount val="1"/>
                <c:pt idx="0">
                  <c:v>Nepal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data!$AD$53:$AG$53</c:f>
              <c:numCache>
                <c:formatCode>#,##0</c:formatCode>
                <c:ptCount val="4"/>
                <c:pt idx="0">
                  <c:v>10.876000000000023</c:v>
                </c:pt>
                <c:pt idx="1">
                  <c:v>18.126999999999953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75E-3C42-99ED-1A04B09FD198}"/>
            </c:ext>
          </c:extLst>
        </c:ser>
        <c:ser>
          <c:idx val="43"/>
          <c:order val="43"/>
          <c:tx>
            <c:strRef>
              <c:f>data!$B$54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data!$AD$54:$AG$54</c:f>
              <c:numCache>
                <c:formatCode>#,##0</c:formatCode>
                <c:ptCount val="4"/>
                <c:pt idx="0">
                  <c:v>47.817000000000007</c:v>
                </c:pt>
                <c:pt idx="1">
                  <c:v>-0.2319999999999709</c:v>
                </c:pt>
                <c:pt idx="2">
                  <c:v>-0.30200000000004368</c:v>
                </c:pt>
                <c:pt idx="3">
                  <c:v>9.1959999999999127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75E-3C42-99ED-1A04B09FD198}"/>
            </c:ext>
          </c:extLst>
        </c:ser>
        <c:ser>
          <c:idx val="44"/>
          <c:order val="44"/>
          <c:tx>
            <c:strRef>
              <c:f>data!$B$55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data!$AD$55:$AG$55</c:f>
              <c:numCache>
                <c:formatCode>#,##0</c:formatCode>
                <c:ptCount val="4"/>
                <c:pt idx="0">
                  <c:v>17.7</c:v>
                </c:pt>
                <c:pt idx="1">
                  <c:v>27</c:v>
                </c:pt>
                <c:pt idx="2">
                  <c:v>18.2</c:v>
                </c:pt>
                <c:pt idx="3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75E-3C42-99ED-1A04B09FD198}"/>
            </c:ext>
          </c:extLst>
        </c:ser>
        <c:ser>
          <c:idx val="45"/>
          <c:order val="45"/>
          <c:tx>
            <c:strRef>
              <c:f>data!$B$56</c:f>
              <c:strCache>
                <c:ptCount val="1"/>
                <c:pt idx="0">
                  <c:v>Republic of Moldova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data!$AD$56:$AG$56</c:f>
              <c:numCache>
                <c:formatCode>#,##0</c:formatCode>
                <c:ptCount val="4"/>
                <c:pt idx="0">
                  <c:v>1.9</c:v>
                </c:pt>
                <c:pt idx="1">
                  <c:v>3.0100000000000025</c:v>
                </c:pt>
                <c:pt idx="2">
                  <c:v>2.3799999999999955</c:v>
                </c:pt>
                <c:pt idx="3">
                  <c:v>2.0000000000004549E-2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75E-3C42-99ED-1A04B09FD198}"/>
            </c:ext>
          </c:extLst>
        </c:ser>
        <c:ser>
          <c:idx val="46"/>
          <c:order val="46"/>
          <c:tx>
            <c:strRef>
              <c:f>data!$B$57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data!$AD$57:$AG$57</c:f>
              <c:numCache>
                <c:formatCode>#,##0</c:formatCode>
                <c:ptCount val="4"/>
                <c:pt idx="0">
                  <c:v>57.030999999999764</c:v>
                </c:pt>
                <c:pt idx="1">
                  <c:v>-20.36399999999994</c:v>
                </c:pt>
                <c:pt idx="2">
                  <c:v>33.4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75E-3C42-99ED-1A04B09FD198}"/>
            </c:ext>
          </c:extLst>
        </c:ser>
        <c:ser>
          <c:idx val="47"/>
          <c:order val="47"/>
          <c:tx>
            <c:strRef>
              <c:f>data!$B$58</c:f>
              <c:strCache>
                <c:ptCount val="1"/>
                <c:pt idx="0">
                  <c:v>United Kingdom of Great Britain and Northern Ireland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data!$AD$58:$AG$58</c:f>
              <c:numCache>
                <c:formatCode>#,##0</c:formatCode>
                <c:ptCount val="4"/>
                <c:pt idx="0">
                  <c:v>17.600000000000001</c:v>
                </c:pt>
                <c:pt idx="1">
                  <c:v>10.5</c:v>
                </c:pt>
                <c:pt idx="2">
                  <c:v>19.2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75E-3C42-99ED-1A04B09FD198}"/>
            </c:ext>
          </c:extLst>
        </c:ser>
        <c:ser>
          <c:idx val="48"/>
          <c:order val="48"/>
          <c:tx>
            <c:strRef>
              <c:f>data!$B$59</c:f>
              <c:strCache>
                <c:ptCount val="1"/>
                <c:pt idx="0">
                  <c:v>Croatia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data!$AD$59:$AG$59</c:f>
              <c:numCache>
                <c:formatCode>#,##0</c:formatCode>
                <c:ptCount val="4"/>
                <c:pt idx="0">
                  <c:v>3.5</c:v>
                </c:pt>
                <c:pt idx="1">
                  <c:v>3.5</c:v>
                </c:pt>
                <c:pt idx="2">
                  <c:v>0.4</c:v>
                </c:pt>
                <c:pt idx="3">
                  <c:v>3.4219999999999802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75E-3C42-99ED-1A04B09FD198}"/>
            </c:ext>
          </c:extLst>
        </c:ser>
        <c:ser>
          <c:idx val="49"/>
          <c:order val="49"/>
          <c:tx>
            <c:strRef>
              <c:f>data!$B$60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data!$AD$60:$AG$60</c:f>
              <c:numCache>
                <c:formatCode>#,##0</c:formatCode>
                <c:ptCount val="4"/>
                <c:pt idx="0">
                  <c:v>6.2469999999999803</c:v>
                </c:pt>
                <c:pt idx="1">
                  <c:v>2.5059999999999945</c:v>
                </c:pt>
                <c:pt idx="2">
                  <c:v>3.5980000000000474</c:v>
                </c:pt>
                <c:pt idx="3">
                  <c:v>3.5920000000000072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75E-3C42-99ED-1A04B09FD198}"/>
            </c:ext>
          </c:extLst>
        </c:ser>
        <c:ser>
          <c:idx val="50"/>
          <c:order val="50"/>
          <c:tx>
            <c:strRef>
              <c:f>data!$B$61</c:f>
              <c:strCache>
                <c:ptCount val="1"/>
                <c:pt idx="0">
                  <c:v>French Polynesia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data!$AD$61:$AG$61</c:f>
              <c:numCache>
                <c:formatCode>#,##0</c:formatCode>
                <c:ptCount val="4"/>
                <c:pt idx="0">
                  <c:v>0.41200000000000048</c:v>
                </c:pt>
                <c:pt idx="1">
                  <c:v>9.0999999999999664E-2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75E-3C42-99ED-1A04B09FD198}"/>
            </c:ext>
          </c:extLst>
        </c:ser>
        <c:ser>
          <c:idx val="51"/>
          <c:order val="51"/>
          <c:tx>
            <c:strRef>
              <c:f>data!$B$62</c:f>
              <c:strCache>
                <c:ptCount val="1"/>
                <c:pt idx="0">
                  <c:v>Liechtenstein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data!$AD$62:$AG$62</c:f>
              <c:numCache>
                <c:formatCode>#,##0</c:formatCode>
                <c:ptCount val="4"/>
                <c:pt idx="0">
                  <c:v>2.0000000000000018E-2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375E-3C42-99ED-1A04B09FD198}"/>
            </c:ext>
          </c:extLst>
        </c:ser>
        <c:ser>
          <c:idx val="52"/>
          <c:order val="52"/>
          <c:tx>
            <c:strRef>
              <c:f>data!$B$63</c:f>
              <c:strCache>
                <c:ptCount val="1"/>
                <c:pt idx="0">
                  <c:v>Cyprus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data!$AD$63:$AG$63</c:f>
              <c:numCache>
                <c:formatCode>#,##0</c:formatCode>
                <c:ptCount val="4"/>
                <c:pt idx="0">
                  <c:v>1.05</c:v>
                </c:pt>
                <c:pt idx="1">
                  <c:v>0.12299999999999897</c:v>
                </c:pt>
                <c:pt idx="2">
                  <c:v>-2.599999999999909E-2</c:v>
                </c:pt>
                <c:pt idx="3">
                  <c:v>-3.6000000000001364E-2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375E-3C42-99ED-1A04B09FD198}"/>
            </c:ext>
          </c:extLst>
        </c:ser>
        <c:ser>
          <c:idx val="53"/>
          <c:order val="53"/>
          <c:tx>
            <c:strRef>
              <c:f>data!$B$64</c:f>
              <c:strCache>
                <c:ptCount val="1"/>
                <c:pt idx="0">
                  <c:v>Micronesia (Federated States of)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data!$AD$64:$AG$64</c:f>
              <c:numCache>
                <c:formatCode>#,##0</c:formatCode>
                <c:ptCount val="4"/>
                <c:pt idx="0">
                  <c:v>2.8000000000000115E-2</c:v>
                </c:pt>
                <c:pt idx="1">
                  <c:v>2.6999999999999601E-2</c:v>
                </c:pt>
                <c:pt idx="2">
                  <c:v>2.8000000000000115E-2</c:v>
                </c:pt>
                <c:pt idx="3">
                  <c:v>3.0000000000001137E-2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375E-3C42-99ED-1A04B09FD198}"/>
            </c:ext>
          </c:extLst>
        </c:ser>
        <c:ser>
          <c:idx val="54"/>
          <c:order val="54"/>
          <c:tx>
            <c:strRef>
              <c:f>data!$B$65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data!$AD$65:$AG$65</c:f>
              <c:numCache>
                <c:formatCode>#,##0</c:formatCode>
                <c:ptCount val="4"/>
                <c:pt idx="0">
                  <c:v>9.0000000000000566E-2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375E-3C42-99ED-1A04B09FD198}"/>
            </c:ext>
          </c:extLst>
        </c:ser>
        <c:ser>
          <c:idx val="55"/>
          <c:order val="55"/>
          <c:tx>
            <c:strRef>
              <c:f>data!$B$66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data!$AD$66:$AG$66</c:f>
              <c:numCache>
                <c:formatCode>#,##0</c:formatCode>
                <c:ptCount val="4"/>
                <c:pt idx="0">
                  <c:v>0.21800000000000014</c:v>
                </c:pt>
                <c:pt idx="1">
                  <c:v>7.299999999999969E-2</c:v>
                </c:pt>
                <c:pt idx="2">
                  <c:v>-0.25399999999999989</c:v>
                </c:pt>
                <c:pt idx="3">
                  <c:v>-0.17999999999999972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375E-3C42-99ED-1A04B09FD198}"/>
            </c:ext>
          </c:extLst>
        </c:ser>
        <c:ser>
          <c:idx val="56"/>
          <c:order val="56"/>
          <c:tx>
            <c:strRef>
              <c:f>data!$B$67</c:f>
              <c:strCache>
                <c:ptCount val="1"/>
                <c:pt idx="0">
                  <c:v>Iran (Islamic Republic of)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data!$AD$67:$AG$67</c:f>
              <c:numCache>
                <c:formatCode>#,##0</c:formatCode>
                <c:ptCount val="4"/>
                <c:pt idx="0">
                  <c:v>24.960000000000036</c:v>
                </c:pt>
                <c:pt idx="1">
                  <c:v>136.63199999999998</c:v>
                </c:pt>
                <c:pt idx="2">
                  <c:v>0</c:v>
                </c:pt>
                <c:pt idx="3">
                  <c:v>11.978000000000247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375E-3C42-99ED-1A04B09FD198}"/>
            </c:ext>
          </c:extLst>
        </c:ser>
        <c:ser>
          <c:idx val="57"/>
          <c:order val="57"/>
          <c:tx>
            <c:strRef>
              <c:f>data!$B$68</c:f>
              <c:strCache>
                <c:ptCount val="1"/>
                <c:pt idx="0">
                  <c:v>United Arab Emirates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data!$AD$68:$AG$68</c:f>
              <c:numCache>
                <c:formatCode>#,##0</c:formatCode>
                <c:ptCount val="4"/>
                <c:pt idx="0">
                  <c:v>6.4430000000000005</c:v>
                </c:pt>
                <c:pt idx="1">
                  <c:v>0.78700000000000048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375E-3C42-99ED-1A04B09FD198}"/>
            </c:ext>
          </c:extLst>
        </c:ser>
        <c:ser>
          <c:idx val="58"/>
          <c:order val="58"/>
          <c:tx>
            <c:strRef>
              <c:f>data!$B$69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data!$AD$69:$AG$69</c:f>
              <c:numCache>
                <c:formatCode>#,##0</c:formatCode>
                <c:ptCount val="4"/>
                <c:pt idx="0">
                  <c:v>0.82999999999997276</c:v>
                </c:pt>
                <c:pt idx="1">
                  <c:v>6.1800000000000184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375E-3C42-99ED-1A04B09FD198}"/>
            </c:ext>
          </c:extLst>
        </c:ser>
        <c:ser>
          <c:idx val="59"/>
          <c:order val="59"/>
          <c:tx>
            <c:strRef>
              <c:f>data!$B$70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data!$AD$70:$AG$70</c:f>
              <c:numCache>
                <c:formatCode>#,##0</c:formatCode>
                <c:ptCount val="4"/>
                <c:pt idx="0">
                  <c:v>-36.299999999999997</c:v>
                </c:pt>
                <c:pt idx="1">
                  <c:v>107.5</c:v>
                </c:pt>
                <c:pt idx="2">
                  <c:v>-2.4</c:v>
                </c:pt>
                <c:pt idx="3">
                  <c:v>-37.6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375E-3C42-99ED-1A04B09FD198}"/>
            </c:ext>
          </c:extLst>
        </c:ser>
        <c:ser>
          <c:idx val="60"/>
          <c:order val="60"/>
          <c:tx>
            <c:strRef>
              <c:f>data!$B$71</c:f>
              <c:strCache>
                <c:ptCount val="1"/>
                <c:pt idx="0">
                  <c:v>Kyrgyzstan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data!$AD$71:$AG$71</c:f>
              <c:numCache>
                <c:formatCode>#,##0</c:formatCode>
                <c:ptCount val="4"/>
                <c:pt idx="0">
                  <c:v>4.4480000000000022</c:v>
                </c:pt>
                <c:pt idx="1">
                  <c:v>4.8779999999999974</c:v>
                </c:pt>
                <c:pt idx="2">
                  <c:v>4.4259999999999762</c:v>
                </c:pt>
                <c:pt idx="3">
                  <c:v>12.714000000000032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375E-3C42-99ED-1A04B09FD198}"/>
            </c:ext>
          </c:extLst>
        </c:ser>
        <c:ser>
          <c:idx val="61"/>
          <c:order val="61"/>
          <c:tx>
            <c:strRef>
              <c:f>data!$B$72</c:f>
              <c:strCache>
                <c:ptCount val="1"/>
                <c:pt idx="0">
                  <c:v>Syrian Arab Republic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data!$AD$72:$AG$72</c:f>
              <c:numCache>
                <c:formatCode>#,##0</c:formatCode>
                <c:ptCount val="4"/>
                <c:pt idx="0">
                  <c:v>6</c:v>
                </c:pt>
                <c:pt idx="1">
                  <c:v>6</c:v>
                </c:pt>
                <c:pt idx="2">
                  <c:v>6.0000000000000115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375E-3C42-99ED-1A04B09FD198}"/>
            </c:ext>
          </c:extLst>
        </c:ser>
        <c:ser>
          <c:idx val="62"/>
          <c:order val="62"/>
          <c:tx>
            <c:strRef>
              <c:f>data!$B$73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data!$AD$73:$AG$73</c:f>
              <c:numCache>
                <c:formatCode>#,##0</c:formatCode>
                <c:ptCount val="4"/>
                <c:pt idx="0">
                  <c:v>108.6</c:v>
                </c:pt>
                <c:pt idx="1">
                  <c:v>518.4</c:v>
                </c:pt>
                <c:pt idx="2">
                  <c:v>275</c:v>
                </c:pt>
                <c:pt idx="3">
                  <c:v>-60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375E-3C42-99ED-1A04B09FD198}"/>
            </c:ext>
          </c:extLst>
        </c:ser>
        <c:ser>
          <c:idx val="63"/>
          <c:order val="63"/>
          <c:tx>
            <c:strRef>
              <c:f>data!$B$74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data!$AD$74:$AG$74</c:f>
              <c:numCache>
                <c:formatCode>#,##0</c:formatCode>
                <c:ptCount val="4"/>
                <c:pt idx="0">
                  <c:v>23.6</c:v>
                </c:pt>
                <c:pt idx="1">
                  <c:v>3.8</c:v>
                </c:pt>
                <c:pt idx="2">
                  <c:v>21.8</c:v>
                </c:pt>
                <c:pt idx="3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375E-3C42-99ED-1A04B09FD198}"/>
            </c:ext>
          </c:extLst>
        </c:ser>
        <c:ser>
          <c:idx val="64"/>
          <c:order val="64"/>
          <c:tx>
            <c:strRef>
              <c:f>data!$B$75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data!$AD$75:$AG$75</c:f>
              <c:numCache>
                <c:formatCode>#,##0</c:formatCode>
                <c:ptCount val="4"/>
                <c:pt idx="0">
                  <c:v>1.4170000000000016</c:v>
                </c:pt>
                <c:pt idx="1">
                  <c:v>1.3980000000000019</c:v>
                </c:pt>
                <c:pt idx="2">
                  <c:v>-1.7300000000000069</c:v>
                </c:pt>
                <c:pt idx="3">
                  <c:v>0.93400000000000316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375E-3C42-99ED-1A04B09FD198}"/>
            </c:ext>
          </c:extLst>
        </c:ser>
        <c:ser>
          <c:idx val="65"/>
          <c:order val="65"/>
          <c:tx>
            <c:strRef>
              <c:f>data!$B$76</c:f>
              <c:strCache>
                <c:ptCount val="1"/>
                <c:pt idx="0">
                  <c:v>Bahrain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data!$AD$76:$AG$76</c:f>
              <c:numCache>
                <c:formatCode>#,##0</c:formatCode>
                <c:ptCount val="4"/>
                <c:pt idx="0">
                  <c:v>1.4999999999999999E-2</c:v>
                </c:pt>
                <c:pt idx="1">
                  <c:v>1.5000000000000003E-2</c:v>
                </c:pt>
                <c:pt idx="2">
                  <c:v>1.5999999999999993E-2</c:v>
                </c:pt>
                <c:pt idx="3">
                  <c:v>1.9999999999999997E-2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375E-3C42-99ED-1A04B09FD198}"/>
            </c:ext>
          </c:extLst>
        </c:ser>
        <c:ser>
          <c:idx val="66"/>
          <c:order val="66"/>
          <c:tx>
            <c:strRef>
              <c:f>data!$B$77</c:f>
              <c:strCache>
                <c:ptCount val="1"/>
                <c:pt idx="0">
                  <c:v>Czechia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data!$AD$77:$AG$77</c:f>
              <c:numCache>
                <c:formatCode>#,##0</c:formatCode>
                <c:ptCount val="4"/>
                <c:pt idx="0">
                  <c:v>0.78699999999998904</c:v>
                </c:pt>
                <c:pt idx="1">
                  <c:v>2.0090000000000146</c:v>
                </c:pt>
                <c:pt idx="2">
                  <c:v>2.2019999999999529</c:v>
                </c:pt>
                <c:pt idx="3">
                  <c:v>1.7400000000000546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375E-3C42-99ED-1A04B09FD198}"/>
            </c:ext>
          </c:extLst>
        </c:ser>
        <c:ser>
          <c:idx val="67"/>
          <c:order val="67"/>
          <c:tx>
            <c:strRef>
              <c:f>data!$B$78</c:f>
              <c:strCache>
                <c:ptCount val="1"/>
                <c:pt idx="0">
                  <c:v>Morocco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data!$AD$78:$AG$78</c:f>
              <c:numCache>
                <c:formatCode>#,##0</c:formatCode>
                <c:ptCount val="4"/>
                <c:pt idx="0">
                  <c:v>2.125</c:v>
                </c:pt>
                <c:pt idx="1">
                  <c:v>16.802999999999976</c:v>
                </c:pt>
                <c:pt idx="2">
                  <c:v>2.0239999999999783</c:v>
                </c:pt>
                <c:pt idx="3">
                  <c:v>11.560000000000036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375E-3C42-99ED-1A04B09FD198}"/>
            </c:ext>
          </c:extLst>
        </c:ser>
        <c:ser>
          <c:idx val="68"/>
          <c:order val="68"/>
          <c:tx>
            <c:strRef>
              <c:f>data!$B$79</c:f>
              <c:strCache>
                <c:ptCount val="1"/>
                <c:pt idx="0">
                  <c:v>Slovakia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data!$AD$79:$AG$79</c:f>
              <c:numCache>
                <c:formatCode>#,##0</c:formatCode>
                <c:ptCount val="4"/>
                <c:pt idx="0">
                  <c:v>-0.10699999999999363</c:v>
                </c:pt>
                <c:pt idx="1">
                  <c:v>1.65</c:v>
                </c:pt>
                <c:pt idx="2">
                  <c:v>0.76799999999998358</c:v>
                </c:pt>
                <c:pt idx="3">
                  <c:v>0.83000000000001817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375E-3C42-99ED-1A04B09FD198}"/>
            </c:ext>
          </c:extLst>
        </c:ser>
        <c:ser>
          <c:idx val="69"/>
          <c:order val="69"/>
          <c:tx>
            <c:strRef>
              <c:f>data!$B$80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data!$AD$80:$AG$80</c:f>
              <c:numCache>
                <c:formatCode>#,##0</c:formatCode>
                <c:ptCount val="4"/>
                <c:pt idx="0">
                  <c:v>-1.0100000000000022</c:v>
                </c:pt>
                <c:pt idx="1">
                  <c:v>2.257000000000005</c:v>
                </c:pt>
                <c:pt idx="2">
                  <c:v>-0.11400000000001001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375E-3C42-99ED-1A04B09FD198}"/>
            </c:ext>
          </c:extLst>
        </c:ser>
        <c:ser>
          <c:idx val="70"/>
          <c:order val="70"/>
          <c:tx>
            <c:strRef>
              <c:f>data!$B$81</c:f>
              <c:strCache>
                <c:ptCount val="1"/>
                <c:pt idx="0">
                  <c:v>Russian Federation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data!$AD$81:$AG$81</c:f>
              <c:numCache>
                <c:formatCode>#,##0</c:formatCode>
                <c:ptCount val="4"/>
                <c:pt idx="0">
                  <c:v>31.859999999997672</c:v>
                </c:pt>
                <c:pt idx="1">
                  <c:v>586.70999999999765</c:v>
                </c:pt>
                <c:pt idx="2">
                  <c:v>-41.028000000002791</c:v>
                </c:pt>
                <c:pt idx="3">
                  <c:v>76.228000000002794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375E-3C42-99ED-1A04B09FD198}"/>
            </c:ext>
          </c:extLst>
        </c:ser>
        <c:ser>
          <c:idx val="71"/>
          <c:order val="71"/>
          <c:tx>
            <c:strRef>
              <c:f>data!$B$82</c:f>
              <c:strCache>
                <c:ptCount val="1"/>
                <c:pt idx="0">
                  <c:v>Tunisia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data!$AD$82:$AG$82</c:f>
              <c:numCache>
                <c:formatCode>#,##0</c:formatCode>
                <c:ptCount val="4"/>
                <c:pt idx="0">
                  <c:v>2.3870000000000005</c:v>
                </c:pt>
                <c:pt idx="1">
                  <c:v>1.9579999999999926</c:v>
                </c:pt>
                <c:pt idx="2">
                  <c:v>1.5300000000000182</c:v>
                </c:pt>
                <c:pt idx="3">
                  <c:v>1.5299999999999954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375E-3C42-99ED-1A04B09FD198}"/>
            </c:ext>
          </c:extLst>
        </c:ser>
        <c:ser>
          <c:idx val="72"/>
          <c:order val="72"/>
          <c:tx>
            <c:strRef>
              <c:f>data!$B$83</c:f>
              <c:strCache>
                <c:ptCount val="1"/>
                <c:pt idx="0">
                  <c:v>New Caledonia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data!$AD$83:$AG$83</c:f>
              <c:numCache>
                <c:formatCode>#,##0</c:formatCode>
                <c:ptCount val="4"/>
                <c:pt idx="0">
                  <c:v>0.67200000000000271</c:v>
                </c:pt>
                <c:pt idx="1">
                  <c:v>0.11699999999999591</c:v>
                </c:pt>
                <c:pt idx="2">
                  <c:v>-0.1</c:v>
                </c:pt>
                <c:pt idx="3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375E-3C42-99ED-1A04B09FD198}"/>
            </c:ext>
          </c:extLst>
        </c:ser>
        <c:ser>
          <c:idx val="73"/>
          <c:order val="73"/>
          <c:tx>
            <c:strRef>
              <c:f>data!$B$84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data!$AD$84:$AG$84</c:f>
              <c:numCache>
                <c:formatCode>#,##0</c:formatCode>
                <c:ptCount val="4"/>
                <c:pt idx="0">
                  <c:v>2.1</c:v>
                </c:pt>
                <c:pt idx="1">
                  <c:v>0.1</c:v>
                </c:pt>
                <c:pt idx="2">
                  <c:v>2.2000000000000002</c:v>
                </c:pt>
                <c:pt idx="3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375E-3C42-99ED-1A04B09FD198}"/>
            </c:ext>
          </c:extLst>
        </c:ser>
        <c:ser>
          <c:idx val="74"/>
          <c:order val="74"/>
          <c:tx>
            <c:strRef>
              <c:f>data!$B$85</c:f>
              <c:strCache>
                <c:ptCount val="1"/>
                <c:pt idx="0">
                  <c:v>Lebanon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data!$AD$85:$AG$85</c:f>
              <c:numCache>
                <c:formatCode>#,##0</c:formatCode>
                <c:ptCount val="4"/>
                <c:pt idx="0">
                  <c:v>-0.15199999999999819</c:v>
                </c:pt>
                <c:pt idx="1">
                  <c:v>-8.3000000000001253E-2</c:v>
                </c:pt>
                <c:pt idx="2">
                  <c:v>0.59600000000000364</c:v>
                </c:pt>
                <c:pt idx="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375E-3C42-99ED-1A04B09FD198}"/>
            </c:ext>
          </c:extLst>
        </c:ser>
        <c:ser>
          <c:idx val="75"/>
          <c:order val="75"/>
          <c:tx>
            <c:strRef>
              <c:f>data!$B$86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data!$AD$86:$AG$86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2.2000000000000009E-2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375E-3C42-99ED-1A04B09FD198}"/>
            </c:ext>
          </c:extLst>
        </c:ser>
        <c:ser>
          <c:idx val="76"/>
          <c:order val="76"/>
          <c:tx>
            <c:strRef>
              <c:f>data!$B$87</c:f>
              <c:strCache>
                <c:ptCount val="1"/>
                <c:pt idx="0">
                  <c:v>Iceland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data!$AD$87:$AG$87</c:f>
              <c:numCache>
                <c:formatCode>#,##0</c:formatCode>
                <c:ptCount val="4"/>
                <c:pt idx="0">
                  <c:v>1.2759999999999998</c:v>
                </c:pt>
                <c:pt idx="1">
                  <c:v>1.4840000000000004</c:v>
                </c:pt>
                <c:pt idx="2">
                  <c:v>0.69799999999999895</c:v>
                </c:pt>
                <c:pt idx="3">
                  <c:v>0.63800000000000101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375E-3C42-99ED-1A04B09FD198}"/>
            </c:ext>
          </c:extLst>
        </c:ser>
        <c:ser>
          <c:idx val="77"/>
          <c:order val="77"/>
          <c:tx>
            <c:strRef>
              <c:f>data!$B$88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data!$AD$88:$AG$88</c:f>
              <c:numCache>
                <c:formatCode>#,##0</c:formatCode>
                <c:ptCount val="4"/>
                <c:pt idx="0">
                  <c:v>5.4</c:v>
                </c:pt>
                <c:pt idx="1">
                  <c:v>5.5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375E-3C42-99ED-1A04B09FD198}"/>
            </c:ext>
          </c:extLst>
        </c:ser>
        <c:ser>
          <c:idx val="78"/>
          <c:order val="78"/>
          <c:tx>
            <c:strRef>
              <c:f>data!$B$89</c:f>
              <c:strCache>
                <c:ptCount val="1"/>
                <c:pt idx="0">
                  <c:v>Wallis and Futuna Islands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data!$AD$89:$AG$89</c:f>
              <c:numCache>
                <c:formatCode>#,##0</c:formatCode>
                <c:ptCount val="4"/>
                <c:pt idx="0">
                  <c:v>9.9999999999997877E-4</c:v>
                </c:pt>
                <c:pt idx="1">
                  <c:v>1.0000000000000675E-3</c:v>
                </c:pt>
                <c:pt idx="2">
                  <c:v>1.9999999999999575E-3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375E-3C42-99ED-1A04B09FD198}"/>
            </c:ext>
          </c:extLst>
        </c:ser>
        <c:ser>
          <c:idx val="79"/>
          <c:order val="79"/>
          <c:tx>
            <c:strRef>
              <c:f>data!$B$90</c:f>
              <c:strCache>
                <c:ptCount val="1"/>
                <c:pt idx="0">
                  <c:v>State of Palestine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data!$AD$90:$AG$90</c:f>
              <c:numCache>
                <c:formatCode>#,##0</c:formatCode>
                <c:ptCount val="4"/>
                <c:pt idx="0">
                  <c:v>0</c:v>
                </c:pt>
                <c:pt idx="1">
                  <c:v>8.6999999999999925E-2</c:v>
                </c:pt>
                <c:pt idx="2">
                  <c:v>3.8000000000000256E-2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375E-3C42-99ED-1A04B09FD198}"/>
            </c:ext>
          </c:extLst>
        </c:ser>
        <c:ser>
          <c:idx val="80"/>
          <c:order val="80"/>
          <c:tx>
            <c:strRef>
              <c:f>data!$B$91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data!$AD$91:$AG$91</c:f>
              <c:numCache>
                <c:formatCode>#,##0</c:formatCode>
                <c:ptCount val="4"/>
                <c:pt idx="0">
                  <c:v>-1.9</c:v>
                </c:pt>
                <c:pt idx="1">
                  <c:v>-1.1000000000000001</c:v>
                </c:pt>
                <c:pt idx="2">
                  <c:v>7.8</c:v>
                </c:pt>
                <c:pt idx="3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375E-3C42-99ED-1A04B09FD198}"/>
            </c:ext>
          </c:extLst>
        </c:ser>
        <c:ser>
          <c:idx val="81"/>
          <c:order val="81"/>
          <c:tx>
            <c:strRef>
              <c:f>data!$B$92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data!$AD$92:$AG$92</c:f>
              <c:numCache>
                <c:formatCode>#,##0</c:formatCode>
                <c:ptCount val="4"/>
                <c:pt idx="0">
                  <c:v>0.13999999999999996</c:v>
                </c:pt>
                <c:pt idx="1">
                  <c:v>0.14000000000000004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375E-3C42-99ED-1A04B09FD198}"/>
            </c:ext>
          </c:extLst>
        </c:ser>
        <c:ser>
          <c:idx val="82"/>
          <c:order val="82"/>
          <c:tx>
            <c:strRef>
              <c:f>data!$B$93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data!$AD$93:$AG$93</c:f>
              <c:numCache>
                <c:formatCode>#,##0</c:formatCode>
                <c:ptCount val="4"/>
                <c:pt idx="0">
                  <c:v>-8.2540000000000013</c:v>
                </c:pt>
                <c:pt idx="1">
                  <c:v>0</c:v>
                </c:pt>
                <c:pt idx="2">
                  <c:v>17.139999999999997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375E-3C42-99ED-1A04B09FD198}"/>
            </c:ext>
          </c:extLst>
        </c:ser>
        <c:ser>
          <c:idx val="83"/>
          <c:order val="83"/>
          <c:tx>
            <c:strRef>
              <c:f>data!$B$94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data!$AD$94:$AG$94</c:f>
              <c:numCache>
                <c:formatCode>#,##0</c:formatCode>
                <c:ptCount val="4"/>
                <c:pt idx="0">
                  <c:v>-8.8000000000000007</c:v>
                </c:pt>
                <c:pt idx="1">
                  <c:v>33.9</c:v>
                </c:pt>
                <c:pt idx="2">
                  <c:v>7.6</c:v>
                </c:pt>
                <c:pt idx="3">
                  <c:v>-1.4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375E-3C42-99ED-1A04B09FD198}"/>
            </c:ext>
          </c:extLst>
        </c:ser>
        <c:ser>
          <c:idx val="84"/>
          <c:order val="84"/>
          <c:tx>
            <c:strRef>
              <c:f>data!$B$95</c:f>
              <c:strCache>
                <c:ptCount val="1"/>
                <c:pt idx="0">
                  <c:v>Tajikistan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data!$AD$95:$AG$95</c:f>
              <c:numCache>
                <c:formatCode>#,##0</c:formatCode>
                <c:ptCount val="4"/>
                <c:pt idx="0">
                  <c:v>0.2</c:v>
                </c:pt>
                <c:pt idx="1">
                  <c:v>0</c:v>
                </c:pt>
                <c:pt idx="2">
                  <c:v>2.3600000000000021</c:v>
                </c:pt>
                <c:pt idx="3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375E-3C42-99ED-1A04B09FD198}"/>
            </c:ext>
          </c:extLst>
        </c:ser>
        <c:ser>
          <c:idx val="85"/>
          <c:order val="85"/>
          <c:tx>
            <c:strRef>
              <c:f>data!$B$96</c:f>
              <c:strCache>
                <c:ptCount val="1"/>
                <c:pt idx="0">
                  <c:v>Kazakhstan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data!$AD$96:$AG$96</c:f>
              <c:numCache>
                <c:formatCode>#,##0</c:formatCode>
                <c:ptCount val="4"/>
                <c:pt idx="0">
                  <c:v>-0.53099999999999459</c:v>
                </c:pt>
                <c:pt idx="1">
                  <c:v>-7.4749999999999996</c:v>
                </c:pt>
                <c:pt idx="2">
                  <c:v>45.256000000000043</c:v>
                </c:pt>
                <c:pt idx="3">
                  <c:v>29.243999999999961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375E-3C42-99ED-1A04B09FD198}"/>
            </c:ext>
          </c:extLst>
        </c:ser>
        <c:ser>
          <c:idx val="86"/>
          <c:order val="86"/>
          <c:tx>
            <c:strRef>
              <c:f>data!$B$97</c:f>
              <c:strCache>
                <c:ptCount val="1"/>
                <c:pt idx="0">
                  <c:v>Iraq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data!$AD$97:$AG$97</c:f>
              <c:numCache>
                <c:formatCode>#,##0</c:formatCode>
                <c:ptCount val="4"/>
                <c:pt idx="0">
                  <c:v>1.4</c:v>
                </c:pt>
                <c:pt idx="1">
                  <c:v>0.7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375E-3C42-99ED-1A04B09FD198}"/>
            </c:ext>
          </c:extLst>
        </c:ser>
        <c:ser>
          <c:idx val="87"/>
          <c:order val="87"/>
          <c:tx>
            <c:strRef>
              <c:f>data!$B$98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data!$AD$98:$AG$98</c:f>
              <c:numCache>
                <c:formatCode>#,##0</c:formatCode>
                <c:ptCount val="4"/>
                <c:pt idx="0">
                  <c:v>-206.81000000000057</c:v>
                </c:pt>
                <c:pt idx="1">
                  <c:v>-226.8</c:v>
                </c:pt>
                <c:pt idx="2">
                  <c:v>709.67999999999881</c:v>
                </c:pt>
                <c:pt idx="3">
                  <c:v>182.12000000000117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375E-3C42-99ED-1A04B09FD198}"/>
            </c:ext>
          </c:extLst>
        </c:ser>
        <c:ser>
          <c:idx val="88"/>
          <c:order val="88"/>
          <c:tx>
            <c:strRef>
              <c:f>data!$B$99</c:f>
              <c:strCache>
                <c:ptCount val="1"/>
                <c:pt idx="0">
                  <c:v>Djibouti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data!$AD$99:$AG$99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4.0000000000000036E-2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375E-3C42-99ED-1A04B09FD198}"/>
            </c:ext>
          </c:extLst>
        </c:ser>
        <c:ser>
          <c:idx val="89"/>
          <c:order val="89"/>
          <c:tx>
            <c:strRef>
              <c:f>data!$B$100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data!$AD$100:$AG$100</c:f>
              <c:numCache>
                <c:formatCode>#,##0</c:formatCode>
                <c:ptCount val="4"/>
                <c:pt idx="0">
                  <c:v>-1.95</c:v>
                </c:pt>
                <c:pt idx="1">
                  <c:v>1.2770000000000095</c:v>
                </c:pt>
                <c:pt idx="2">
                  <c:v>1.4240000000000008</c:v>
                </c:pt>
                <c:pt idx="3">
                  <c:v>-5.8000000000015463E-2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375E-3C42-99ED-1A04B09FD198}"/>
            </c:ext>
          </c:extLst>
        </c:ser>
        <c:ser>
          <c:idx val="90"/>
          <c:order val="90"/>
          <c:tx>
            <c:strRef>
              <c:f>data!$B$101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data!$AD$101:$AG$101</c:f>
              <c:numCache>
                <c:formatCode>#,##0</c:formatCode>
                <c:ptCount val="4"/>
                <c:pt idx="0">
                  <c:v>1.5399999999999998</c:v>
                </c:pt>
                <c:pt idx="1">
                  <c:v>0.64300000000000002</c:v>
                </c:pt>
                <c:pt idx="2">
                  <c:v>-3.444</c:v>
                </c:pt>
                <c:pt idx="3">
                  <c:v>-0.68800000000000094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375E-3C42-99ED-1A04B09FD198}"/>
            </c:ext>
          </c:extLst>
        </c:ser>
        <c:ser>
          <c:idx val="91"/>
          <c:order val="91"/>
          <c:tx>
            <c:strRef>
              <c:f>data!$B$102</c:f>
              <c:strCache>
                <c:ptCount val="1"/>
                <c:pt idx="0">
                  <c:v>Saint Kitts and Nevis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data!$AD$102:$AG$102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375E-3C42-99ED-1A04B09FD198}"/>
            </c:ext>
          </c:extLst>
        </c:ser>
        <c:ser>
          <c:idx val="92"/>
          <c:order val="92"/>
          <c:tx>
            <c:strRef>
              <c:f>data!$B$103</c:f>
              <c:strCache>
                <c:ptCount val="1"/>
                <c:pt idx="0">
                  <c:v>Vanuatu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data!$AD$103:$AG$103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375E-3C42-99ED-1A04B09FD198}"/>
            </c:ext>
          </c:extLst>
        </c:ser>
        <c:ser>
          <c:idx val="93"/>
          <c:order val="93"/>
          <c:tx>
            <c:strRef>
              <c:f>data!$B$104</c:f>
              <c:strCache>
                <c:ptCount val="1"/>
                <c:pt idx="0">
                  <c:v>Andorra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data!$AD$104:$AG$104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375E-3C42-99ED-1A04B09FD198}"/>
            </c:ext>
          </c:extLst>
        </c:ser>
        <c:ser>
          <c:idx val="94"/>
          <c:order val="94"/>
          <c:tx>
            <c:strRef>
              <c:f>data!$B$105</c:f>
              <c:strCache>
                <c:ptCount val="1"/>
                <c:pt idx="0">
                  <c:v>Tuvalu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data!$AD$105:$AG$105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375E-3C42-99ED-1A04B09FD198}"/>
            </c:ext>
          </c:extLst>
        </c:ser>
        <c:ser>
          <c:idx val="95"/>
          <c:order val="95"/>
          <c:tx>
            <c:strRef>
              <c:f>data!$B$106</c:f>
              <c:strCache>
                <c:ptCount val="1"/>
                <c:pt idx="0">
                  <c:v>Saint Martin (French Part)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data!$AD$106:$AG$106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375E-3C42-99ED-1A04B09FD198}"/>
            </c:ext>
          </c:extLst>
        </c:ser>
        <c:ser>
          <c:idx val="96"/>
          <c:order val="96"/>
          <c:tx>
            <c:strRef>
              <c:f>data!$B$107</c:f>
              <c:strCache>
                <c:ptCount val="1"/>
                <c:pt idx="0">
                  <c:v>Bermuda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data!$AD$107:$AG$107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375E-3C42-99ED-1A04B09FD198}"/>
            </c:ext>
          </c:extLst>
        </c:ser>
        <c:ser>
          <c:idx val="97"/>
          <c:order val="97"/>
          <c:tx>
            <c:strRef>
              <c:f>data!$B$108</c:f>
              <c:strCache>
                <c:ptCount val="1"/>
                <c:pt idx="0">
                  <c:v>San Marino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data!$AD$108:$AG$108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375E-3C42-99ED-1A04B09FD198}"/>
            </c:ext>
          </c:extLst>
        </c:ser>
        <c:ser>
          <c:idx val="98"/>
          <c:order val="98"/>
          <c:tx>
            <c:strRef>
              <c:f>data!$B$109</c:f>
              <c:strCache>
                <c:ptCount val="1"/>
                <c:pt idx="0">
                  <c:v>Barbados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data!$AD$109:$AG$109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375E-3C42-99ED-1A04B09FD198}"/>
            </c:ext>
          </c:extLst>
        </c:ser>
        <c:ser>
          <c:idx val="99"/>
          <c:order val="99"/>
          <c:tx>
            <c:strRef>
              <c:f>data!$B$110</c:f>
              <c:strCache>
                <c:ptCount val="1"/>
                <c:pt idx="0">
                  <c:v>Tonga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data!$AD$110:$AG$110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375E-3C42-99ED-1A04B09FD198}"/>
            </c:ext>
          </c:extLst>
        </c:ser>
        <c:ser>
          <c:idx val="100"/>
          <c:order val="100"/>
          <c:tx>
            <c:strRef>
              <c:f>data!$B$111</c:f>
              <c:strCache>
                <c:ptCount val="1"/>
                <c:pt idx="0">
                  <c:v>Norfolk Island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data!$AD$111:$AG$111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375E-3C42-99ED-1A04B09FD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120816"/>
        <c:axId val="1664618784"/>
      </c:lineChart>
      <c:catAx>
        <c:axId val="166512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618784"/>
        <c:crosses val="autoZero"/>
        <c:auto val="1"/>
        <c:lblAlgn val="ctr"/>
        <c:lblOffset val="100"/>
        <c:noMultiLvlLbl val="0"/>
      </c:catAx>
      <c:valAx>
        <c:axId val="1664618784"/>
        <c:scaling>
          <c:orientation val="minMax"/>
          <c:max val="26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1000</a:t>
                </a:r>
                <a:r>
                  <a:rPr lang="en-GB" baseline="0"/>
                  <a:t> ha/year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20816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896630438298415"/>
          <c:y val="8.2380036653679559E-2"/>
          <c:w val="0.14592014458599092"/>
          <c:h val="0.8150859845895573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Biggest reforestation</a:t>
            </a:r>
            <a:r>
              <a:rPr lang="en-GB" baseline="0"/>
              <a:t> and deforestation nations on Earth</a:t>
            </a:r>
            <a:br>
              <a:rPr lang="en-GB" baseline="0"/>
            </a:br>
            <a:r>
              <a:rPr lang="en-GB" baseline="0"/>
              <a:t>(requires filtering upper and lower values of Column N Change in Forest Area 1990-2020)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3"/>
          <c:tx>
            <c:strRef>
              <c:f>data!$Z$10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data!$B$11:$B$224</c:f>
              <c:strCache>
                <c:ptCount val="214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</c:strCache>
            </c:strRef>
          </c:cat>
          <c:val>
            <c:numRef>
              <c:f>data!$Z$11:$Z$224</c:f>
              <c:numCache>
                <c:formatCode>#,##0</c:formatCode>
                <c:ptCount val="214"/>
                <c:pt idx="0">
                  <c:v>2.4300000000000068</c:v>
                </c:pt>
                <c:pt idx="1">
                  <c:v>673.80000000000109</c:v>
                </c:pt>
                <c:pt idx="2">
                  <c:v>0</c:v>
                </c:pt>
                <c:pt idx="3">
                  <c:v>252</c:v>
                </c:pt>
                <c:pt idx="4">
                  <c:v>30.5300000000002</c:v>
                </c:pt>
                <c:pt idx="5">
                  <c:v>33.379999999999882</c:v>
                </c:pt>
                <c:pt idx="6">
                  <c:v>5.8400000000001455</c:v>
                </c:pt>
                <c:pt idx="7">
                  <c:v>1.5</c:v>
                </c:pt>
                <c:pt idx="8">
                  <c:v>1</c:v>
                </c:pt>
                <c:pt idx="9">
                  <c:v>0.42999999999999972</c:v>
                </c:pt>
                <c:pt idx="10">
                  <c:v>188.70000000000005</c:v>
                </c:pt>
                <c:pt idx="11">
                  <c:v>19.009999999999991</c:v>
                </c:pt>
                <c:pt idx="12">
                  <c:v>269.03999999999905</c:v>
                </c:pt>
                <c:pt idx="13">
                  <c:v>9683.8699999999953</c:v>
                </c:pt>
                <c:pt idx="14">
                  <c:v>9.8899999999998727</c:v>
                </c:pt>
                <c:pt idx="15">
                  <c:v>84.990000000000236</c:v>
                </c:pt>
                <c:pt idx="16">
                  <c:v>96</c:v>
                </c:pt>
                <c:pt idx="17">
                  <c:v>417</c:v>
                </c:pt>
                <c:pt idx="18">
                  <c:v>3.5</c:v>
                </c:pt>
                <c:pt idx="19">
                  <c:v>6.5300000000002001</c:v>
                </c:pt>
                <c:pt idx="20">
                  <c:v>0</c:v>
                </c:pt>
                <c:pt idx="21">
                  <c:v>34.289999999999964</c:v>
                </c:pt>
                <c:pt idx="22">
                  <c:v>1</c:v>
                </c:pt>
                <c:pt idx="23">
                  <c:v>2.0500000000000114</c:v>
                </c:pt>
                <c:pt idx="24">
                  <c:v>17</c:v>
                </c:pt>
                <c:pt idx="25">
                  <c:v>870.82000000000335</c:v>
                </c:pt>
                <c:pt idx="26">
                  <c:v>19.320000000000164</c:v>
                </c:pt>
                <c:pt idx="27">
                  <c:v>33.970000000000027</c:v>
                </c:pt>
                <c:pt idx="28">
                  <c:v>547.21999999999753</c:v>
                </c:pt>
                <c:pt idx="29">
                  <c:v>17.190000000000055</c:v>
                </c:pt>
                <c:pt idx="30">
                  <c:v>0</c:v>
                </c:pt>
                <c:pt idx="31">
                  <c:v>1332</c:v>
                </c:pt>
                <c:pt idx="32">
                  <c:v>199.80000000000018</c:v>
                </c:pt>
                <c:pt idx="33">
                  <c:v>14.430000000000064</c:v>
                </c:pt>
                <c:pt idx="34">
                  <c:v>0</c:v>
                </c:pt>
                <c:pt idx="35">
                  <c:v>81.830000000000382</c:v>
                </c:pt>
                <c:pt idx="36">
                  <c:v>1</c:v>
                </c:pt>
                <c:pt idx="37">
                  <c:v>385.96000000000004</c:v>
                </c:pt>
                <c:pt idx="38">
                  <c:v>0</c:v>
                </c:pt>
                <c:pt idx="39">
                  <c:v>38.189999999999941</c:v>
                </c:pt>
                <c:pt idx="40">
                  <c:v>45.400000000000091</c:v>
                </c:pt>
                <c:pt idx="41">
                  <c:v>6.0699999999999932</c:v>
                </c:pt>
                <c:pt idx="42">
                  <c:v>0</c:v>
                </c:pt>
                <c:pt idx="43">
                  <c:v>-1.5100000000002183</c:v>
                </c:pt>
                <c:pt idx="44">
                  <c:v>91</c:v>
                </c:pt>
                <c:pt idx="45">
                  <c:v>11.899999999999977</c:v>
                </c:pt>
                <c:pt idx="46">
                  <c:v>167</c:v>
                </c:pt>
                <c:pt idx="47">
                  <c:v>96</c:v>
                </c:pt>
                <c:pt idx="48">
                  <c:v>2</c:v>
                </c:pt>
                <c:pt idx="49">
                  <c:v>17.990000000000236</c:v>
                </c:pt>
                <c:pt idx="50">
                  <c:v>0</c:v>
                </c:pt>
                <c:pt idx="51">
                  <c:v>0</c:v>
                </c:pt>
                <c:pt idx="52">
                  <c:v>-0.12999999999999545</c:v>
                </c:pt>
                <c:pt idx="53">
                  <c:v>0.14000000000000057</c:v>
                </c:pt>
                <c:pt idx="54">
                  <c:v>0</c:v>
                </c:pt>
                <c:pt idx="55">
                  <c:v>-1.2699999999999996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-12</c:v>
                </c:pt>
                <c:pt idx="60">
                  <c:v>22.129999999999882</c:v>
                </c:pt>
                <c:pt idx="61">
                  <c:v>30.000000000000057</c:v>
                </c:pt>
                <c:pt idx="62">
                  <c:v>1375</c:v>
                </c:pt>
                <c:pt idx="63">
                  <c:v>109</c:v>
                </c:pt>
                <c:pt idx="64">
                  <c:v>-8.6500000000000341</c:v>
                </c:pt>
                <c:pt idx="65">
                  <c:v>7.999999999999996E-2</c:v>
                </c:pt>
                <c:pt idx="66">
                  <c:v>11.009999999999764</c:v>
                </c:pt>
                <c:pt idx="67">
                  <c:v>10.119999999999891</c:v>
                </c:pt>
                <c:pt idx="68">
                  <c:v>3.8399999999999181</c:v>
                </c:pt>
                <c:pt idx="69">
                  <c:v>-0.57000000000005002</c:v>
                </c:pt>
                <c:pt idx="70">
                  <c:v>-205.14000000001397</c:v>
                </c:pt>
                <c:pt idx="71">
                  <c:v>7.6500000000000909</c:v>
                </c:pt>
                <c:pt idx="72">
                  <c:v>-0.5</c:v>
                </c:pt>
                <c:pt idx="73">
                  <c:v>11</c:v>
                </c:pt>
                <c:pt idx="74">
                  <c:v>2.9800000000000182</c:v>
                </c:pt>
                <c:pt idx="75">
                  <c:v>0</c:v>
                </c:pt>
                <c:pt idx="76">
                  <c:v>3.4899999999999949</c:v>
                </c:pt>
                <c:pt idx="77">
                  <c:v>10</c:v>
                </c:pt>
                <c:pt idx="78">
                  <c:v>9.9999999999997868E-3</c:v>
                </c:pt>
                <c:pt idx="79">
                  <c:v>0.19000000000000128</c:v>
                </c:pt>
                <c:pt idx="80">
                  <c:v>39</c:v>
                </c:pt>
                <c:pt idx="81">
                  <c:v>0</c:v>
                </c:pt>
                <c:pt idx="82">
                  <c:v>85.699999999999989</c:v>
                </c:pt>
                <c:pt idx="83">
                  <c:v>38</c:v>
                </c:pt>
                <c:pt idx="84">
                  <c:v>11.800000000000011</c:v>
                </c:pt>
                <c:pt idx="85">
                  <c:v>226.2800000000002</c:v>
                </c:pt>
                <c:pt idx="86">
                  <c:v>0</c:v>
                </c:pt>
                <c:pt idx="87">
                  <c:v>3548.3999999999942</c:v>
                </c:pt>
                <c:pt idx="88">
                  <c:v>0</c:v>
                </c:pt>
                <c:pt idx="89">
                  <c:v>7.1200000000000045</c:v>
                </c:pt>
                <c:pt idx="90">
                  <c:v>-17.22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-0.40999999999996817</c:v>
                </c:pt>
                <c:pt idx="138">
                  <c:v>0</c:v>
                </c:pt>
                <c:pt idx="139">
                  <c:v>-22</c:v>
                </c:pt>
                <c:pt idx="140">
                  <c:v>-5.569999999999709</c:v>
                </c:pt>
                <c:pt idx="141">
                  <c:v>-206.5</c:v>
                </c:pt>
                <c:pt idx="142">
                  <c:v>-27.199999999999989</c:v>
                </c:pt>
                <c:pt idx="143">
                  <c:v>-93</c:v>
                </c:pt>
                <c:pt idx="144">
                  <c:v>-1.0400000000000205</c:v>
                </c:pt>
                <c:pt idx="145">
                  <c:v>5.0000000000000711E-2</c:v>
                </c:pt>
                <c:pt idx="146">
                  <c:v>-4.9399999999998272</c:v>
                </c:pt>
                <c:pt idx="147">
                  <c:v>57.840000000000146</c:v>
                </c:pt>
                <c:pt idx="148">
                  <c:v>-93.930000000000291</c:v>
                </c:pt>
                <c:pt idx="149">
                  <c:v>-2.0000000000000018E-2</c:v>
                </c:pt>
                <c:pt idx="150">
                  <c:v>-62.100000000000136</c:v>
                </c:pt>
                <c:pt idx="151">
                  <c:v>0.67000000000000171</c:v>
                </c:pt>
                <c:pt idx="152">
                  <c:v>-3.6600000000003092</c:v>
                </c:pt>
                <c:pt idx="153">
                  <c:v>0</c:v>
                </c:pt>
                <c:pt idx="154">
                  <c:v>-59.409999999999854</c:v>
                </c:pt>
                <c:pt idx="155">
                  <c:v>-182</c:v>
                </c:pt>
                <c:pt idx="156">
                  <c:v>-15.799999999999955</c:v>
                </c:pt>
                <c:pt idx="157">
                  <c:v>-58.450000000000728</c:v>
                </c:pt>
                <c:pt idx="158">
                  <c:v>60</c:v>
                </c:pt>
                <c:pt idx="159">
                  <c:v>-60</c:v>
                </c:pt>
                <c:pt idx="160">
                  <c:v>-9.0000000000003411E-2</c:v>
                </c:pt>
                <c:pt idx="161">
                  <c:v>-48.190000000000509</c:v>
                </c:pt>
                <c:pt idx="162">
                  <c:v>-154.47000000000116</c:v>
                </c:pt>
                <c:pt idx="163">
                  <c:v>-15.529999999999973</c:v>
                </c:pt>
                <c:pt idx="164">
                  <c:v>-150</c:v>
                </c:pt>
                <c:pt idx="165">
                  <c:v>-16.5</c:v>
                </c:pt>
                <c:pt idx="166">
                  <c:v>-161.13000000000011</c:v>
                </c:pt>
                <c:pt idx="167">
                  <c:v>5</c:v>
                </c:pt>
                <c:pt idx="168">
                  <c:v>0</c:v>
                </c:pt>
                <c:pt idx="169">
                  <c:v>-640</c:v>
                </c:pt>
                <c:pt idx="170">
                  <c:v>-365</c:v>
                </c:pt>
                <c:pt idx="171">
                  <c:v>174.42999999999938</c:v>
                </c:pt>
                <c:pt idx="172">
                  <c:v>-66.090000000000146</c:v>
                </c:pt>
                <c:pt idx="173">
                  <c:v>-1117</c:v>
                </c:pt>
                <c:pt idx="174">
                  <c:v>-612.39999999999418</c:v>
                </c:pt>
                <c:pt idx="175">
                  <c:v>-355.03999999999996</c:v>
                </c:pt>
                <c:pt idx="176">
                  <c:v>-2.1200000000000045</c:v>
                </c:pt>
                <c:pt idx="177">
                  <c:v>-50</c:v>
                </c:pt>
                <c:pt idx="178">
                  <c:v>-871.23999999999796</c:v>
                </c:pt>
                <c:pt idx="179">
                  <c:v>-14.799999999999955</c:v>
                </c:pt>
                <c:pt idx="180">
                  <c:v>-7</c:v>
                </c:pt>
                <c:pt idx="181">
                  <c:v>-0.10999999999999988</c:v>
                </c:pt>
                <c:pt idx="182">
                  <c:v>-855.27000000000407</c:v>
                </c:pt>
                <c:pt idx="183">
                  <c:v>0</c:v>
                </c:pt>
                <c:pt idx="184">
                  <c:v>-940.90000000000146</c:v>
                </c:pt>
                <c:pt idx="185">
                  <c:v>-230.34999999999854</c:v>
                </c:pt>
                <c:pt idx="186">
                  <c:v>-383.75</c:v>
                </c:pt>
                <c:pt idx="187">
                  <c:v>25.200000000000273</c:v>
                </c:pt>
                <c:pt idx="188">
                  <c:v>-180</c:v>
                </c:pt>
                <c:pt idx="189">
                  <c:v>-0.33000000000000007</c:v>
                </c:pt>
                <c:pt idx="190">
                  <c:v>-280</c:v>
                </c:pt>
                <c:pt idx="191">
                  <c:v>516.56999999999971</c:v>
                </c:pt>
                <c:pt idx="192">
                  <c:v>-0.14999999999999858</c:v>
                </c:pt>
                <c:pt idx="193">
                  <c:v>-2.4200000000000159</c:v>
                </c:pt>
                <c:pt idx="194">
                  <c:v>-673.12999999999738</c:v>
                </c:pt>
                <c:pt idx="195">
                  <c:v>-57.079999999999927</c:v>
                </c:pt>
                <c:pt idx="196">
                  <c:v>-816.52999999999884</c:v>
                </c:pt>
                <c:pt idx="197">
                  <c:v>-172.5</c:v>
                </c:pt>
                <c:pt idx="198">
                  <c:v>-250.10000000000036</c:v>
                </c:pt>
                <c:pt idx="199">
                  <c:v>-111.64000000000033</c:v>
                </c:pt>
                <c:pt idx="200">
                  <c:v>-206.26000000000022</c:v>
                </c:pt>
                <c:pt idx="201">
                  <c:v>0</c:v>
                </c:pt>
                <c:pt idx="202">
                  <c:v>-591.5</c:v>
                </c:pt>
                <c:pt idx="203">
                  <c:v>-200</c:v>
                </c:pt>
                <c:pt idx="204">
                  <c:v>-1058.7900000000009</c:v>
                </c:pt>
                <c:pt idx="205">
                  <c:v>-22.5</c:v>
                </c:pt>
                <c:pt idx="206">
                  <c:v>-822</c:v>
                </c:pt>
                <c:pt idx="207">
                  <c:v>-3.1000000000000014</c:v>
                </c:pt>
                <c:pt idx="208">
                  <c:v>-2.1899999999999977</c:v>
                </c:pt>
                <c:pt idx="209">
                  <c:v>-106.15000000000055</c:v>
                </c:pt>
                <c:pt idx="210">
                  <c:v>-98.629999999999654</c:v>
                </c:pt>
                <c:pt idx="211">
                  <c:v>-1032.1399999999994</c:v>
                </c:pt>
                <c:pt idx="212">
                  <c:v>-62.490000000000691</c:v>
                </c:pt>
                <c:pt idx="213">
                  <c:v>-209.01000000000022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F6-024C-A827-B3E19EC30354}"/>
            </c:ext>
          </c:extLst>
        </c:ser>
        <c:ser>
          <c:idx val="3"/>
          <c:order val="4"/>
          <c:tx>
            <c:strRef>
              <c:f>data!$AA$10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data!$B$11:$B$224</c:f>
              <c:strCache>
                <c:ptCount val="214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</c:strCache>
            </c:strRef>
          </c:cat>
          <c:val>
            <c:numRef>
              <c:f>data!$AA$11:$AA$224</c:f>
              <c:numCache>
                <c:formatCode>#,##0</c:formatCode>
                <c:ptCount val="214"/>
                <c:pt idx="0">
                  <c:v>2.4499999999999886</c:v>
                </c:pt>
                <c:pt idx="1">
                  <c:v>581.22999999999956</c:v>
                </c:pt>
                <c:pt idx="2">
                  <c:v>0</c:v>
                </c:pt>
                <c:pt idx="3">
                  <c:v>58</c:v>
                </c:pt>
                <c:pt idx="4">
                  <c:v>40.449999999999818</c:v>
                </c:pt>
                <c:pt idx="5">
                  <c:v>33.400000000000091</c:v>
                </c:pt>
                <c:pt idx="6">
                  <c:v>20.989999999997963</c:v>
                </c:pt>
                <c:pt idx="7">
                  <c:v>1.5</c:v>
                </c:pt>
                <c:pt idx="8">
                  <c:v>3</c:v>
                </c:pt>
                <c:pt idx="9">
                  <c:v>0.4199999999999946</c:v>
                </c:pt>
                <c:pt idx="10">
                  <c:v>111</c:v>
                </c:pt>
                <c:pt idx="11">
                  <c:v>19.42999999999995</c:v>
                </c:pt>
                <c:pt idx="12">
                  <c:v>269.04999999999927</c:v>
                </c:pt>
                <c:pt idx="13">
                  <c:v>9683.929999999993</c:v>
                </c:pt>
                <c:pt idx="14">
                  <c:v>9.9000000000000909</c:v>
                </c:pt>
                <c:pt idx="15">
                  <c:v>17.389999999999873</c:v>
                </c:pt>
                <c:pt idx="16">
                  <c:v>60</c:v>
                </c:pt>
                <c:pt idx="17">
                  <c:v>417</c:v>
                </c:pt>
                <c:pt idx="18">
                  <c:v>134.10000000000036</c:v>
                </c:pt>
                <c:pt idx="19">
                  <c:v>3.1199999999998909</c:v>
                </c:pt>
                <c:pt idx="20">
                  <c:v>0</c:v>
                </c:pt>
                <c:pt idx="21">
                  <c:v>27.350000000000023</c:v>
                </c:pt>
                <c:pt idx="22">
                  <c:v>1</c:v>
                </c:pt>
                <c:pt idx="23">
                  <c:v>2.3999999999999915</c:v>
                </c:pt>
                <c:pt idx="24">
                  <c:v>14</c:v>
                </c:pt>
                <c:pt idx="25">
                  <c:v>614.61999999999898</c:v>
                </c:pt>
                <c:pt idx="26">
                  <c:v>19.349999999999909</c:v>
                </c:pt>
                <c:pt idx="27">
                  <c:v>7.0900000000000318</c:v>
                </c:pt>
                <c:pt idx="28">
                  <c:v>590.06000000000131</c:v>
                </c:pt>
                <c:pt idx="29">
                  <c:v>17.199999999999818</c:v>
                </c:pt>
                <c:pt idx="30">
                  <c:v>0</c:v>
                </c:pt>
                <c:pt idx="31">
                  <c:v>1332</c:v>
                </c:pt>
                <c:pt idx="32">
                  <c:v>140.25999999999976</c:v>
                </c:pt>
                <c:pt idx="33">
                  <c:v>-7.8099999999999454</c:v>
                </c:pt>
                <c:pt idx="34">
                  <c:v>0</c:v>
                </c:pt>
                <c:pt idx="35">
                  <c:v>81.839999999999691</c:v>
                </c:pt>
                <c:pt idx="36">
                  <c:v>-10.170000000000073</c:v>
                </c:pt>
                <c:pt idx="37">
                  <c:v>28.090000000000146</c:v>
                </c:pt>
                <c:pt idx="38">
                  <c:v>0</c:v>
                </c:pt>
                <c:pt idx="39">
                  <c:v>3.7600000000001046</c:v>
                </c:pt>
                <c:pt idx="40">
                  <c:v>53.879999999999882</c:v>
                </c:pt>
                <c:pt idx="41">
                  <c:v>6.0600000000000023</c:v>
                </c:pt>
                <c:pt idx="42">
                  <c:v>0</c:v>
                </c:pt>
                <c:pt idx="43">
                  <c:v>45.979999999999563</c:v>
                </c:pt>
                <c:pt idx="44">
                  <c:v>63</c:v>
                </c:pt>
                <c:pt idx="45">
                  <c:v>0.10000000000002274</c:v>
                </c:pt>
                <c:pt idx="46">
                  <c:v>0</c:v>
                </c:pt>
                <c:pt idx="47">
                  <c:v>35</c:v>
                </c:pt>
                <c:pt idx="48">
                  <c:v>17.1099999999999</c:v>
                </c:pt>
                <c:pt idx="49">
                  <c:v>17.960000000000036</c:v>
                </c:pt>
                <c:pt idx="50">
                  <c:v>0</c:v>
                </c:pt>
                <c:pt idx="51">
                  <c:v>0</c:v>
                </c:pt>
                <c:pt idx="52">
                  <c:v>-0.18000000000000682</c:v>
                </c:pt>
                <c:pt idx="53">
                  <c:v>0.15000000000000568</c:v>
                </c:pt>
                <c:pt idx="54">
                  <c:v>0</c:v>
                </c:pt>
                <c:pt idx="55">
                  <c:v>-0.89999999999999858</c:v>
                </c:pt>
                <c:pt idx="56">
                  <c:v>59.890000000001237</c:v>
                </c:pt>
                <c:pt idx="57">
                  <c:v>0</c:v>
                </c:pt>
                <c:pt idx="58">
                  <c:v>0</c:v>
                </c:pt>
                <c:pt idx="59">
                  <c:v>-188</c:v>
                </c:pt>
                <c:pt idx="60">
                  <c:v>63.570000000000164</c:v>
                </c:pt>
                <c:pt idx="61">
                  <c:v>0</c:v>
                </c:pt>
                <c:pt idx="62">
                  <c:v>-300</c:v>
                </c:pt>
                <c:pt idx="63">
                  <c:v>33</c:v>
                </c:pt>
                <c:pt idx="64">
                  <c:v>4.6700000000000159</c:v>
                </c:pt>
                <c:pt idx="65">
                  <c:v>9.9999999999999978E-2</c:v>
                </c:pt>
                <c:pt idx="66">
                  <c:v>8.7000000000002728</c:v>
                </c:pt>
                <c:pt idx="67">
                  <c:v>57.800000000000182</c:v>
                </c:pt>
                <c:pt idx="68">
                  <c:v>4.1500000000000909</c:v>
                </c:pt>
                <c:pt idx="69">
                  <c:v>0</c:v>
                </c:pt>
                <c:pt idx="70">
                  <c:v>381.14000000001397</c:v>
                </c:pt>
                <c:pt idx="71">
                  <c:v>7.6499999999999773</c:v>
                </c:pt>
                <c:pt idx="72">
                  <c:v>-0.5</c:v>
                </c:pt>
                <c:pt idx="73">
                  <c:v>-25</c:v>
                </c:pt>
                <c:pt idx="74">
                  <c:v>3</c:v>
                </c:pt>
                <c:pt idx="75">
                  <c:v>0.11000000000000004</c:v>
                </c:pt>
                <c:pt idx="76">
                  <c:v>3.1900000000000048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39</c:v>
                </c:pt>
                <c:pt idx="81">
                  <c:v>0</c:v>
                </c:pt>
                <c:pt idx="82">
                  <c:v>0</c:v>
                </c:pt>
                <c:pt idx="83">
                  <c:v>-7</c:v>
                </c:pt>
                <c:pt idx="84">
                  <c:v>2</c:v>
                </c:pt>
                <c:pt idx="85">
                  <c:v>146.2199999999998</c:v>
                </c:pt>
                <c:pt idx="86">
                  <c:v>0</c:v>
                </c:pt>
                <c:pt idx="87">
                  <c:v>910.60000000000582</c:v>
                </c:pt>
                <c:pt idx="88">
                  <c:v>0.20000000000000018</c:v>
                </c:pt>
                <c:pt idx="89">
                  <c:v>-0.29000000000007731</c:v>
                </c:pt>
                <c:pt idx="90">
                  <c:v>-3.4400000000000048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0.37000000000000455</c:v>
                </c:pt>
                <c:pt idx="138">
                  <c:v>-0.5</c:v>
                </c:pt>
                <c:pt idx="139">
                  <c:v>-9</c:v>
                </c:pt>
                <c:pt idx="140">
                  <c:v>-5.5499999999992724</c:v>
                </c:pt>
                <c:pt idx="141">
                  <c:v>-187.61000000004424</c:v>
                </c:pt>
                <c:pt idx="142">
                  <c:v>-27.240000000000009</c:v>
                </c:pt>
                <c:pt idx="143">
                  <c:v>0</c:v>
                </c:pt>
                <c:pt idx="144">
                  <c:v>-1.0499999999999545</c:v>
                </c:pt>
                <c:pt idx="145">
                  <c:v>5.0000000000000711E-2</c:v>
                </c:pt>
                <c:pt idx="146">
                  <c:v>0</c:v>
                </c:pt>
                <c:pt idx="147">
                  <c:v>27.409999999999854</c:v>
                </c:pt>
                <c:pt idx="148">
                  <c:v>88.680000000000291</c:v>
                </c:pt>
                <c:pt idx="149">
                  <c:v>0</c:v>
                </c:pt>
                <c:pt idx="150">
                  <c:v>-62.099999999999909</c:v>
                </c:pt>
                <c:pt idx="151">
                  <c:v>-0.29999999999999716</c:v>
                </c:pt>
                <c:pt idx="152">
                  <c:v>-3.6500000000000909</c:v>
                </c:pt>
                <c:pt idx="153">
                  <c:v>0</c:v>
                </c:pt>
                <c:pt idx="154">
                  <c:v>-59.400000000001455</c:v>
                </c:pt>
                <c:pt idx="155">
                  <c:v>-182</c:v>
                </c:pt>
                <c:pt idx="156">
                  <c:v>-15.799999999999955</c:v>
                </c:pt>
                <c:pt idx="157">
                  <c:v>-46.020000000000437</c:v>
                </c:pt>
                <c:pt idx="158">
                  <c:v>0</c:v>
                </c:pt>
                <c:pt idx="159">
                  <c:v>-69</c:v>
                </c:pt>
                <c:pt idx="160">
                  <c:v>0.47000000000000597</c:v>
                </c:pt>
                <c:pt idx="161">
                  <c:v>-55.3799999999992</c:v>
                </c:pt>
                <c:pt idx="162">
                  <c:v>-168.65999999999622</c:v>
                </c:pt>
                <c:pt idx="163">
                  <c:v>-15.550000000000011</c:v>
                </c:pt>
                <c:pt idx="164">
                  <c:v>-150</c:v>
                </c:pt>
                <c:pt idx="165">
                  <c:v>-17.149999999999636</c:v>
                </c:pt>
                <c:pt idx="166">
                  <c:v>-206.69999999999982</c:v>
                </c:pt>
                <c:pt idx="167">
                  <c:v>6</c:v>
                </c:pt>
                <c:pt idx="168">
                  <c:v>0</c:v>
                </c:pt>
                <c:pt idx="169">
                  <c:v>-577</c:v>
                </c:pt>
                <c:pt idx="170">
                  <c:v>-365</c:v>
                </c:pt>
                <c:pt idx="171">
                  <c:v>174.44000000000051</c:v>
                </c:pt>
                <c:pt idx="172">
                  <c:v>-66.079999999999927</c:v>
                </c:pt>
                <c:pt idx="173">
                  <c:v>-524</c:v>
                </c:pt>
                <c:pt idx="174">
                  <c:v>-638.83000000000175</c:v>
                </c:pt>
                <c:pt idx="175">
                  <c:v>-355.05000000000018</c:v>
                </c:pt>
                <c:pt idx="176">
                  <c:v>-2.0999999999999943</c:v>
                </c:pt>
                <c:pt idx="177">
                  <c:v>-50</c:v>
                </c:pt>
                <c:pt idx="178">
                  <c:v>-850.38000000000102</c:v>
                </c:pt>
                <c:pt idx="179">
                  <c:v>-14.799999999999955</c:v>
                </c:pt>
                <c:pt idx="180">
                  <c:v>-7</c:v>
                </c:pt>
                <c:pt idx="181">
                  <c:v>-0.1100000000000001</c:v>
                </c:pt>
                <c:pt idx="182">
                  <c:v>-864.16000000000349</c:v>
                </c:pt>
                <c:pt idx="183">
                  <c:v>0</c:v>
                </c:pt>
                <c:pt idx="184">
                  <c:v>-941.06999999999971</c:v>
                </c:pt>
                <c:pt idx="185">
                  <c:v>-230.34999999999854</c:v>
                </c:pt>
                <c:pt idx="186">
                  <c:v>-383.75</c:v>
                </c:pt>
                <c:pt idx="187">
                  <c:v>-15.800000000000182</c:v>
                </c:pt>
                <c:pt idx="188">
                  <c:v>-200</c:v>
                </c:pt>
                <c:pt idx="189">
                  <c:v>-0.33000000000000007</c:v>
                </c:pt>
                <c:pt idx="190">
                  <c:v>-280</c:v>
                </c:pt>
                <c:pt idx="191">
                  <c:v>-350.18000000000029</c:v>
                </c:pt>
                <c:pt idx="192">
                  <c:v>-0.15000000000000213</c:v>
                </c:pt>
                <c:pt idx="193">
                  <c:v>-2.4000000000000057</c:v>
                </c:pt>
                <c:pt idx="194">
                  <c:v>-992.75</c:v>
                </c:pt>
                <c:pt idx="195">
                  <c:v>-57.069999999999709</c:v>
                </c:pt>
                <c:pt idx="196">
                  <c:v>-816.5</c:v>
                </c:pt>
                <c:pt idx="197">
                  <c:v>-172.5</c:v>
                </c:pt>
                <c:pt idx="198">
                  <c:v>-250</c:v>
                </c:pt>
                <c:pt idx="199">
                  <c:v>-104.56999999999971</c:v>
                </c:pt>
                <c:pt idx="200">
                  <c:v>-206.25999999999976</c:v>
                </c:pt>
                <c:pt idx="201">
                  <c:v>0</c:v>
                </c:pt>
                <c:pt idx="202">
                  <c:v>-591.5</c:v>
                </c:pt>
                <c:pt idx="203">
                  <c:v>-200</c:v>
                </c:pt>
                <c:pt idx="204">
                  <c:v>-1193.4599999999991</c:v>
                </c:pt>
                <c:pt idx="205">
                  <c:v>-22.5</c:v>
                </c:pt>
                <c:pt idx="206">
                  <c:v>-452.09999999999854</c:v>
                </c:pt>
                <c:pt idx="207">
                  <c:v>-3.1000000000000014</c:v>
                </c:pt>
                <c:pt idx="208">
                  <c:v>-2.1899999999999977</c:v>
                </c:pt>
                <c:pt idx="209">
                  <c:v>-106.14999999999964</c:v>
                </c:pt>
                <c:pt idx="210">
                  <c:v>-98.650000000000091</c:v>
                </c:pt>
                <c:pt idx="211">
                  <c:v>-1196.239999999998</c:v>
                </c:pt>
                <c:pt idx="212">
                  <c:v>105.27000000000044</c:v>
                </c:pt>
                <c:pt idx="213">
                  <c:v>-321.35000000000036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F6-024C-A827-B3E19EC30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370560"/>
        <c:axId val="1817822576"/>
      </c:barChart>
      <c:barChart>
        <c:barDir val="col"/>
        <c:grouping val="clustered"/>
        <c:varyColors val="0"/>
        <c:ser>
          <c:idx val="0"/>
          <c:order val="0"/>
          <c:tx>
            <c:strRef>
              <c:f>data!$X$10</c:f>
              <c:strCache>
                <c:ptCount val="1"/>
                <c:pt idx="0">
                  <c:v>1990-2000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data!$B$11:$B$224</c:f>
              <c:strCache>
                <c:ptCount val="214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</c:strCache>
            </c:strRef>
          </c:cat>
          <c:val>
            <c:numRef>
              <c:f>data!$X$11:$X$224</c:f>
              <c:numCache>
                <c:formatCode>#,##0</c:formatCode>
                <c:ptCount val="214"/>
                <c:pt idx="0">
                  <c:v>108.82</c:v>
                </c:pt>
                <c:pt idx="1">
                  <c:v>2408.1400000000012</c:v>
                </c:pt>
                <c:pt idx="2">
                  <c:v>0</c:v>
                </c:pt>
                <c:pt idx="3">
                  <c:v>377</c:v>
                </c:pt>
                <c:pt idx="4">
                  <c:v>377.57999999999993</c:v>
                </c:pt>
                <c:pt idx="5">
                  <c:v>66.779999999999973</c:v>
                </c:pt>
                <c:pt idx="6">
                  <c:v>3189.2700000000004</c:v>
                </c:pt>
                <c:pt idx="7">
                  <c:v>24.339999999999996</c:v>
                </c:pt>
                <c:pt idx="8">
                  <c:v>0</c:v>
                </c:pt>
                <c:pt idx="9">
                  <c:v>1.4299999999999997</c:v>
                </c:pt>
                <c:pt idx="10">
                  <c:v>571</c:v>
                </c:pt>
                <c:pt idx="11">
                  <c:v>-0.27999999999997272</c:v>
                </c:pt>
                <c:pt idx="12">
                  <c:v>779.5</c:v>
                </c:pt>
                <c:pt idx="13">
                  <c:v>19859.959999999992</c:v>
                </c:pt>
                <c:pt idx="14">
                  <c:v>99.2800000000002</c:v>
                </c:pt>
                <c:pt idx="15">
                  <c:v>32.989999999999782</c:v>
                </c:pt>
                <c:pt idx="16">
                  <c:v>48</c:v>
                </c:pt>
                <c:pt idx="17">
                  <c:v>852</c:v>
                </c:pt>
                <c:pt idx="18">
                  <c:v>493</c:v>
                </c:pt>
                <c:pt idx="19">
                  <c:v>147</c:v>
                </c:pt>
                <c:pt idx="20">
                  <c:v>301.67999999999984</c:v>
                </c:pt>
                <c:pt idx="21">
                  <c:v>168.72000000000003</c:v>
                </c:pt>
                <c:pt idx="22">
                  <c:v>0.89999999999999858</c:v>
                </c:pt>
                <c:pt idx="23">
                  <c:v>3.019999999999996</c:v>
                </c:pt>
                <c:pt idx="24">
                  <c:v>75</c:v>
                </c:pt>
                <c:pt idx="25">
                  <c:v>571.01000000000022</c:v>
                </c:pt>
                <c:pt idx="26">
                  <c:v>68</c:v>
                </c:pt>
                <c:pt idx="27">
                  <c:v>45.549999999999955</c:v>
                </c:pt>
                <c:pt idx="28">
                  <c:v>364.86999999999898</c:v>
                </c:pt>
                <c:pt idx="29">
                  <c:v>42.680000000000064</c:v>
                </c:pt>
                <c:pt idx="30">
                  <c:v>0.66000000000000014</c:v>
                </c:pt>
                <c:pt idx="31">
                  <c:v>3653</c:v>
                </c:pt>
                <c:pt idx="32">
                  <c:v>412.09000000000015</c:v>
                </c:pt>
                <c:pt idx="33">
                  <c:v>107.26999999999998</c:v>
                </c:pt>
                <c:pt idx="34">
                  <c:v>1</c:v>
                </c:pt>
                <c:pt idx="35">
                  <c:v>-50.180000000000291</c:v>
                </c:pt>
                <c:pt idx="36">
                  <c:v>45</c:v>
                </c:pt>
                <c:pt idx="37">
                  <c:v>-5</c:v>
                </c:pt>
                <c:pt idx="38">
                  <c:v>0</c:v>
                </c:pt>
                <c:pt idx="39">
                  <c:v>40.159999999999968</c:v>
                </c:pt>
                <c:pt idx="40">
                  <c:v>42.480000000000018</c:v>
                </c:pt>
                <c:pt idx="41">
                  <c:v>12.139999999999986</c:v>
                </c:pt>
                <c:pt idx="42">
                  <c:v>108.76000000000022</c:v>
                </c:pt>
                <c:pt idx="43">
                  <c:v>478.17000000000007</c:v>
                </c:pt>
                <c:pt idx="44">
                  <c:v>177</c:v>
                </c:pt>
                <c:pt idx="45">
                  <c:v>19</c:v>
                </c:pt>
                <c:pt idx="46">
                  <c:v>570.30999999999767</c:v>
                </c:pt>
                <c:pt idx="47">
                  <c:v>176</c:v>
                </c:pt>
                <c:pt idx="48">
                  <c:v>35</c:v>
                </c:pt>
                <c:pt idx="49">
                  <c:v>62.4699999999998</c:v>
                </c:pt>
                <c:pt idx="50">
                  <c:v>4.1200000000000045</c:v>
                </c:pt>
                <c:pt idx="51">
                  <c:v>0.20000000000000018</c:v>
                </c:pt>
                <c:pt idx="52">
                  <c:v>10.5</c:v>
                </c:pt>
                <c:pt idx="53">
                  <c:v>0.28000000000000114</c:v>
                </c:pt>
                <c:pt idx="54">
                  <c:v>0.90000000000000568</c:v>
                </c:pt>
                <c:pt idx="55">
                  <c:v>2.1800000000000015</c:v>
                </c:pt>
                <c:pt idx="56">
                  <c:v>249.60000000000036</c:v>
                </c:pt>
                <c:pt idx="57">
                  <c:v>64.430000000000007</c:v>
                </c:pt>
                <c:pt idx="58">
                  <c:v>8.2999999999997272</c:v>
                </c:pt>
                <c:pt idx="59">
                  <c:v>-363</c:v>
                </c:pt>
                <c:pt idx="60">
                  <c:v>44.480000000000018</c:v>
                </c:pt>
                <c:pt idx="61">
                  <c:v>60</c:v>
                </c:pt>
                <c:pt idx="62">
                  <c:v>1086</c:v>
                </c:pt>
                <c:pt idx="63">
                  <c:v>236</c:v>
                </c:pt>
                <c:pt idx="64">
                  <c:v>14.170000000000016</c:v>
                </c:pt>
                <c:pt idx="65">
                  <c:v>0.15</c:v>
                </c:pt>
                <c:pt idx="66">
                  <c:v>7.8699999999998909</c:v>
                </c:pt>
                <c:pt idx="67">
                  <c:v>21.25</c:v>
                </c:pt>
                <c:pt idx="68">
                  <c:v>-1.0699999999999363</c:v>
                </c:pt>
                <c:pt idx="69">
                  <c:v>-10.100000000000023</c:v>
                </c:pt>
                <c:pt idx="70">
                  <c:v>318.59999999997672</c:v>
                </c:pt>
                <c:pt idx="71">
                  <c:v>23.870000000000005</c:v>
                </c:pt>
                <c:pt idx="72">
                  <c:v>6.7200000000000273</c:v>
                </c:pt>
                <c:pt idx="73">
                  <c:v>21</c:v>
                </c:pt>
                <c:pt idx="74">
                  <c:v>-1.5199999999999818</c:v>
                </c:pt>
                <c:pt idx="75">
                  <c:v>0</c:v>
                </c:pt>
                <c:pt idx="76">
                  <c:v>12.759999999999998</c:v>
                </c:pt>
                <c:pt idx="77">
                  <c:v>54</c:v>
                </c:pt>
                <c:pt idx="78">
                  <c:v>9.9999999999997868E-3</c:v>
                </c:pt>
                <c:pt idx="79">
                  <c:v>0</c:v>
                </c:pt>
                <c:pt idx="80">
                  <c:v>-19</c:v>
                </c:pt>
                <c:pt idx="81">
                  <c:v>1.3999999999999995</c:v>
                </c:pt>
                <c:pt idx="82">
                  <c:v>-82.54000000000002</c:v>
                </c:pt>
                <c:pt idx="83">
                  <c:v>-88</c:v>
                </c:pt>
                <c:pt idx="84">
                  <c:v>2</c:v>
                </c:pt>
                <c:pt idx="85">
                  <c:v>-5.3099999999999454</c:v>
                </c:pt>
                <c:pt idx="86">
                  <c:v>14</c:v>
                </c:pt>
                <c:pt idx="87">
                  <c:v>-2068.1000000000058</c:v>
                </c:pt>
                <c:pt idx="88">
                  <c:v>0</c:v>
                </c:pt>
                <c:pt idx="89">
                  <c:v>-19.5</c:v>
                </c:pt>
                <c:pt idx="90">
                  <c:v>15.399999999999999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4.2099999999999227</c:v>
                </c:pt>
                <c:pt idx="138">
                  <c:v>0</c:v>
                </c:pt>
                <c:pt idx="139">
                  <c:v>-74</c:v>
                </c:pt>
                <c:pt idx="140">
                  <c:v>-88.100000000000364</c:v>
                </c:pt>
                <c:pt idx="141">
                  <c:v>-470.96000000002095</c:v>
                </c:pt>
                <c:pt idx="142">
                  <c:v>-54.400000000000034</c:v>
                </c:pt>
                <c:pt idx="143">
                  <c:v>100</c:v>
                </c:pt>
                <c:pt idx="144">
                  <c:v>-2.0900000000000318</c:v>
                </c:pt>
                <c:pt idx="145">
                  <c:v>-0.10000000000000142</c:v>
                </c:pt>
                <c:pt idx="146">
                  <c:v>0</c:v>
                </c:pt>
                <c:pt idx="147">
                  <c:v>-98.349999999999909</c:v>
                </c:pt>
                <c:pt idx="148">
                  <c:v>102.65000000000009</c:v>
                </c:pt>
                <c:pt idx="149">
                  <c:v>-4.0000000000000036E-2</c:v>
                </c:pt>
                <c:pt idx="150">
                  <c:v>-616.90000000000009</c:v>
                </c:pt>
                <c:pt idx="151">
                  <c:v>-0.90000000000000568</c:v>
                </c:pt>
                <c:pt idx="152">
                  <c:v>-7.3099999999999454</c:v>
                </c:pt>
                <c:pt idx="153">
                  <c:v>-0.25999999999999801</c:v>
                </c:pt>
                <c:pt idx="154">
                  <c:v>-61.619999999998981</c:v>
                </c:pt>
                <c:pt idx="155">
                  <c:v>-364</c:v>
                </c:pt>
                <c:pt idx="156">
                  <c:v>-31.599999999999909</c:v>
                </c:pt>
                <c:pt idx="157">
                  <c:v>-37.930000000000291</c:v>
                </c:pt>
                <c:pt idx="158">
                  <c:v>-118</c:v>
                </c:pt>
                <c:pt idx="159">
                  <c:v>-120</c:v>
                </c:pt>
                <c:pt idx="160">
                  <c:v>0.85999999999999943</c:v>
                </c:pt>
                <c:pt idx="161">
                  <c:v>-36.759999999998399</c:v>
                </c:pt>
                <c:pt idx="162">
                  <c:v>-121.70999999999913</c:v>
                </c:pt>
                <c:pt idx="163">
                  <c:v>-2.2700000000000387</c:v>
                </c:pt>
                <c:pt idx="164">
                  <c:v>-300</c:v>
                </c:pt>
                <c:pt idx="165">
                  <c:v>-45.5600000000004</c:v>
                </c:pt>
                <c:pt idx="166">
                  <c:v>-475.52999999999975</c:v>
                </c:pt>
                <c:pt idx="167">
                  <c:v>-30</c:v>
                </c:pt>
                <c:pt idx="168">
                  <c:v>-0.20000000000000107</c:v>
                </c:pt>
                <c:pt idx="169">
                  <c:v>-377</c:v>
                </c:pt>
                <c:pt idx="170">
                  <c:v>-730</c:v>
                </c:pt>
                <c:pt idx="171">
                  <c:v>-469.55000000000018</c:v>
                </c:pt>
                <c:pt idx="172">
                  <c:v>-662.78000000000065</c:v>
                </c:pt>
                <c:pt idx="173">
                  <c:v>-1826</c:v>
                </c:pt>
                <c:pt idx="174">
                  <c:v>-2210.2999999999884</c:v>
                </c:pt>
                <c:pt idx="175">
                  <c:v>-710.09000000000015</c:v>
                </c:pt>
                <c:pt idx="176">
                  <c:v>-5.4099999999999966</c:v>
                </c:pt>
                <c:pt idx="177">
                  <c:v>-75</c:v>
                </c:pt>
                <c:pt idx="178">
                  <c:v>-1744.1500000000015</c:v>
                </c:pt>
                <c:pt idx="179">
                  <c:v>-93.200000000000045</c:v>
                </c:pt>
                <c:pt idx="180">
                  <c:v>-14</c:v>
                </c:pt>
                <c:pt idx="181">
                  <c:v>-0.22999999999999998</c:v>
                </c:pt>
                <c:pt idx="182">
                  <c:v>-1150.7099999999919</c:v>
                </c:pt>
                <c:pt idx="183">
                  <c:v>-2.4400000000000048</c:v>
                </c:pt>
                <c:pt idx="184">
                  <c:v>-358</c:v>
                </c:pt>
                <c:pt idx="185">
                  <c:v>-460.70000000000073</c:v>
                </c:pt>
                <c:pt idx="186">
                  <c:v>-767.5</c:v>
                </c:pt>
                <c:pt idx="187">
                  <c:v>-183.90999999999985</c:v>
                </c:pt>
                <c:pt idx="188">
                  <c:v>-347</c:v>
                </c:pt>
                <c:pt idx="189">
                  <c:v>-0.66000000000000014</c:v>
                </c:pt>
                <c:pt idx="190">
                  <c:v>-902.5099999999984</c:v>
                </c:pt>
                <c:pt idx="191">
                  <c:v>-927.15000000000146</c:v>
                </c:pt>
                <c:pt idx="192">
                  <c:v>-0.33999999999999986</c:v>
                </c:pt>
                <c:pt idx="193">
                  <c:v>-4.8199999999999932</c:v>
                </c:pt>
                <c:pt idx="194">
                  <c:v>-2222.6399999999994</c:v>
                </c:pt>
                <c:pt idx="195">
                  <c:v>-165.25999999999931</c:v>
                </c:pt>
                <c:pt idx="196">
                  <c:v>-1633.0499999999993</c:v>
                </c:pt>
                <c:pt idx="197">
                  <c:v>-418</c:v>
                </c:pt>
                <c:pt idx="198">
                  <c:v>-500.10000000000036</c:v>
                </c:pt>
                <c:pt idx="199">
                  <c:v>-209.50999999999931</c:v>
                </c:pt>
                <c:pt idx="200">
                  <c:v>-412.52</c:v>
                </c:pt>
                <c:pt idx="201">
                  <c:v>-16</c:v>
                </c:pt>
                <c:pt idx="202">
                  <c:v>-1183</c:v>
                </c:pt>
                <c:pt idx="203">
                  <c:v>-450</c:v>
                </c:pt>
                <c:pt idx="204">
                  <c:v>-2703.3300000000017</c:v>
                </c:pt>
                <c:pt idx="205">
                  <c:v>-45</c:v>
                </c:pt>
                <c:pt idx="206">
                  <c:v>-2875</c:v>
                </c:pt>
                <c:pt idx="207">
                  <c:v>-0.25999999999999801</c:v>
                </c:pt>
                <c:pt idx="208">
                  <c:v>-4.3800000000000026</c:v>
                </c:pt>
                <c:pt idx="209">
                  <c:v>-457.34000000000015</c:v>
                </c:pt>
                <c:pt idx="210">
                  <c:v>-197.26999999999998</c:v>
                </c:pt>
                <c:pt idx="211">
                  <c:v>-2190</c:v>
                </c:pt>
                <c:pt idx="212">
                  <c:v>-1075.6499999999996</c:v>
                </c:pt>
                <c:pt idx="213">
                  <c:v>-901.70999999999913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F6-024C-A827-B3E19EC30354}"/>
            </c:ext>
          </c:extLst>
        </c:ser>
        <c:ser>
          <c:idx val="4"/>
          <c:order val="1"/>
          <c:tx>
            <c:strRef>
              <c:f>data!$AB$10</c:f>
              <c:strCache>
                <c:ptCount val="1"/>
                <c:pt idx="0">
                  <c:v>2010-2020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data!$B$11:$B$224</c:f>
              <c:strCache>
                <c:ptCount val="214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</c:strCache>
            </c:strRef>
          </c:cat>
          <c:val>
            <c:numRef>
              <c:f>data!$AB$11:$AB$224</c:f>
              <c:numCache>
                <c:formatCode>#,##0</c:formatCode>
                <c:ptCount val="214"/>
                <c:pt idx="0">
                  <c:v>4.8799999999999955</c:v>
                </c:pt>
                <c:pt idx="1">
                  <c:v>1255.0300000000007</c:v>
                </c:pt>
                <c:pt idx="2">
                  <c:v>0</c:v>
                </c:pt>
                <c:pt idx="3">
                  <c:v>310</c:v>
                </c:pt>
                <c:pt idx="4">
                  <c:v>70.980000000000018</c:v>
                </c:pt>
                <c:pt idx="5">
                  <c:v>66.779999999999973</c:v>
                </c:pt>
                <c:pt idx="6">
                  <c:v>26.829999999998108</c:v>
                </c:pt>
                <c:pt idx="7">
                  <c:v>3</c:v>
                </c:pt>
                <c:pt idx="8">
                  <c:v>4</c:v>
                </c:pt>
                <c:pt idx="9">
                  <c:v>0.84999999999999432</c:v>
                </c:pt>
                <c:pt idx="10">
                  <c:v>299.70000000000005</c:v>
                </c:pt>
                <c:pt idx="11">
                  <c:v>38.439999999999941</c:v>
                </c:pt>
                <c:pt idx="12">
                  <c:v>538.08999999999833</c:v>
                </c:pt>
                <c:pt idx="13">
                  <c:v>19367.799999999988</c:v>
                </c:pt>
                <c:pt idx="14">
                  <c:v>19.789999999999964</c:v>
                </c:pt>
                <c:pt idx="15">
                  <c:v>102.38000000000011</c:v>
                </c:pt>
                <c:pt idx="16">
                  <c:v>156</c:v>
                </c:pt>
                <c:pt idx="17">
                  <c:v>834</c:v>
                </c:pt>
                <c:pt idx="18">
                  <c:v>137.60000000000036</c:v>
                </c:pt>
                <c:pt idx="19">
                  <c:v>9.6500000000000909</c:v>
                </c:pt>
                <c:pt idx="20">
                  <c:v>0</c:v>
                </c:pt>
                <c:pt idx="21">
                  <c:v>61.639999999999986</c:v>
                </c:pt>
                <c:pt idx="22">
                  <c:v>2</c:v>
                </c:pt>
                <c:pt idx="23">
                  <c:v>4.4500000000000028</c:v>
                </c:pt>
                <c:pt idx="24">
                  <c:v>31</c:v>
                </c:pt>
                <c:pt idx="25">
                  <c:v>1485.4400000000023</c:v>
                </c:pt>
                <c:pt idx="26">
                  <c:v>38.670000000000073</c:v>
                </c:pt>
                <c:pt idx="27">
                  <c:v>41.060000000000059</c:v>
                </c:pt>
                <c:pt idx="28">
                  <c:v>1137.2799999999988</c:v>
                </c:pt>
                <c:pt idx="29">
                  <c:v>34.389999999999873</c:v>
                </c:pt>
                <c:pt idx="30">
                  <c:v>0</c:v>
                </c:pt>
                <c:pt idx="31">
                  <c:v>2664</c:v>
                </c:pt>
                <c:pt idx="32">
                  <c:v>340.05999999999995</c:v>
                </c:pt>
                <c:pt idx="33">
                  <c:v>6.6200000000001182</c:v>
                </c:pt>
                <c:pt idx="34">
                  <c:v>0</c:v>
                </c:pt>
                <c:pt idx="35">
                  <c:v>163.67000000000007</c:v>
                </c:pt>
                <c:pt idx="36">
                  <c:v>-9.1700000000000728</c:v>
                </c:pt>
                <c:pt idx="37">
                  <c:v>414.05000000000018</c:v>
                </c:pt>
                <c:pt idx="38">
                  <c:v>0</c:v>
                </c:pt>
                <c:pt idx="39">
                  <c:v>41.950000000000045</c:v>
                </c:pt>
                <c:pt idx="40">
                  <c:v>99.279999999999973</c:v>
                </c:pt>
                <c:pt idx="41">
                  <c:v>12.129999999999995</c:v>
                </c:pt>
                <c:pt idx="42">
                  <c:v>0</c:v>
                </c:pt>
                <c:pt idx="43">
                  <c:v>44.469999999999345</c:v>
                </c:pt>
                <c:pt idx="44">
                  <c:v>154</c:v>
                </c:pt>
                <c:pt idx="45">
                  <c:v>12</c:v>
                </c:pt>
                <c:pt idx="46">
                  <c:v>167</c:v>
                </c:pt>
                <c:pt idx="47">
                  <c:v>131</c:v>
                </c:pt>
                <c:pt idx="48">
                  <c:v>19.1099999999999</c:v>
                </c:pt>
                <c:pt idx="49">
                  <c:v>35.950000000000273</c:v>
                </c:pt>
                <c:pt idx="50">
                  <c:v>0</c:v>
                </c:pt>
                <c:pt idx="51">
                  <c:v>0</c:v>
                </c:pt>
                <c:pt idx="52">
                  <c:v>-0.31000000000000227</c:v>
                </c:pt>
                <c:pt idx="53">
                  <c:v>0.29000000000000625</c:v>
                </c:pt>
                <c:pt idx="54">
                  <c:v>0</c:v>
                </c:pt>
                <c:pt idx="55">
                  <c:v>-2.1699999999999982</c:v>
                </c:pt>
                <c:pt idx="56">
                  <c:v>59.890000000001237</c:v>
                </c:pt>
                <c:pt idx="57">
                  <c:v>0</c:v>
                </c:pt>
                <c:pt idx="58">
                  <c:v>0</c:v>
                </c:pt>
                <c:pt idx="59">
                  <c:v>-200</c:v>
                </c:pt>
                <c:pt idx="60">
                  <c:v>85.700000000000045</c:v>
                </c:pt>
                <c:pt idx="61">
                  <c:v>30.000000000000057</c:v>
                </c:pt>
                <c:pt idx="62">
                  <c:v>1075</c:v>
                </c:pt>
                <c:pt idx="63">
                  <c:v>142</c:v>
                </c:pt>
                <c:pt idx="64">
                  <c:v>-3.9800000000000182</c:v>
                </c:pt>
                <c:pt idx="65">
                  <c:v>0.17999999999999994</c:v>
                </c:pt>
                <c:pt idx="66">
                  <c:v>19.710000000000036</c:v>
                </c:pt>
                <c:pt idx="67">
                  <c:v>67.920000000000073</c:v>
                </c:pt>
                <c:pt idx="68">
                  <c:v>7.9900000000000091</c:v>
                </c:pt>
                <c:pt idx="69">
                  <c:v>-0.57000000000005002</c:v>
                </c:pt>
                <c:pt idx="70">
                  <c:v>176</c:v>
                </c:pt>
                <c:pt idx="71">
                  <c:v>15.300000000000068</c:v>
                </c:pt>
                <c:pt idx="72">
                  <c:v>-1</c:v>
                </c:pt>
                <c:pt idx="73">
                  <c:v>-14</c:v>
                </c:pt>
                <c:pt idx="74">
                  <c:v>5.9800000000000182</c:v>
                </c:pt>
                <c:pt idx="75">
                  <c:v>0.11000000000000004</c:v>
                </c:pt>
                <c:pt idx="76">
                  <c:v>6.68</c:v>
                </c:pt>
                <c:pt idx="77">
                  <c:v>10</c:v>
                </c:pt>
                <c:pt idx="78">
                  <c:v>9.9999999999997868E-3</c:v>
                </c:pt>
                <c:pt idx="79">
                  <c:v>0.19000000000000128</c:v>
                </c:pt>
                <c:pt idx="80">
                  <c:v>78</c:v>
                </c:pt>
                <c:pt idx="81">
                  <c:v>0</c:v>
                </c:pt>
                <c:pt idx="82">
                  <c:v>85.699999999999989</c:v>
                </c:pt>
                <c:pt idx="83">
                  <c:v>31</c:v>
                </c:pt>
                <c:pt idx="84">
                  <c:v>13.800000000000011</c:v>
                </c:pt>
                <c:pt idx="85">
                  <c:v>372.5</c:v>
                </c:pt>
                <c:pt idx="86">
                  <c:v>0</c:v>
                </c:pt>
                <c:pt idx="87">
                  <c:v>4459</c:v>
                </c:pt>
                <c:pt idx="88">
                  <c:v>0.20000000000000018</c:v>
                </c:pt>
                <c:pt idx="89">
                  <c:v>6.8299999999999272</c:v>
                </c:pt>
                <c:pt idx="90">
                  <c:v>-20.660000000000004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-3.999999999996362E-2</c:v>
                </c:pt>
                <c:pt idx="138">
                  <c:v>-0.5</c:v>
                </c:pt>
                <c:pt idx="139">
                  <c:v>-31</c:v>
                </c:pt>
                <c:pt idx="140">
                  <c:v>-11.119999999998981</c:v>
                </c:pt>
                <c:pt idx="141">
                  <c:v>-394.11000000004424</c:v>
                </c:pt>
                <c:pt idx="142">
                  <c:v>-54.44</c:v>
                </c:pt>
                <c:pt idx="143">
                  <c:v>-93</c:v>
                </c:pt>
                <c:pt idx="144">
                  <c:v>-2.089999999999975</c:v>
                </c:pt>
                <c:pt idx="145">
                  <c:v>0.10000000000000142</c:v>
                </c:pt>
                <c:pt idx="146">
                  <c:v>-4.9399999999998272</c:v>
                </c:pt>
                <c:pt idx="147">
                  <c:v>85.25</c:v>
                </c:pt>
                <c:pt idx="148">
                  <c:v>-5.25</c:v>
                </c:pt>
                <c:pt idx="149">
                  <c:v>-2.0000000000000018E-2</c:v>
                </c:pt>
                <c:pt idx="150">
                  <c:v>-124.20000000000005</c:v>
                </c:pt>
                <c:pt idx="151">
                  <c:v>0.37000000000000455</c:v>
                </c:pt>
                <c:pt idx="152">
                  <c:v>-7.3100000000004002</c:v>
                </c:pt>
                <c:pt idx="153">
                  <c:v>0</c:v>
                </c:pt>
                <c:pt idx="154">
                  <c:v>-118.81000000000131</c:v>
                </c:pt>
                <c:pt idx="155">
                  <c:v>-364</c:v>
                </c:pt>
                <c:pt idx="156">
                  <c:v>-31.599999999999909</c:v>
                </c:pt>
                <c:pt idx="157">
                  <c:v>-104.47000000000116</c:v>
                </c:pt>
                <c:pt idx="158">
                  <c:v>60</c:v>
                </c:pt>
                <c:pt idx="159">
                  <c:v>-129</c:v>
                </c:pt>
                <c:pt idx="160">
                  <c:v>0.38000000000000256</c:v>
                </c:pt>
                <c:pt idx="161">
                  <c:v>-103.56999999999971</c:v>
                </c:pt>
                <c:pt idx="162">
                  <c:v>-323.12999999999738</c:v>
                </c:pt>
                <c:pt idx="163">
                  <c:v>-31.079999999999984</c:v>
                </c:pt>
                <c:pt idx="164">
                  <c:v>-300</c:v>
                </c:pt>
                <c:pt idx="165">
                  <c:v>-33.649999999999636</c:v>
                </c:pt>
                <c:pt idx="166">
                  <c:v>-367.82999999999993</c:v>
                </c:pt>
                <c:pt idx="167">
                  <c:v>11</c:v>
                </c:pt>
                <c:pt idx="168">
                  <c:v>0</c:v>
                </c:pt>
                <c:pt idx="169">
                  <c:v>-1217</c:v>
                </c:pt>
                <c:pt idx="170">
                  <c:v>-730</c:v>
                </c:pt>
                <c:pt idx="171">
                  <c:v>348.86999999999989</c:v>
                </c:pt>
                <c:pt idx="172">
                  <c:v>-132.17000000000007</c:v>
                </c:pt>
                <c:pt idx="173">
                  <c:v>-1641</c:v>
                </c:pt>
                <c:pt idx="174">
                  <c:v>-1251.2299999999959</c:v>
                </c:pt>
                <c:pt idx="175">
                  <c:v>-710.09000000000015</c:v>
                </c:pt>
                <c:pt idx="176">
                  <c:v>-4.2199999999999989</c:v>
                </c:pt>
                <c:pt idx="177">
                  <c:v>-100</c:v>
                </c:pt>
                <c:pt idx="178">
                  <c:v>-1721.619999999999</c:v>
                </c:pt>
                <c:pt idx="179">
                  <c:v>-29.599999999999909</c:v>
                </c:pt>
                <c:pt idx="180">
                  <c:v>-14</c:v>
                </c:pt>
                <c:pt idx="181">
                  <c:v>-0.21999999999999997</c:v>
                </c:pt>
                <c:pt idx="182">
                  <c:v>-1719.4300000000076</c:v>
                </c:pt>
                <c:pt idx="183">
                  <c:v>0</c:v>
                </c:pt>
                <c:pt idx="184">
                  <c:v>-1881.9700000000012</c:v>
                </c:pt>
                <c:pt idx="185">
                  <c:v>-460.69999999999709</c:v>
                </c:pt>
                <c:pt idx="186">
                  <c:v>-767.5</c:v>
                </c:pt>
                <c:pt idx="187">
                  <c:v>9.4000000000000909</c:v>
                </c:pt>
                <c:pt idx="188">
                  <c:v>-380</c:v>
                </c:pt>
                <c:pt idx="189">
                  <c:v>-0.66000000000000014</c:v>
                </c:pt>
                <c:pt idx="190">
                  <c:v>-560</c:v>
                </c:pt>
                <c:pt idx="191">
                  <c:v>166.38999999999942</c:v>
                </c:pt>
                <c:pt idx="192">
                  <c:v>-0.30000000000000071</c:v>
                </c:pt>
                <c:pt idx="193">
                  <c:v>-4.8200000000000216</c:v>
                </c:pt>
                <c:pt idx="194">
                  <c:v>-1665.8799999999974</c:v>
                </c:pt>
                <c:pt idx="195">
                  <c:v>-114.14999999999964</c:v>
                </c:pt>
                <c:pt idx="196">
                  <c:v>-1633.0299999999988</c:v>
                </c:pt>
                <c:pt idx="197">
                  <c:v>-345</c:v>
                </c:pt>
                <c:pt idx="198">
                  <c:v>-500.10000000000036</c:v>
                </c:pt>
                <c:pt idx="199">
                  <c:v>-216.21000000000004</c:v>
                </c:pt>
                <c:pt idx="200">
                  <c:v>-412.52</c:v>
                </c:pt>
                <c:pt idx="201">
                  <c:v>0</c:v>
                </c:pt>
                <c:pt idx="202">
                  <c:v>-1183</c:v>
                </c:pt>
                <c:pt idx="203">
                  <c:v>-400</c:v>
                </c:pt>
                <c:pt idx="204">
                  <c:v>-2252.25</c:v>
                </c:pt>
                <c:pt idx="205">
                  <c:v>-45</c:v>
                </c:pt>
                <c:pt idx="206">
                  <c:v>-1274.0999999999985</c:v>
                </c:pt>
                <c:pt idx="207">
                  <c:v>-6.2000000000000028</c:v>
                </c:pt>
                <c:pt idx="208">
                  <c:v>-4.3799999999999955</c:v>
                </c:pt>
                <c:pt idx="209">
                  <c:v>-212.30000000000018</c:v>
                </c:pt>
                <c:pt idx="210">
                  <c:v>-197.27999999999975</c:v>
                </c:pt>
                <c:pt idx="211">
                  <c:v>-2228.3799999999974</c:v>
                </c:pt>
                <c:pt idx="212">
                  <c:v>42.779999999999745</c:v>
                </c:pt>
                <c:pt idx="213">
                  <c:v>-530.36000000000058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F6-024C-A827-B3E19EC30354}"/>
            </c:ext>
          </c:extLst>
        </c:ser>
        <c:ser>
          <c:idx val="1"/>
          <c:order val="2"/>
          <c:tx>
            <c:strRef>
              <c:f>data!$Y$10</c:f>
              <c:strCache>
                <c:ptCount val="1"/>
                <c:pt idx="0">
                  <c:v>2000-2010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data!$B$11:$B$224</c:f>
              <c:strCache>
                <c:ptCount val="214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</c:strCache>
            </c:strRef>
          </c:cat>
          <c:val>
            <c:numRef>
              <c:f>data!$Y$11:$Y$224</c:f>
              <c:numCache>
                <c:formatCode>#,##0</c:formatCode>
                <c:ptCount val="214"/>
                <c:pt idx="0">
                  <c:v>62.300000000000011</c:v>
                </c:pt>
                <c:pt idx="1">
                  <c:v>1603.9599999999991</c:v>
                </c:pt>
                <c:pt idx="2">
                  <c:v>201</c:v>
                </c:pt>
                <c:pt idx="3">
                  <c:v>497</c:v>
                </c:pt>
                <c:pt idx="4">
                  <c:v>100.64999999999986</c:v>
                </c:pt>
                <c:pt idx="5">
                  <c:v>66.769999999999982</c:v>
                </c:pt>
                <c:pt idx="6">
                  <c:v>1451.4099999999999</c:v>
                </c:pt>
                <c:pt idx="7">
                  <c:v>3</c:v>
                </c:pt>
                <c:pt idx="8">
                  <c:v>0</c:v>
                </c:pt>
                <c:pt idx="9">
                  <c:v>0.98000000000000398</c:v>
                </c:pt>
                <c:pt idx="10">
                  <c:v>362.29999999999995</c:v>
                </c:pt>
                <c:pt idx="11">
                  <c:v>37.450000000000045</c:v>
                </c:pt>
                <c:pt idx="12">
                  <c:v>658.79000000000087</c:v>
                </c:pt>
                <c:pt idx="13">
                  <c:v>23609.830000000016</c:v>
                </c:pt>
                <c:pt idx="14">
                  <c:v>99.289999999999964</c:v>
                </c:pt>
                <c:pt idx="15">
                  <c:v>97.130000000000109</c:v>
                </c:pt>
                <c:pt idx="16">
                  <c:v>362</c:v>
                </c:pt>
                <c:pt idx="17">
                  <c:v>1131</c:v>
                </c:pt>
                <c:pt idx="18">
                  <c:v>357</c:v>
                </c:pt>
                <c:pt idx="19">
                  <c:v>253</c:v>
                </c:pt>
                <c:pt idx="20">
                  <c:v>301.57000000000016</c:v>
                </c:pt>
                <c:pt idx="21">
                  <c:v>90.019999999999982</c:v>
                </c:pt>
                <c:pt idx="22">
                  <c:v>1.5499999999999972</c:v>
                </c:pt>
                <c:pt idx="23">
                  <c:v>3.019999999999996</c:v>
                </c:pt>
                <c:pt idx="24">
                  <c:v>150</c:v>
                </c:pt>
                <c:pt idx="25">
                  <c:v>908.19999999999891</c:v>
                </c:pt>
                <c:pt idx="26">
                  <c:v>131.11999999999989</c:v>
                </c:pt>
                <c:pt idx="27">
                  <c:v>2.8799999999999955</c:v>
                </c:pt>
                <c:pt idx="28">
                  <c:v>934.7300000000032</c:v>
                </c:pt>
                <c:pt idx="29">
                  <c:v>38.539999999999964</c:v>
                </c:pt>
                <c:pt idx="30">
                  <c:v>1.9999999999999574E-2</c:v>
                </c:pt>
                <c:pt idx="31">
                  <c:v>1905</c:v>
                </c:pt>
                <c:pt idx="32">
                  <c:v>388.13999999999987</c:v>
                </c:pt>
                <c:pt idx="33">
                  <c:v>125.22000000000003</c:v>
                </c:pt>
                <c:pt idx="34">
                  <c:v>0</c:v>
                </c:pt>
                <c:pt idx="35">
                  <c:v>13.980000000000018</c:v>
                </c:pt>
                <c:pt idx="36">
                  <c:v>14</c:v>
                </c:pt>
                <c:pt idx="37">
                  <c:v>149</c:v>
                </c:pt>
                <c:pt idx="38">
                  <c:v>0.18999999999999997</c:v>
                </c:pt>
                <c:pt idx="39">
                  <c:v>14.889999999999986</c:v>
                </c:pt>
                <c:pt idx="40">
                  <c:v>45.269999999999982</c:v>
                </c:pt>
                <c:pt idx="41">
                  <c:v>12.150000000000034</c:v>
                </c:pt>
                <c:pt idx="42">
                  <c:v>181.26999999999953</c:v>
                </c:pt>
                <c:pt idx="43">
                  <c:v>-2.319999999999709</c:v>
                </c:pt>
                <c:pt idx="44">
                  <c:v>270</c:v>
                </c:pt>
                <c:pt idx="45">
                  <c:v>30.100000000000023</c:v>
                </c:pt>
                <c:pt idx="46">
                  <c:v>-203.63999999999942</c:v>
                </c:pt>
                <c:pt idx="47">
                  <c:v>105</c:v>
                </c:pt>
                <c:pt idx="48">
                  <c:v>35</c:v>
                </c:pt>
                <c:pt idx="49">
                  <c:v>25.059999999999945</c:v>
                </c:pt>
                <c:pt idx="50">
                  <c:v>0.90999999999999659</c:v>
                </c:pt>
                <c:pt idx="51">
                  <c:v>0</c:v>
                </c:pt>
                <c:pt idx="52">
                  <c:v>1.2299999999999898</c:v>
                </c:pt>
                <c:pt idx="53">
                  <c:v>0.26999999999999602</c:v>
                </c:pt>
                <c:pt idx="54">
                  <c:v>2</c:v>
                </c:pt>
                <c:pt idx="55">
                  <c:v>0.72999999999999687</c:v>
                </c:pt>
                <c:pt idx="56">
                  <c:v>1366.3199999999997</c:v>
                </c:pt>
                <c:pt idx="57">
                  <c:v>7.8700000000000045</c:v>
                </c:pt>
                <c:pt idx="58">
                  <c:v>61.800000000000182</c:v>
                </c:pt>
                <c:pt idx="59">
                  <c:v>1075</c:v>
                </c:pt>
                <c:pt idx="60">
                  <c:v>48.779999999999973</c:v>
                </c:pt>
                <c:pt idx="61">
                  <c:v>60</c:v>
                </c:pt>
                <c:pt idx="62">
                  <c:v>5184</c:v>
                </c:pt>
                <c:pt idx="63">
                  <c:v>38</c:v>
                </c:pt>
                <c:pt idx="64">
                  <c:v>13.980000000000018</c:v>
                </c:pt>
                <c:pt idx="65">
                  <c:v>0.15000000000000002</c:v>
                </c:pt>
                <c:pt idx="66">
                  <c:v>20.090000000000146</c:v>
                </c:pt>
                <c:pt idx="67">
                  <c:v>168.02999999999975</c:v>
                </c:pt>
                <c:pt idx="68">
                  <c:v>16.5</c:v>
                </c:pt>
                <c:pt idx="69">
                  <c:v>22.57000000000005</c:v>
                </c:pt>
                <c:pt idx="70">
                  <c:v>5867.0999999999767</c:v>
                </c:pt>
                <c:pt idx="71">
                  <c:v>19.579999999999927</c:v>
                </c:pt>
                <c:pt idx="72">
                  <c:v>1.1699999999999591</c:v>
                </c:pt>
                <c:pt idx="73">
                  <c:v>1</c:v>
                </c:pt>
                <c:pt idx="74">
                  <c:v>-0.83000000000001251</c:v>
                </c:pt>
                <c:pt idx="75">
                  <c:v>0</c:v>
                </c:pt>
                <c:pt idx="76">
                  <c:v>14.840000000000003</c:v>
                </c:pt>
                <c:pt idx="77">
                  <c:v>55</c:v>
                </c:pt>
                <c:pt idx="78">
                  <c:v>1.0000000000000675E-2</c:v>
                </c:pt>
                <c:pt idx="79">
                  <c:v>0.86999999999999922</c:v>
                </c:pt>
                <c:pt idx="80">
                  <c:v>-11</c:v>
                </c:pt>
                <c:pt idx="81">
                  <c:v>1.4000000000000004</c:v>
                </c:pt>
                <c:pt idx="82">
                  <c:v>0</c:v>
                </c:pt>
                <c:pt idx="83">
                  <c:v>339</c:v>
                </c:pt>
                <c:pt idx="84">
                  <c:v>0</c:v>
                </c:pt>
                <c:pt idx="85">
                  <c:v>-74.75</c:v>
                </c:pt>
                <c:pt idx="86">
                  <c:v>7</c:v>
                </c:pt>
                <c:pt idx="87">
                  <c:v>-2268</c:v>
                </c:pt>
                <c:pt idx="88">
                  <c:v>0</c:v>
                </c:pt>
                <c:pt idx="89">
                  <c:v>12.770000000000095</c:v>
                </c:pt>
                <c:pt idx="90">
                  <c:v>6.43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-4.1999999999999318</c:v>
                </c:pt>
                <c:pt idx="138">
                  <c:v>0</c:v>
                </c:pt>
                <c:pt idx="139">
                  <c:v>90</c:v>
                </c:pt>
                <c:pt idx="140">
                  <c:v>-80</c:v>
                </c:pt>
                <c:pt idx="141">
                  <c:v>-479.75999999995111</c:v>
                </c:pt>
                <c:pt idx="142">
                  <c:v>-54.399999999999977</c:v>
                </c:pt>
                <c:pt idx="143">
                  <c:v>-90</c:v>
                </c:pt>
                <c:pt idx="144">
                  <c:v>-2.0799999999999841</c:v>
                </c:pt>
                <c:pt idx="145">
                  <c:v>-5.9999999999998721E-2</c:v>
                </c:pt>
                <c:pt idx="146">
                  <c:v>-31.990000000000009</c:v>
                </c:pt>
                <c:pt idx="147">
                  <c:v>-8.9900000000002365</c:v>
                </c:pt>
                <c:pt idx="148">
                  <c:v>-344.84999999999991</c:v>
                </c:pt>
                <c:pt idx="149">
                  <c:v>-2.9999999999999805E-2</c:v>
                </c:pt>
                <c:pt idx="150">
                  <c:v>-124.19999999999982</c:v>
                </c:pt>
                <c:pt idx="151">
                  <c:v>-0.71999999999999886</c:v>
                </c:pt>
                <c:pt idx="152">
                  <c:v>-7.319999999999709</c:v>
                </c:pt>
                <c:pt idx="153">
                  <c:v>-0.24000000000000199</c:v>
                </c:pt>
                <c:pt idx="154">
                  <c:v>-50.590000000000146</c:v>
                </c:pt>
                <c:pt idx="155">
                  <c:v>-364</c:v>
                </c:pt>
                <c:pt idx="156">
                  <c:v>-31.600000000000136</c:v>
                </c:pt>
                <c:pt idx="157">
                  <c:v>-44.409999999999854</c:v>
                </c:pt>
                <c:pt idx="158">
                  <c:v>-29</c:v>
                </c:pt>
                <c:pt idx="159">
                  <c:v>-120</c:v>
                </c:pt>
                <c:pt idx="160">
                  <c:v>-3.5399999999999991</c:v>
                </c:pt>
                <c:pt idx="161">
                  <c:v>-41.010000000000218</c:v>
                </c:pt>
                <c:pt idx="162">
                  <c:v>-99.080000000001746</c:v>
                </c:pt>
                <c:pt idx="163">
                  <c:v>-2.2699999999999818</c:v>
                </c:pt>
                <c:pt idx="164">
                  <c:v>-300</c:v>
                </c:pt>
                <c:pt idx="165">
                  <c:v>-42.9399999999996</c:v>
                </c:pt>
                <c:pt idx="166">
                  <c:v>-417.5300000000002</c:v>
                </c:pt>
                <c:pt idx="167">
                  <c:v>-22</c:v>
                </c:pt>
                <c:pt idx="168">
                  <c:v>-0.20999999999999908</c:v>
                </c:pt>
                <c:pt idx="169">
                  <c:v>-823</c:v>
                </c:pt>
                <c:pt idx="170">
                  <c:v>-730</c:v>
                </c:pt>
                <c:pt idx="171">
                  <c:v>-469.53999999999996</c:v>
                </c:pt>
                <c:pt idx="172">
                  <c:v>-468.69000000000051</c:v>
                </c:pt>
                <c:pt idx="173">
                  <c:v>-3164</c:v>
                </c:pt>
                <c:pt idx="174">
                  <c:v>-1438.0400000000081</c:v>
                </c:pt>
                <c:pt idx="175">
                  <c:v>-710.09000000000015</c:v>
                </c:pt>
                <c:pt idx="176">
                  <c:v>-4.2400000000000091</c:v>
                </c:pt>
                <c:pt idx="177">
                  <c:v>-89</c:v>
                </c:pt>
                <c:pt idx="178">
                  <c:v>-1744.9900000000016</c:v>
                </c:pt>
                <c:pt idx="179">
                  <c:v>-29.590000000000146</c:v>
                </c:pt>
                <c:pt idx="180">
                  <c:v>-14</c:v>
                </c:pt>
                <c:pt idx="181">
                  <c:v>-0.22999999999999998</c:v>
                </c:pt>
                <c:pt idx="182">
                  <c:v>-1248.0299999999988</c:v>
                </c:pt>
                <c:pt idx="183">
                  <c:v>0</c:v>
                </c:pt>
                <c:pt idx="184">
                  <c:v>-358</c:v>
                </c:pt>
                <c:pt idx="185">
                  <c:v>-460.70000000000073</c:v>
                </c:pt>
                <c:pt idx="186">
                  <c:v>-767.5</c:v>
                </c:pt>
                <c:pt idx="187">
                  <c:v>-62.800000000000182</c:v>
                </c:pt>
                <c:pt idx="188">
                  <c:v>-360</c:v>
                </c:pt>
                <c:pt idx="189">
                  <c:v>-0.66999999999999993</c:v>
                </c:pt>
                <c:pt idx="190">
                  <c:v>-697.01000000000204</c:v>
                </c:pt>
                <c:pt idx="191">
                  <c:v>-743.69999999999709</c:v>
                </c:pt>
                <c:pt idx="192">
                  <c:v>-0.30000000000000071</c:v>
                </c:pt>
                <c:pt idx="193">
                  <c:v>-4.8199999999999932</c:v>
                </c:pt>
                <c:pt idx="194">
                  <c:v>-1927.7099999999991</c:v>
                </c:pt>
                <c:pt idx="195">
                  <c:v>-114.15000000000055</c:v>
                </c:pt>
                <c:pt idx="196">
                  <c:v>-1633.0600000000013</c:v>
                </c:pt>
                <c:pt idx="197">
                  <c:v>-484.5</c:v>
                </c:pt>
                <c:pt idx="198">
                  <c:v>-500</c:v>
                </c:pt>
                <c:pt idx="199">
                  <c:v>-202.80000000000018</c:v>
                </c:pt>
                <c:pt idx="200">
                  <c:v>-412.52999999999975</c:v>
                </c:pt>
                <c:pt idx="201">
                  <c:v>-17</c:v>
                </c:pt>
                <c:pt idx="202">
                  <c:v>-1183</c:v>
                </c:pt>
                <c:pt idx="203">
                  <c:v>-385</c:v>
                </c:pt>
                <c:pt idx="204">
                  <c:v>-2015.3799999999974</c:v>
                </c:pt>
                <c:pt idx="205">
                  <c:v>-45</c:v>
                </c:pt>
                <c:pt idx="206">
                  <c:v>-1646</c:v>
                </c:pt>
                <c:pt idx="207">
                  <c:v>-0.25999999999999801</c:v>
                </c:pt>
                <c:pt idx="208">
                  <c:v>-4.3800000000000026</c:v>
                </c:pt>
                <c:pt idx="209">
                  <c:v>-212.29999999999927</c:v>
                </c:pt>
                <c:pt idx="210">
                  <c:v>-197.26999999999998</c:v>
                </c:pt>
                <c:pt idx="211">
                  <c:v>-2215.8600000000006</c:v>
                </c:pt>
                <c:pt idx="212">
                  <c:v>-905.68000000000029</c:v>
                </c:pt>
                <c:pt idx="213">
                  <c:v>-702.30999999999949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F6-024C-A827-B3E19EC30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370560"/>
        <c:axId val="1817822576"/>
      </c:barChart>
      <c:catAx>
        <c:axId val="7503705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822576"/>
        <c:crosses val="autoZero"/>
        <c:auto val="1"/>
        <c:lblAlgn val="ctr"/>
        <c:lblOffset val="100"/>
        <c:noMultiLvlLbl val="0"/>
      </c:catAx>
      <c:valAx>
        <c:axId val="18178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70560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GB" sz="1000"/>
              <a:t>Nations with (net)</a:t>
            </a:r>
            <a:r>
              <a:rPr lang="en-GB" sz="1000" baseline="0"/>
              <a:t> </a:t>
            </a:r>
            <a:r>
              <a:rPr lang="en-GB" sz="1000"/>
              <a:t>afforestation &gt; </a:t>
            </a:r>
            <a:r>
              <a:rPr lang="en-GB" sz="1000" baseline="0"/>
              <a:t>500,000 ha or (net) </a:t>
            </a:r>
            <a:r>
              <a:rPr lang="en-GB" sz="1000"/>
              <a:t>deforestation &gt; 5,000,000</a:t>
            </a:r>
            <a:r>
              <a:rPr lang="en-GB" sz="1000" baseline="0"/>
              <a:t> ha</a:t>
            </a:r>
            <a:r>
              <a:rPr lang="en-GB" sz="1000"/>
              <a:t>, 1990-2020</a:t>
            </a:r>
            <a:br>
              <a:rPr lang="en-GB" sz="1000"/>
            </a:br>
            <a:r>
              <a:rPr lang="en-GB" sz="1000"/>
              <a:t>Rate of forest gain/loss relative to total land area by nation, 1990-2020</a:t>
            </a:r>
          </a:p>
        </c:rich>
      </c:tx>
      <c:layout>
        <c:manualLayout>
          <c:xMode val="edge"/>
          <c:yMode val="edge"/>
          <c:x val="0.21435584402601349"/>
          <c:y val="2.7459949285581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data!$Z$10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data!$B$11:$B$224</c:f>
              <c:strCache>
                <c:ptCount val="214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</c:strCache>
            </c:strRef>
          </c:cat>
          <c:val>
            <c:numRef>
              <c:f>data!$Z$11:$Z$224</c:f>
              <c:numCache>
                <c:formatCode>#,##0</c:formatCode>
                <c:ptCount val="214"/>
                <c:pt idx="0">
                  <c:v>2.4300000000000068</c:v>
                </c:pt>
                <c:pt idx="1">
                  <c:v>673.80000000000109</c:v>
                </c:pt>
                <c:pt idx="2">
                  <c:v>0</c:v>
                </c:pt>
                <c:pt idx="3">
                  <c:v>252</c:v>
                </c:pt>
                <c:pt idx="4">
                  <c:v>30.5300000000002</c:v>
                </c:pt>
                <c:pt idx="5">
                  <c:v>33.379999999999882</c:v>
                </c:pt>
                <c:pt idx="6">
                  <c:v>5.8400000000001455</c:v>
                </c:pt>
                <c:pt idx="7">
                  <c:v>1.5</c:v>
                </c:pt>
                <c:pt idx="8">
                  <c:v>1</c:v>
                </c:pt>
                <c:pt idx="9">
                  <c:v>0.42999999999999972</c:v>
                </c:pt>
                <c:pt idx="10">
                  <c:v>188.70000000000005</c:v>
                </c:pt>
                <c:pt idx="11">
                  <c:v>19.009999999999991</c:v>
                </c:pt>
                <c:pt idx="12">
                  <c:v>269.03999999999905</c:v>
                </c:pt>
                <c:pt idx="13">
                  <c:v>9683.8699999999953</c:v>
                </c:pt>
                <c:pt idx="14">
                  <c:v>9.8899999999998727</c:v>
                </c:pt>
                <c:pt idx="15">
                  <c:v>84.990000000000236</c:v>
                </c:pt>
                <c:pt idx="16">
                  <c:v>96</c:v>
                </c:pt>
                <c:pt idx="17">
                  <c:v>417</c:v>
                </c:pt>
                <c:pt idx="18">
                  <c:v>3.5</c:v>
                </c:pt>
                <c:pt idx="19">
                  <c:v>6.5300000000002001</c:v>
                </c:pt>
                <c:pt idx="20">
                  <c:v>0</c:v>
                </c:pt>
                <c:pt idx="21">
                  <c:v>34.289999999999964</c:v>
                </c:pt>
                <c:pt idx="22">
                  <c:v>1</c:v>
                </c:pt>
                <c:pt idx="23">
                  <c:v>2.0500000000000114</c:v>
                </c:pt>
                <c:pt idx="24">
                  <c:v>17</c:v>
                </c:pt>
                <c:pt idx="25">
                  <c:v>870.82000000000335</c:v>
                </c:pt>
                <c:pt idx="26">
                  <c:v>19.320000000000164</c:v>
                </c:pt>
                <c:pt idx="27">
                  <c:v>33.970000000000027</c:v>
                </c:pt>
                <c:pt idx="28">
                  <c:v>547.21999999999753</c:v>
                </c:pt>
                <c:pt idx="29">
                  <c:v>17.190000000000055</c:v>
                </c:pt>
                <c:pt idx="30">
                  <c:v>0</c:v>
                </c:pt>
                <c:pt idx="31">
                  <c:v>1332</c:v>
                </c:pt>
                <c:pt idx="32">
                  <c:v>199.80000000000018</c:v>
                </c:pt>
                <c:pt idx="33">
                  <c:v>14.430000000000064</c:v>
                </c:pt>
                <c:pt idx="34">
                  <c:v>0</c:v>
                </c:pt>
                <c:pt idx="35">
                  <c:v>81.830000000000382</c:v>
                </c:pt>
                <c:pt idx="36">
                  <c:v>1</c:v>
                </c:pt>
                <c:pt idx="37">
                  <c:v>385.96000000000004</c:v>
                </c:pt>
                <c:pt idx="38">
                  <c:v>0</c:v>
                </c:pt>
                <c:pt idx="39">
                  <c:v>38.189999999999941</c:v>
                </c:pt>
                <c:pt idx="40">
                  <c:v>45.400000000000091</c:v>
                </c:pt>
                <c:pt idx="41">
                  <c:v>6.0699999999999932</c:v>
                </c:pt>
                <c:pt idx="42">
                  <c:v>0</c:v>
                </c:pt>
                <c:pt idx="43">
                  <c:v>-1.5100000000002183</c:v>
                </c:pt>
                <c:pt idx="44">
                  <c:v>91</c:v>
                </c:pt>
                <c:pt idx="45">
                  <c:v>11.899999999999977</c:v>
                </c:pt>
                <c:pt idx="46">
                  <c:v>167</c:v>
                </c:pt>
                <c:pt idx="47">
                  <c:v>96</c:v>
                </c:pt>
                <c:pt idx="48">
                  <c:v>2</c:v>
                </c:pt>
                <c:pt idx="49">
                  <c:v>17.990000000000236</c:v>
                </c:pt>
                <c:pt idx="50">
                  <c:v>0</c:v>
                </c:pt>
                <c:pt idx="51">
                  <c:v>0</c:v>
                </c:pt>
                <c:pt idx="52">
                  <c:v>-0.12999999999999545</c:v>
                </c:pt>
                <c:pt idx="53">
                  <c:v>0.14000000000000057</c:v>
                </c:pt>
                <c:pt idx="54">
                  <c:v>0</c:v>
                </c:pt>
                <c:pt idx="55">
                  <c:v>-1.2699999999999996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-12</c:v>
                </c:pt>
                <c:pt idx="60">
                  <c:v>22.129999999999882</c:v>
                </c:pt>
                <c:pt idx="61">
                  <c:v>30.000000000000057</c:v>
                </c:pt>
                <c:pt idx="62">
                  <c:v>1375</c:v>
                </c:pt>
                <c:pt idx="63">
                  <c:v>109</c:v>
                </c:pt>
                <c:pt idx="64">
                  <c:v>-8.6500000000000341</c:v>
                </c:pt>
                <c:pt idx="65">
                  <c:v>7.999999999999996E-2</c:v>
                </c:pt>
                <c:pt idx="66">
                  <c:v>11.009999999999764</c:v>
                </c:pt>
                <c:pt idx="67">
                  <c:v>10.119999999999891</c:v>
                </c:pt>
                <c:pt idx="68">
                  <c:v>3.8399999999999181</c:v>
                </c:pt>
                <c:pt idx="69">
                  <c:v>-0.57000000000005002</c:v>
                </c:pt>
                <c:pt idx="70">
                  <c:v>-205.14000000001397</c:v>
                </c:pt>
                <c:pt idx="71">
                  <c:v>7.6500000000000909</c:v>
                </c:pt>
                <c:pt idx="72">
                  <c:v>-0.5</c:v>
                </c:pt>
                <c:pt idx="73">
                  <c:v>11</c:v>
                </c:pt>
                <c:pt idx="74">
                  <c:v>2.9800000000000182</c:v>
                </c:pt>
                <c:pt idx="75">
                  <c:v>0</c:v>
                </c:pt>
                <c:pt idx="76">
                  <c:v>3.4899999999999949</c:v>
                </c:pt>
                <c:pt idx="77">
                  <c:v>10</c:v>
                </c:pt>
                <c:pt idx="78">
                  <c:v>9.9999999999997868E-3</c:v>
                </c:pt>
                <c:pt idx="79">
                  <c:v>0.19000000000000128</c:v>
                </c:pt>
                <c:pt idx="80">
                  <c:v>39</c:v>
                </c:pt>
                <c:pt idx="81">
                  <c:v>0</c:v>
                </c:pt>
                <c:pt idx="82">
                  <c:v>85.699999999999989</c:v>
                </c:pt>
                <c:pt idx="83">
                  <c:v>38</c:v>
                </c:pt>
                <c:pt idx="84">
                  <c:v>11.800000000000011</c:v>
                </c:pt>
                <c:pt idx="85">
                  <c:v>226.2800000000002</c:v>
                </c:pt>
                <c:pt idx="86">
                  <c:v>0</c:v>
                </c:pt>
                <c:pt idx="87">
                  <c:v>3548.3999999999942</c:v>
                </c:pt>
                <c:pt idx="88">
                  <c:v>0</c:v>
                </c:pt>
                <c:pt idx="89">
                  <c:v>7.1200000000000045</c:v>
                </c:pt>
                <c:pt idx="90">
                  <c:v>-17.22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-0.40999999999996817</c:v>
                </c:pt>
                <c:pt idx="138">
                  <c:v>0</c:v>
                </c:pt>
                <c:pt idx="139">
                  <c:v>-22</c:v>
                </c:pt>
                <c:pt idx="140">
                  <c:v>-5.569999999999709</c:v>
                </c:pt>
                <c:pt idx="141">
                  <c:v>-206.5</c:v>
                </c:pt>
                <c:pt idx="142">
                  <c:v>-27.199999999999989</c:v>
                </c:pt>
                <c:pt idx="143">
                  <c:v>-93</c:v>
                </c:pt>
                <c:pt idx="144">
                  <c:v>-1.0400000000000205</c:v>
                </c:pt>
                <c:pt idx="145">
                  <c:v>5.0000000000000711E-2</c:v>
                </c:pt>
                <c:pt idx="146">
                  <c:v>-4.9399999999998272</c:v>
                </c:pt>
                <c:pt idx="147">
                  <c:v>57.840000000000146</c:v>
                </c:pt>
                <c:pt idx="148">
                  <c:v>-93.930000000000291</c:v>
                </c:pt>
                <c:pt idx="149">
                  <c:v>-2.0000000000000018E-2</c:v>
                </c:pt>
                <c:pt idx="150">
                  <c:v>-62.100000000000136</c:v>
                </c:pt>
                <c:pt idx="151">
                  <c:v>0.67000000000000171</c:v>
                </c:pt>
                <c:pt idx="152">
                  <c:v>-3.6600000000003092</c:v>
                </c:pt>
                <c:pt idx="153">
                  <c:v>0</c:v>
                </c:pt>
                <c:pt idx="154">
                  <c:v>-59.409999999999854</c:v>
                </c:pt>
                <c:pt idx="155">
                  <c:v>-182</c:v>
                </c:pt>
                <c:pt idx="156">
                  <c:v>-15.799999999999955</c:v>
                </c:pt>
                <c:pt idx="157">
                  <c:v>-58.450000000000728</c:v>
                </c:pt>
                <c:pt idx="158">
                  <c:v>60</c:v>
                </c:pt>
                <c:pt idx="159">
                  <c:v>-60</c:v>
                </c:pt>
                <c:pt idx="160">
                  <c:v>-9.0000000000003411E-2</c:v>
                </c:pt>
                <c:pt idx="161">
                  <c:v>-48.190000000000509</c:v>
                </c:pt>
                <c:pt idx="162">
                  <c:v>-154.47000000000116</c:v>
                </c:pt>
                <c:pt idx="163">
                  <c:v>-15.529999999999973</c:v>
                </c:pt>
                <c:pt idx="164">
                  <c:v>-150</c:v>
                </c:pt>
                <c:pt idx="165">
                  <c:v>-16.5</c:v>
                </c:pt>
                <c:pt idx="166">
                  <c:v>-161.13000000000011</c:v>
                </c:pt>
                <c:pt idx="167">
                  <c:v>5</c:v>
                </c:pt>
                <c:pt idx="168">
                  <c:v>0</c:v>
                </c:pt>
                <c:pt idx="169">
                  <c:v>-640</c:v>
                </c:pt>
                <c:pt idx="170">
                  <c:v>-365</c:v>
                </c:pt>
                <c:pt idx="171">
                  <c:v>174.42999999999938</c:v>
                </c:pt>
                <c:pt idx="172">
                  <c:v>-66.090000000000146</c:v>
                </c:pt>
                <c:pt idx="173">
                  <c:v>-1117</c:v>
                </c:pt>
                <c:pt idx="174">
                  <c:v>-612.39999999999418</c:v>
                </c:pt>
                <c:pt idx="175">
                  <c:v>-355.03999999999996</c:v>
                </c:pt>
                <c:pt idx="176">
                  <c:v>-2.1200000000000045</c:v>
                </c:pt>
                <c:pt idx="177">
                  <c:v>-50</c:v>
                </c:pt>
                <c:pt idx="178">
                  <c:v>-871.23999999999796</c:v>
                </c:pt>
                <c:pt idx="179">
                  <c:v>-14.799999999999955</c:v>
                </c:pt>
                <c:pt idx="180">
                  <c:v>-7</c:v>
                </c:pt>
                <c:pt idx="181">
                  <c:v>-0.10999999999999988</c:v>
                </c:pt>
                <c:pt idx="182">
                  <c:v>-855.27000000000407</c:v>
                </c:pt>
                <c:pt idx="183">
                  <c:v>0</c:v>
                </c:pt>
                <c:pt idx="184">
                  <c:v>-940.90000000000146</c:v>
                </c:pt>
                <c:pt idx="185">
                  <c:v>-230.34999999999854</c:v>
                </c:pt>
                <c:pt idx="186">
                  <c:v>-383.75</c:v>
                </c:pt>
                <c:pt idx="187">
                  <c:v>25.200000000000273</c:v>
                </c:pt>
                <c:pt idx="188">
                  <c:v>-180</c:v>
                </c:pt>
                <c:pt idx="189">
                  <c:v>-0.33000000000000007</c:v>
                </c:pt>
                <c:pt idx="190">
                  <c:v>-280</c:v>
                </c:pt>
                <c:pt idx="191">
                  <c:v>516.56999999999971</c:v>
                </c:pt>
                <c:pt idx="192">
                  <c:v>-0.14999999999999858</c:v>
                </c:pt>
                <c:pt idx="193">
                  <c:v>-2.4200000000000159</c:v>
                </c:pt>
                <c:pt idx="194">
                  <c:v>-673.12999999999738</c:v>
                </c:pt>
                <c:pt idx="195">
                  <c:v>-57.079999999999927</c:v>
                </c:pt>
                <c:pt idx="196">
                  <c:v>-816.52999999999884</c:v>
                </c:pt>
                <c:pt idx="197">
                  <c:v>-172.5</c:v>
                </c:pt>
                <c:pt idx="198">
                  <c:v>-250.10000000000036</c:v>
                </c:pt>
                <c:pt idx="199">
                  <c:v>-111.64000000000033</c:v>
                </c:pt>
                <c:pt idx="200">
                  <c:v>-206.26000000000022</c:v>
                </c:pt>
                <c:pt idx="201">
                  <c:v>0</c:v>
                </c:pt>
                <c:pt idx="202">
                  <c:v>-591.5</c:v>
                </c:pt>
                <c:pt idx="203">
                  <c:v>-200</c:v>
                </c:pt>
                <c:pt idx="204">
                  <c:v>-1058.7900000000009</c:v>
                </c:pt>
                <c:pt idx="205">
                  <c:v>-22.5</c:v>
                </c:pt>
                <c:pt idx="206">
                  <c:v>-822</c:v>
                </c:pt>
                <c:pt idx="207">
                  <c:v>-3.1000000000000014</c:v>
                </c:pt>
                <c:pt idx="208">
                  <c:v>-2.1899999999999977</c:v>
                </c:pt>
                <c:pt idx="209">
                  <c:v>-106.15000000000055</c:v>
                </c:pt>
                <c:pt idx="210">
                  <c:v>-98.629999999999654</c:v>
                </c:pt>
                <c:pt idx="211">
                  <c:v>-1032.1399999999994</c:v>
                </c:pt>
                <c:pt idx="212">
                  <c:v>-62.490000000000691</c:v>
                </c:pt>
                <c:pt idx="213">
                  <c:v>-209.01000000000022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2E-8D4D-83E6-2DD4CEC5AED5}"/>
            </c:ext>
          </c:extLst>
        </c:ser>
        <c:ser>
          <c:idx val="3"/>
          <c:order val="3"/>
          <c:tx>
            <c:strRef>
              <c:f>data!$AA$10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data!$B$11:$B$224</c:f>
              <c:strCache>
                <c:ptCount val="214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</c:strCache>
            </c:strRef>
          </c:cat>
          <c:val>
            <c:numRef>
              <c:f>data!$AA$11:$AA$224</c:f>
              <c:numCache>
                <c:formatCode>#,##0</c:formatCode>
                <c:ptCount val="214"/>
                <c:pt idx="0">
                  <c:v>2.4499999999999886</c:v>
                </c:pt>
                <c:pt idx="1">
                  <c:v>581.22999999999956</c:v>
                </c:pt>
                <c:pt idx="2">
                  <c:v>0</c:v>
                </c:pt>
                <c:pt idx="3">
                  <c:v>58</c:v>
                </c:pt>
                <c:pt idx="4">
                  <c:v>40.449999999999818</c:v>
                </c:pt>
                <c:pt idx="5">
                  <c:v>33.400000000000091</c:v>
                </c:pt>
                <c:pt idx="6">
                  <c:v>20.989999999997963</c:v>
                </c:pt>
                <c:pt idx="7">
                  <c:v>1.5</c:v>
                </c:pt>
                <c:pt idx="8">
                  <c:v>3</c:v>
                </c:pt>
                <c:pt idx="9">
                  <c:v>0.4199999999999946</c:v>
                </c:pt>
                <c:pt idx="10">
                  <c:v>111</c:v>
                </c:pt>
                <c:pt idx="11">
                  <c:v>19.42999999999995</c:v>
                </c:pt>
                <c:pt idx="12">
                  <c:v>269.04999999999927</c:v>
                </c:pt>
                <c:pt idx="13">
                  <c:v>9683.929999999993</c:v>
                </c:pt>
                <c:pt idx="14">
                  <c:v>9.9000000000000909</c:v>
                </c:pt>
                <c:pt idx="15">
                  <c:v>17.389999999999873</c:v>
                </c:pt>
                <c:pt idx="16">
                  <c:v>60</c:v>
                </c:pt>
                <c:pt idx="17">
                  <c:v>417</c:v>
                </c:pt>
                <c:pt idx="18">
                  <c:v>134.10000000000036</c:v>
                </c:pt>
                <c:pt idx="19">
                  <c:v>3.1199999999998909</c:v>
                </c:pt>
                <c:pt idx="20">
                  <c:v>0</c:v>
                </c:pt>
                <c:pt idx="21">
                  <c:v>27.350000000000023</c:v>
                </c:pt>
                <c:pt idx="22">
                  <c:v>1</c:v>
                </c:pt>
                <c:pt idx="23">
                  <c:v>2.3999999999999915</c:v>
                </c:pt>
                <c:pt idx="24">
                  <c:v>14</c:v>
                </c:pt>
                <c:pt idx="25">
                  <c:v>614.61999999999898</c:v>
                </c:pt>
                <c:pt idx="26">
                  <c:v>19.349999999999909</c:v>
                </c:pt>
                <c:pt idx="27">
                  <c:v>7.0900000000000318</c:v>
                </c:pt>
                <c:pt idx="28">
                  <c:v>590.06000000000131</c:v>
                </c:pt>
                <c:pt idx="29">
                  <c:v>17.199999999999818</c:v>
                </c:pt>
                <c:pt idx="30">
                  <c:v>0</c:v>
                </c:pt>
                <c:pt idx="31">
                  <c:v>1332</c:v>
                </c:pt>
                <c:pt idx="32">
                  <c:v>140.25999999999976</c:v>
                </c:pt>
                <c:pt idx="33">
                  <c:v>-7.8099999999999454</c:v>
                </c:pt>
                <c:pt idx="34">
                  <c:v>0</c:v>
                </c:pt>
                <c:pt idx="35">
                  <c:v>81.839999999999691</c:v>
                </c:pt>
                <c:pt idx="36">
                  <c:v>-10.170000000000073</c:v>
                </c:pt>
                <c:pt idx="37">
                  <c:v>28.090000000000146</c:v>
                </c:pt>
                <c:pt idx="38">
                  <c:v>0</c:v>
                </c:pt>
                <c:pt idx="39">
                  <c:v>3.7600000000001046</c:v>
                </c:pt>
                <c:pt idx="40">
                  <c:v>53.879999999999882</c:v>
                </c:pt>
                <c:pt idx="41">
                  <c:v>6.0600000000000023</c:v>
                </c:pt>
                <c:pt idx="42">
                  <c:v>0</c:v>
                </c:pt>
                <c:pt idx="43">
                  <c:v>45.979999999999563</c:v>
                </c:pt>
                <c:pt idx="44">
                  <c:v>63</c:v>
                </c:pt>
                <c:pt idx="45">
                  <c:v>0.10000000000002274</c:v>
                </c:pt>
                <c:pt idx="46">
                  <c:v>0</c:v>
                </c:pt>
                <c:pt idx="47">
                  <c:v>35</c:v>
                </c:pt>
                <c:pt idx="48">
                  <c:v>17.1099999999999</c:v>
                </c:pt>
                <c:pt idx="49">
                  <c:v>17.960000000000036</c:v>
                </c:pt>
                <c:pt idx="50">
                  <c:v>0</c:v>
                </c:pt>
                <c:pt idx="51">
                  <c:v>0</c:v>
                </c:pt>
                <c:pt idx="52">
                  <c:v>-0.18000000000000682</c:v>
                </c:pt>
                <c:pt idx="53">
                  <c:v>0.15000000000000568</c:v>
                </c:pt>
                <c:pt idx="54">
                  <c:v>0</c:v>
                </c:pt>
                <c:pt idx="55">
                  <c:v>-0.89999999999999858</c:v>
                </c:pt>
                <c:pt idx="56">
                  <c:v>59.890000000001237</c:v>
                </c:pt>
                <c:pt idx="57">
                  <c:v>0</c:v>
                </c:pt>
                <c:pt idx="58">
                  <c:v>0</c:v>
                </c:pt>
                <c:pt idx="59">
                  <c:v>-188</c:v>
                </c:pt>
                <c:pt idx="60">
                  <c:v>63.570000000000164</c:v>
                </c:pt>
                <c:pt idx="61">
                  <c:v>0</c:v>
                </c:pt>
                <c:pt idx="62">
                  <c:v>-300</c:v>
                </c:pt>
                <c:pt idx="63">
                  <c:v>33</c:v>
                </c:pt>
                <c:pt idx="64">
                  <c:v>4.6700000000000159</c:v>
                </c:pt>
                <c:pt idx="65">
                  <c:v>9.9999999999999978E-2</c:v>
                </c:pt>
                <c:pt idx="66">
                  <c:v>8.7000000000002728</c:v>
                </c:pt>
                <c:pt idx="67">
                  <c:v>57.800000000000182</c:v>
                </c:pt>
                <c:pt idx="68">
                  <c:v>4.1500000000000909</c:v>
                </c:pt>
                <c:pt idx="69">
                  <c:v>0</c:v>
                </c:pt>
                <c:pt idx="70">
                  <c:v>381.14000000001397</c:v>
                </c:pt>
                <c:pt idx="71">
                  <c:v>7.6499999999999773</c:v>
                </c:pt>
                <c:pt idx="72">
                  <c:v>-0.5</c:v>
                </c:pt>
                <c:pt idx="73">
                  <c:v>-25</c:v>
                </c:pt>
                <c:pt idx="74">
                  <c:v>3</c:v>
                </c:pt>
                <c:pt idx="75">
                  <c:v>0.11000000000000004</c:v>
                </c:pt>
                <c:pt idx="76">
                  <c:v>3.1900000000000048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39</c:v>
                </c:pt>
                <c:pt idx="81">
                  <c:v>0</c:v>
                </c:pt>
                <c:pt idx="82">
                  <c:v>0</c:v>
                </c:pt>
                <c:pt idx="83">
                  <c:v>-7</c:v>
                </c:pt>
                <c:pt idx="84">
                  <c:v>2</c:v>
                </c:pt>
                <c:pt idx="85">
                  <c:v>146.2199999999998</c:v>
                </c:pt>
                <c:pt idx="86">
                  <c:v>0</c:v>
                </c:pt>
                <c:pt idx="87">
                  <c:v>910.60000000000582</c:v>
                </c:pt>
                <c:pt idx="88">
                  <c:v>0.20000000000000018</c:v>
                </c:pt>
                <c:pt idx="89">
                  <c:v>-0.29000000000007731</c:v>
                </c:pt>
                <c:pt idx="90">
                  <c:v>-3.4400000000000048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0.37000000000000455</c:v>
                </c:pt>
                <c:pt idx="138">
                  <c:v>-0.5</c:v>
                </c:pt>
                <c:pt idx="139">
                  <c:v>-9</c:v>
                </c:pt>
                <c:pt idx="140">
                  <c:v>-5.5499999999992724</c:v>
                </c:pt>
                <c:pt idx="141">
                  <c:v>-187.61000000004424</c:v>
                </c:pt>
                <c:pt idx="142">
                  <c:v>-27.240000000000009</c:v>
                </c:pt>
                <c:pt idx="143">
                  <c:v>0</c:v>
                </c:pt>
                <c:pt idx="144">
                  <c:v>-1.0499999999999545</c:v>
                </c:pt>
                <c:pt idx="145">
                  <c:v>5.0000000000000711E-2</c:v>
                </c:pt>
                <c:pt idx="146">
                  <c:v>0</c:v>
                </c:pt>
                <c:pt idx="147">
                  <c:v>27.409999999999854</c:v>
                </c:pt>
                <c:pt idx="148">
                  <c:v>88.680000000000291</c:v>
                </c:pt>
                <c:pt idx="149">
                  <c:v>0</c:v>
                </c:pt>
                <c:pt idx="150">
                  <c:v>-62.099999999999909</c:v>
                </c:pt>
                <c:pt idx="151">
                  <c:v>-0.29999999999999716</c:v>
                </c:pt>
                <c:pt idx="152">
                  <c:v>-3.6500000000000909</c:v>
                </c:pt>
                <c:pt idx="153">
                  <c:v>0</c:v>
                </c:pt>
                <c:pt idx="154">
                  <c:v>-59.400000000001455</c:v>
                </c:pt>
                <c:pt idx="155">
                  <c:v>-182</c:v>
                </c:pt>
                <c:pt idx="156">
                  <c:v>-15.799999999999955</c:v>
                </c:pt>
                <c:pt idx="157">
                  <c:v>-46.020000000000437</c:v>
                </c:pt>
                <c:pt idx="158">
                  <c:v>0</c:v>
                </c:pt>
                <c:pt idx="159">
                  <c:v>-69</c:v>
                </c:pt>
                <c:pt idx="160">
                  <c:v>0.47000000000000597</c:v>
                </c:pt>
                <c:pt idx="161">
                  <c:v>-55.3799999999992</c:v>
                </c:pt>
                <c:pt idx="162">
                  <c:v>-168.65999999999622</c:v>
                </c:pt>
                <c:pt idx="163">
                  <c:v>-15.550000000000011</c:v>
                </c:pt>
                <c:pt idx="164">
                  <c:v>-150</c:v>
                </c:pt>
                <c:pt idx="165">
                  <c:v>-17.149999999999636</c:v>
                </c:pt>
                <c:pt idx="166">
                  <c:v>-206.69999999999982</c:v>
                </c:pt>
                <c:pt idx="167">
                  <c:v>6</c:v>
                </c:pt>
                <c:pt idx="168">
                  <c:v>0</c:v>
                </c:pt>
                <c:pt idx="169">
                  <c:v>-577</c:v>
                </c:pt>
                <c:pt idx="170">
                  <c:v>-365</c:v>
                </c:pt>
                <c:pt idx="171">
                  <c:v>174.44000000000051</c:v>
                </c:pt>
                <c:pt idx="172">
                  <c:v>-66.079999999999927</c:v>
                </c:pt>
                <c:pt idx="173">
                  <c:v>-524</c:v>
                </c:pt>
                <c:pt idx="174">
                  <c:v>-638.83000000000175</c:v>
                </c:pt>
                <c:pt idx="175">
                  <c:v>-355.05000000000018</c:v>
                </c:pt>
                <c:pt idx="176">
                  <c:v>-2.0999999999999943</c:v>
                </c:pt>
                <c:pt idx="177">
                  <c:v>-50</c:v>
                </c:pt>
                <c:pt idx="178">
                  <c:v>-850.38000000000102</c:v>
                </c:pt>
                <c:pt idx="179">
                  <c:v>-14.799999999999955</c:v>
                </c:pt>
                <c:pt idx="180">
                  <c:v>-7</c:v>
                </c:pt>
                <c:pt idx="181">
                  <c:v>-0.1100000000000001</c:v>
                </c:pt>
                <c:pt idx="182">
                  <c:v>-864.16000000000349</c:v>
                </c:pt>
                <c:pt idx="183">
                  <c:v>0</c:v>
                </c:pt>
                <c:pt idx="184">
                  <c:v>-941.06999999999971</c:v>
                </c:pt>
                <c:pt idx="185">
                  <c:v>-230.34999999999854</c:v>
                </c:pt>
                <c:pt idx="186">
                  <c:v>-383.75</c:v>
                </c:pt>
                <c:pt idx="187">
                  <c:v>-15.800000000000182</c:v>
                </c:pt>
                <c:pt idx="188">
                  <c:v>-200</c:v>
                </c:pt>
                <c:pt idx="189">
                  <c:v>-0.33000000000000007</c:v>
                </c:pt>
                <c:pt idx="190">
                  <c:v>-280</c:v>
                </c:pt>
                <c:pt idx="191">
                  <c:v>-350.18000000000029</c:v>
                </c:pt>
                <c:pt idx="192">
                  <c:v>-0.15000000000000213</c:v>
                </c:pt>
                <c:pt idx="193">
                  <c:v>-2.4000000000000057</c:v>
                </c:pt>
                <c:pt idx="194">
                  <c:v>-992.75</c:v>
                </c:pt>
                <c:pt idx="195">
                  <c:v>-57.069999999999709</c:v>
                </c:pt>
                <c:pt idx="196">
                  <c:v>-816.5</c:v>
                </c:pt>
                <c:pt idx="197">
                  <c:v>-172.5</c:v>
                </c:pt>
                <c:pt idx="198">
                  <c:v>-250</c:v>
                </c:pt>
                <c:pt idx="199">
                  <c:v>-104.56999999999971</c:v>
                </c:pt>
                <c:pt idx="200">
                  <c:v>-206.25999999999976</c:v>
                </c:pt>
                <c:pt idx="201">
                  <c:v>0</c:v>
                </c:pt>
                <c:pt idx="202">
                  <c:v>-591.5</c:v>
                </c:pt>
                <c:pt idx="203">
                  <c:v>-200</c:v>
                </c:pt>
                <c:pt idx="204">
                  <c:v>-1193.4599999999991</c:v>
                </c:pt>
                <c:pt idx="205">
                  <c:v>-22.5</c:v>
                </c:pt>
                <c:pt idx="206">
                  <c:v>-452.09999999999854</c:v>
                </c:pt>
                <c:pt idx="207">
                  <c:v>-3.1000000000000014</c:v>
                </c:pt>
                <c:pt idx="208">
                  <c:v>-2.1899999999999977</c:v>
                </c:pt>
                <c:pt idx="209">
                  <c:v>-106.14999999999964</c:v>
                </c:pt>
                <c:pt idx="210">
                  <c:v>-98.650000000000091</c:v>
                </c:pt>
                <c:pt idx="211">
                  <c:v>-1196.239999999998</c:v>
                </c:pt>
                <c:pt idx="212">
                  <c:v>105.27000000000044</c:v>
                </c:pt>
                <c:pt idx="213">
                  <c:v>-321.35000000000036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2E-8D4D-83E6-2DD4CEC5A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727584"/>
        <c:axId val="1010740176"/>
      </c:barChart>
      <c:barChart>
        <c:barDir val="col"/>
        <c:grouping val="clustered"/>
        <c:varyColors val="0"/>
        <c:ser>
          <c:idx val="0"/>
          <c:order val="0"/>
          <c:tx>
            <c:strRef>
              <c:f>data!$X$10</c:f>
              <c:strCache>
                <c:ptCount val="1"/>
                <c:pt idx="0">
                  <c:v>1990-2000</c:v>
                </c:pt>
              </c:strCache>
            </c:strRef>
          </c:tx>
          <c:spPr>
            <a:solidFill>
              <a:srgbClr val="FF756D"/>
            </a:solidFill>
            <a:ln>
              <a:noFill/>
            </a:ln>
            <a:effectLst/>
          </c:spPr>
          <c:invertIfNegative val="0"/>
          <c:cat>
            <c:strRef>
              <c:f>data!$B$11:$B$246</c:f>
              <c:strCache>
                <c:ptCount val="236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  <c:pt idx="214">
                  <c:v>Equatorial Guinea</c:v>
                </c:pt>
                <c:pt idx="215">
                  <c:v>Guinea-Bissau</c:v>
                </c:pt>
                <c:pt idx="216">
                  <c:v>Liberia</c:v>
                </c:pt>
                <c:pt idx="217">
                  <c:v>Montserrat</c:v>
                </c:pt>
                <c:pt idx="218">
                  <c:v>Angola</c:v>
                </c:pt>
                <c:pt idx="219">
                  <c:v>Democratic Republic of the Congo</c:v>
                </c:pt>
                <c:pt idx="220">
                  <c:v>Brazil</c:v>
                </c:pt>
                <c:pt idx="221">
                  <c:v>Guatemala</c:v>
                </c:pt>
                <c:pt idx="222">
                  <c:v>United Republic of Tanzania</c:v>
                </c:pt>
                <c:pt idx="223">
                  <c:v>United States Virgin Islands</c:v>
                </c:pt>
                <c:pt idx="224">
                  <c:v>Malawi</c:v>
                </c:pt>
                <c:pt idx="225">
                  <c:v>Indonesia</c:v>
                </c:pt>
                <c:pt idx="226">
                  <c:v>Mayotte</c:v>
                </c:pt>
                <c:pt idx="227">
                  <c:v>Belize</c:v>
                </c:pt>
                <c:pt idx="228">
                  <c:v>Benin</c:v>
                </c:pt>
                <c:pt idx="229">
                  <c:v>Côte d’Ivoire</c:v>
                </c:pt>
                <c:pt idx="230">
                  <c:v>Myanmar</c:v>
                </c:pt>
                <c:pt idx="231">
                  <c:v>Cambodia</c:v>
                </c:pt>
                <c:pt idx="232">
                  <c:v>Gambia</c:v>
                </c:pt>
                <c:pt idx="233">
                  <c:v>Northern Mariana Islands</c:v>
                </c:pt>
                <c:pt idx="234">
                  <c:v>Paraguay</c:v>
                </c:pt>
                <c:pt idx="235">
                  <c:v>Nicaragua</c:v>
                </c:pt>
              </c:strCache>
            </c:strRef>
          </c:cat>
          <c:val>
            <c:numRef>
              <c:f>data!$X$11:$X$246</c:f>
              <c:numCache>
                <c:formatCode>#,##0</c:formatCode>
                <c:ptCount val="236"/>
                <c:pt idx="0">
                  <c:v>108.82</c:v>
                </c:pt>
                <c:pt idx="1">
                  <c:v>2408.1400000000012</c:v>
                </c:pt>
                <c:pt idx="2">
                  <c:v>0</c:v>
                </c:pt>
                <c:pt idx="3">
                  <c:v>377</c:v>
                </c:pt>
                <c:pt idx="4">
                  <c:v>377.57999999999993</c:v>
                </c:pt>
                <c:pt idx="5">
                  <c:v>66.779999999999973</c:v>
                </c:pt>
                <c:pt idx="6">
                  <c:v>3189.2700000000004</c:v>
                </c:pt>
                <c:pt idx="7">
                  <c:v>24.339999999999996</c:v>
                </c:pt>
                <c:pt idx="8">
                  <c:v>0</c:v>
                </c:pt>
                <c:pt idx="9">
                  <c:v>1.4299999999999997</c:v>
                </c:pt>
                <c:pt idx="10">
                  <c:v>571</c:v>
                </c:pt>
                <c:pt idx="11">
                  <c:v>-0.27999999999997272</c:v>
                </c:pt>
                <c:pt idx="12">
                  <c:v>779.5</c:v>
                </c:pt>
                <c:pt idx="13">
                  <c:v>19859.959999999992</c:v>
                </c:pt>
                <c:pt idx="14">
                  <c:v>99.2800000000002</c:v>
                </c:pt>
                <c:pt idx="15">
                  <c:v>32.989999999999782</c:v>
                </c:pt>
                <c:pt idx="16">
                  <c:v>48</c:v>
                </c:pt>
                <c:pt idx="17">
                  <c:v>852</c:v>
                </c:pt>
                <c:pt idx="18">
                  <c:v>493</c:v>
                </c:pt>
                <c:pt idx="19">
                  <c:v>147</c:v>
                </c:pt>
                <c:pt idx="20">
                  <c:v>301.67999999999984</c:v>
                </c:pt>
                <c:pt idx="21">
                  <c:v>168.72000000000003</c:v>
                </c:pt>
                <c:pt idx="22">
                  <c:v>0.89999999999999858</c:v>
                </c:pt>
                <c:pt idx="23">
                  <c:v>3.019999999999996</c:v>
                </c:pt>
                <c:pt idx="24">
                  <c:v>75</c:v>
                </c:pt>
                <c:pt idx="25">
                  <c:v>571.01000000000022</c:v>
                </c:pt>
                <c:pt idx="26">
                  <c:v>68</c:v>
                </c:pt>
                <c:pt idx="27">
                  <c:v>45.549999999999955</c:v>
                </c:pt>
                <c:pt idx="28">
                  <c:v>364.86999999999898</c:v>
                </c:pt>
                <c:pt idx="29">
                  <c:v>42.680000000000064</c:v>
                </c:pt>
                <c:pt idx="30">
                  <c:v>0.66000000000000014</c:v>
                </c:pt>
                <c:pt idx="31">
                  <c:v>3653</c:v>
                </c:pt>
                <c:pt idx="32">
                  <c:v>412.09000000000015</c:v>
                </c:pt>
                <c:pt idx="33">
                  <c:v>107.26999999999998</c:v>
                </c:pt>
                <c:pt idx="34">
                  <c:v>1</c:v>
                </c:pt>
                <c:pt idx="35">
                  <c:v>-50.180000000000291</c:v>
                </c:pt>
                <c:pt idx="36">
                  <c:v>45</c:v>
                </c:pt>
                <c:pt idx="37">
                  <c:v>-5</c:v>
                </c:pt>
                <c:pt idx="38">
                  <c:v>0</c:v>
                </c:pt>
                <c:pt idx="39">
                  <c:v>40.159999999999968</c:v>
                </c:pt>
                <c:pt idx="40">
                  <c:v>42.480000000000018</c:v>
                </c:pt>
                <c:pt idx="41">
                  <c:v>12.139999999999986</c:v>
                </c:pt>
                <c:pt idx="42">
                  <c:v>108.76000000000022</c:v>
                </c:pt>
                <c:pt idx="43">
                  <c:v>478.17000000000007</c:v>
                </c:pt>
                <c:pt idx="44">
                  <c:v>177</c:v>
                </c:pt>
                <c:pt idx="45">
                  <c:v>19</c:v>
                </c:pt>
                <c:pt idx="46">
                  <c:v>570.30999999999767</c:v>
                </c:pt>
                <c:pt idx="47">
                  <c:v>176</c:v>
                </c:pt>
                <c:pt idx="48">
                  <c:v>35</c:v>
                </c:pt>
                <c:pt idx="49">
                  <c:v>62.4699999999998</c:v>
                </c:pt>
                <c:pt idx="50">
                  <c:v>4.1200000000000045</c:v>
                </c:pt>
                <c:pt idx="51">
                  <c:v>0.20000000000000018</c:v>
                </c:pt>
                <c:pt idx="52">
                  <c:v>10.5</c:v>
                </c:pt>
                <c:pt idx="53">
                  <c:v>0.28000000000000114</c:v>
                </c:pt>
                <c:pt idx="54">
                  <c:v>0.90000000000000568</c:v>
                </c:pt>
                <c:pt idx="55">
                  <c:v>2.1800000000000015</c:v>
                </c:pt>
                <c:pt idx="56">
                  <c:v>249.60000000000036</c:v>
                </c:pt>
                <c:pt idx="57">
                  <c:v>64.430000000000007</c:v>
                </c:pt>
                <c:pt idx="58">
                  <c:v>8.2999999999997272</c:v>
                </c:pt>
                <c:pt idx="59">
                  <c:v>-363</c:v>
                </c:pt>
                <c:pt idx="60">
                  <c:v>44.480000000000018</c:v>
                </c:pt>
                <c:pt idx="61">
                  <c:v>60</c:v>
                </c:pt>
                <c:pt idx="62">
                  <c:v>1086</c:v>
                </c:pt>
                <c:pt idx="63">
                  <c:v>236</c:v>
                </c:pt>
                <c:pt idx="64">
                  <c:v>14.170000000000016</c:v>
                </c:pt>
                <c:pt idx="65">
                  <c:v>0.15</c:v>
                </c:pt>
                <c:pt idx="66">
                  <c:v>7.8699999999998909</c:v>
                </c:pt>
                <c:pt idx="67">
                  <c:v>21.25</c:v>
                </c:pt>
                <c:pt idx="68">
                  <c:v>-1.0699999999999363</c:v>
                </c:pt>
                <c:pt idx="69">
                  <c:v>-10.100000000000023</c:v>
                </c:pt>
                <c:pt idx="70">
                  <c:v>318.59999999997672</c:v>
                </c:pt>
                <c:pt idx="71">
                  <c:v>23.870000000000005</c:v>
                </c:pt>
                <c:pt idx="72">
                  <c:v>6.7200000000000273</c:v>
                </c:pt>
                <c:pt idx="73">
                  <c:v>21</c:v>
                </c:pt>
                <c:pt idx="74">
                  <c:v>-1.5199999999999818</c:v>
                </c:pt>
                <c:pt idx="75">
                  <c:v>0</c:v>
                </c:pt>
                <c:pt idx="76">
                  <c:v>12.759999999999998</c:v>
                </c:pt>
                <c:pt idx="77">
                  <c:v>54</c:v>
                </c:pt>
                <c:pt idx="78">
                  <c:v>9.9999999999997868E-3</c:v>
                </c:pt>
                <c:pt idx="79">
                  <c:v>0</c:v>
                </c:pt>
                <c:pt idx="80">
                  <c:v>-19</c:v>
                </c:pt>
                <c:pt idx="81">
                  <c:v>1.3999999999999995</c:v>
                </c:pt>
                <c:pt idx="82">
                  <c:v>-82.54000000000002</c:v>
                </c:pt>
                <c:pt idx="83">
                  <c:v>-88</c:v>
                </c:pt>
                <c:pt idx="84">
                  <c:v>2</c:v>
                </c:pt>
                <c:pt idx="85">
                  <c:v>-5.3099999999999454</c:v>
                </c:pt>
                <c:pt idx="86">
                  <c:v>14</c:v>
                </c:pt>
                <c:pt idx="87">
                  <c:v>-2068.1000000000058</c:v>
                </c:pt>
                <c:pt idx="88">
                  <c:v>0</c:v>
                </c:pt>
                <c:pt idx="89">
                  <c:v>-19.5</c:v>
                </c:pt>
                <c:pt idx="90">
                  <c:v>15.399999999999999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4.2099999999999227</c:v>
                </c:pt>
                <c:pt idx="138">
                  <c:v>0</c:v>
                </c:pt>
                <c:pt idx="139">
                  <c:v>-74</c:v>
                </c:pt>
                <c:pt idx="140">
                  <c:v>-88.100000000000364</c:v>
                </c:pt>
                <c:pt idx="141">
                  <c:v>-470.96000000002095</c:v>
                </c:pt>
                <c:pt idx="142">
                  <c:v>-54.400000000000034</c:v>
                </c:pt>
                <c:pt idx="143">
                  <c:v>100</c:v>
                </c:pt>
                <c:pt idx="144">
                  <c:v>-2.0900000000000318</c:v>
                </c:pt>
                <c:pt idx="145">
                  <c:v>-0.10000000000000142</c:v>
                </c:pt>
                <c:pt idx="146">
                  <c:v>0</c:v>
                </c:pt>
                <c:pt idx="147">
                  <c:v>-98.349999999999909</c:v>
                </c:pt>
                <c:pt idx="148">
                  <c:v>102.65000000000009</c:v>
                </c:pt>
                <c:pt idx="149">
                  <c:v>-4.0000000000000036E-2</c:v>
                </c:pt>
                <c:pt idx="150">
                  <c:v>-616.90000000000009</c:v>
                </c:pt>
                <c:pt idx="151">
                  <c:v>-0.90000000000000568</c:v>
                </c:pt>
                <c:pt idx="152">
                  <c:v>-7.3099999999999454</c:v>
                </c:pt>
                <c:pt idx="153">
                  <c:v>-0.25999999999999801</c:v>
                </c:pt>
                <c:pt idx="154">
                  <c:v>-61.619999999998981</c:v>
                </c:pt>
                <c:pt idx="155">
                  <c:v>-364</c:v>
                </c:pt>
                <c:pt idx="156">
                  <c:v>-31.599999999999909</c:v>
                </c:pt>
                <c:pt idx="157">
                  <c:v>-37.930000000000291</c:v>
                </c:pt>
                <c:pt idx="158">
                  <c:v>-118</c:v>
                </c:pt>
                <c:pt idx="159">
                  <c:v>-120</c:v>
                </c:pt>
                <c:pt idx="160">
                  <c:v>0.85999999999999943</c:v>
                </c:pt>
                <c:pt idx="161">
                  <c:v>-36.759999999998399</c:v>
                </c:pt>
                <c:pt idx="162">
                  <c:v>-121.70999999999913</c:v>
                </c:pt>
                <c:pt idx="163">
                  <c:v>-2.2700000000000387</c:v>
                </c:pt>
                <c:pt idx="164">
                  <c:v>-300</c:v>
                </c:pt>
                <c:pt idx="165">
                  <c:v>-45.5600000000004</c:v>
                </c:pt>
                <c:pt idx="166">
                  <c:v>-475.52999999999975</c:v>
                </c:pt>
                <c:pt idx="167">
                  <c:v>-30</c:v>
                </c:pt>
                <c:pt idx="168">
                  <c:v>-0.20000000000000107</c:v>
                </c:pt>
                <c:pt idx="169">
                  <c:v>-377</c:v>
                </c:pt>
                <c:pt idx="170">
                  <c:v>-730</c:v>
                </c:pt>
                <c:pt idx="171">
                  <c:v>-469.55000000000018</c:v>
                </c:pt>
                <c:pt idx="172">
                  <c:v>-662.78000000000065</c:v>
                </c:pt>
                <c:pt idx="173">
                  <c:v>-1826</c:v>
                </c:pt>
                <c:pt idx="174">
                  <c:v>-2210.2999999999884</c:v>
                </c:pt>
                <c:pt idx="175">
                  <c:v>-710.09000000000015</c:v>
                </c:pt>
                <c:pt idx="176">
                  <c:v>-5.4099999999999966</c:v>
                </c:pt>
                <c:pt idx="177">
                  <c:v>-75</c:v>
                </c:pt>
                <c:pt idx="178">
                  <c:v>-1744.1500000000015</c:v>
                </c:pt>
                <c:pt idx="179">
                  <c:v>-93.200000000000045</c:v>
                </c:pt>
                <c:pt idx="180">
                  <c:v>-14</c:v>
                </c:pt>
                <c:pt idx="181">
                  <c:v>-0.22999999999999998</c:v>
                </c:pt>
                <c:pt idx="182">
                  <c:v>-1150.7099999999919</c:v>
                </c:pt>
                <c:pt idx="183">
                  <c:v>-2.4400000000000048</c:v>
                </c:pt>
                <c:pt idx="184">
                  <c:v>-358</c:v>
                </c:pt>
                <c:pt idx="185">
                  <c:v>-460.70000000000073</c:v>
                </c:pt>
                <c:pt idx="186">
                  <c:v>-767.5</c:v>
                </c:pt>
                <c:pt idx="187">
                  <c:v>-183.90999999999985</c:v>
                </c:pt>
                <c:pt idx="188">
                  <c:v>-347</c:v>
                </c:pt>
                <c:pt idx="189">
                  <c:v>-0.66000000000000014</c:v>
                </c:pt>
                <c:pt idx="190">
                  <c:v>-902.5099999999984</c:v>
                </c:pt>
                <c:pt idx="191">
                  <c:v>-927.15000000000146</c:v>
                </c:pt>
                <c:pt idx="192">
                  <c:v>-0.33999999999999986</c:v>
                </c:pt>
                <c:pt idx="193">
                  <c:v>-4.8199999999999932</c:v>
                </c:pt>
                <c:pt idx="194">
                  <c:v>-2222.6399999999994</c:v>
                </c:pt>
                <c:pt idx="195">
                  <c:v>-165.25999999999931</c:v>
                </c:pt>
                <c:pt idx="196">
                  <c:v>-1633.0499999999993</c:v>
                </c:pt>
                <c:pt idx="197">
                  <c:v>-418</c:v>
                </c:pt>
                <c:pt idx="198">
                  <c:v>-500.10000000000036</c:v>
                </c:pt>
                <c:pt idx="199">
                  <c:v>-209.50999999999931</c:v>
                </c:pt>
                <c:pt idx="200">
                  <c:v>-412.52</c:v>
                </c:pt>
                <c:pt idx="201">
                  <c:v>-16</c:v>
                </c:pt>
                <c:pt idx="202">
                  <c:v>-1183</c:v>
                </c:pt>
                <c:pt idx="203">
                  <c:v>-450</c:v>
                </c:pt>
                <c:pt idx="204">
                  <c:v>-2703.3300000000017</c:v>
                </c:pt>
                <c:pt idx="205">
                  <c:v>-45</c:v>
                </c:pt>
                <c:pt idx="206">
                  <c:v>-2875</c:v>
                </c:pt>
                <c:pt idx="207">
                  <c:v>-0.25999999999999801</c:v>
                </c:pt>
                <c:pt idx="208">
                  <c:v>-4.3800000000000026</c:v>
                </c:pt>
                <c:pt idx="209">
                  <c:v>-457.34000000000015</c:v>
                </c:pt>
                <c:pt idx="210">
                  <c:v>-197.26999999999998</c:v>
                </c:pt>
                <c:pt idx="211">
                  <c:v>-2190</c:v>
                </c:pt>
                <c:pt idx="212">
                  <c:v>-1075.6499999999996</c:v>
                </c:pt>
                <c:pt idx="213">
                  <c:v>-901.70999999999913</c:v>
                </c:pt>
                <c:pt idx="214">
                  <c:v>-83.570000000000164</c:v>
                </c:pt>
                <c:pt idx="215">
                  <c:v>-84.449999999999818</c:v>
                </c:pt>
                <c:pt idx="216">
                  <c:v>-302.60000000000036</c:v>
                </c:pt>
                <c:pt idx="217">
                  <c:v>-1</c:v>
                </c:pt>
                <c:pt idx="218">
                  <c:v>-1554.1699999999983</c:v>
                </c:pt>
                <c:pt idx="219">
                  <c:v>-6730</c:v>
                </c:pt>
                <c:pt idx="220">
                  <c:v>-37809.400000000023</c:v>
                </c:pt>
                <c:pt idx="221">
                  <c:v>-572</c:v>
                </c:pt>
                <c:pt idx="222">
                  <c:v>-3720</c:v>
                </c:pt>
                <c:pt idx="223">
                  <c:v>-4.07</c:v>
                </c:pt>
                <c:pt idx="224">
                  <c:v>-420</c:v>
                </c:pt>
                <c:pt idx="225">
                  <c:v>-17265</c:v>
                </c:pt>
                <c:pt idx="226">
                  <c:v>-3.4300000000000015</c:v>
                </c:pt>
                <c:pt idx="227">
                  <c:v>-140.73000000000002</c:v>
                </c:pt>
                <c:pt idx="228">
                  <c:v>-700</c:v>
                </c:pt>
                <c:pt idx="229">
                  <c:v>-2756.41</c:v>
                </c:pt>
                <c:pt idx="230">
                  <c:v>-4350.3700000000026</c:v>
                </c:pt>
                <c:pt idx="231">
                  <c:v>-223.79000000000087</c:v>
                </c:pt>
                <c:pt idx="232">
                  <c:v>-57.330000000000041</c:v>
                </c:pt>
                <c:pt idx="233">
                  <c:v>-1.6499999999999986</c:v>
                </c:pt>
                <c:pt idx="234">
                  <c:v>-2554.2099999999991</c:v>
                </c:pt>
                <c:pt idx="235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E-8D4D-83E6-2DD4CEC5AED5}"/>
            </c:ext>
          </c:extLst>
        </c:ser>
        <c:ser>
          <c:idx val="1"/>
          <c:order val="1"/>
          <c:tx>
            <c:strRef>
              <c:f>data!$Y$10</c:f>
              <c:strCache>
                <c:ptCount val="1"/>
                <c:pt idx="0">
                  <c:v>2000-2010</c:v>
                </c:pt>
              </c:strCache>
            </c:strRef>
          </c:tx>
          <c:spPr>
            <a:solidFill>
              <a:srgbClr val="73B567"/>
            </a:solidFill>
            <a:ln>
              <a:noFill/>
            </a:ln>
            <a:effectLst/>
          </c:spPr>
          <c:invertIfNegative val="0"/>
          <c:cat>
            <c:strRef>
              <c:f>data!$B$11:$B$246</c:f>
              <c:strCache>
                <c:ptCount val="236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  <c:pt idx="214">
                  <c:v>Equatorial Guinea</c:v>
                </c:pt>
                <c:pt idx="215">
                  <c:v>Guinea-Bissau</c:v>
                </c:pt>
                <c:pt idx="216">
                  <c:v>Liberia</c:v>
                </c:pt>
                <c:pt idx="217">
                  <c:v>Montserrat</c:v>
                </c:pt>
                <c:pt idx="218">
                  <c:v>Angola</c:v>
                </c:pt>
                <c:pt idx="219">
                  <c:v>Democratic Republic of the Congo</c:v>
                </c:pt>
                <c:pt idx="220">
                  <c:v>Brazil</c:v>
                </c:pt>
                <c:pt idx="221">
                  <c:v>Guatemala</c:v>
                </c:pt>
                <c:pt idx="222">
                  <c:v>United Republic of Tanzania</c:v>
                </c:pt>
                <c:pt idx="223">
                  <c:v>United States Virgin Islands</c:v>
                </c:pt>
                <c:pt idx="224">
                  <c:v>Malawi</c:v>
                </c:pt>
                <c:pt idx="225">
                  <c:v>Indonesia</c:v>
                </c:pt>
                <c:pt idx="226">
                  <c:v>Mayotte</c:v>
                </c:pt>
                <c:pt idx="227">
                  <c:v>Belize</c:v>
                </c:pt>
                <c:pt idx="228">
                  <c:v>Benin</c:v>
                </c:pt>
                <c:pt idx="229">
                  <c:v>Côte d’Ivoire</c:v>
                </c:pt>
                <c:pt idx="230">
                  <c:v>Myanmar</c:v>
                </c:pt>
                <c:pt idx="231">
                  <c:v>Cambodia</c:v>
                </c:pt>
                <c:pt idx="232">
                  <c:v>Gambia</c:v>
                </c:pt>
                <c:pt idx="233">
                  <c:v>Northern Mariana Islands</c:v>
                </c:pt>
                <c:pt idx="234">
                  <c:v>Paraguay</c:v>
                </c:pt>
                <c:pt idx="235">
                  <c:v>Nicaragua</c:v>
                </c:pt>
              </c:strCache>
            </c:strRef>
          </c:cat>
          <c:val>
            <c:numRef>
              <c:f>data!$Y$11:$Y$246</c:f>
              <c:numCache>
                <c:formatCode>#,##0</c:formatCode>
                <c:ptCount val="236"/>
                <c:pt idx="0">
                  <c:v>62.300000000000011</c:v>
                </c:pt>
                <c:pt idx="1">
                  <c:v>1603.9599999999991</c:v>
                </c:pt>
                <c:pt idx="2">
                  <c:v>201</c:v>
                </c:pt>
                <c:pt idx="3">
                  <c:v>497</c:v>
                </c:pt>
                <c:pt idx="4">
                  <c:v>100.64999999999986</c:v>
                </c:pt>
                <c:pt idx="5">
                  <c:v>66.769999999999982</c:v>
                </c:pt>
                <c:pt idx="6">
                  <c:v>1451.4099999999999</c:v>
                </c:pt>
                <c:pt idx="7">
                  <c:v>3</c:v>
                </c:pt>
                <c:pt idx="8">
                  <c:v>0</c:v>
                </c:pt>
                <c:pt idx="9">
                  <c:v>0.98000000000000398</c:v>
                </c:pt>
                <c:pt idx="10">
                  <c:v>362.29999999999995</c:v>
                </c:pt>
                <c:pt idx="11">
                  <c:v>37.450000000000045</c:v>
                </c:pt>
                <c:pt idx="12">
                  <c:v>658.79000000000087</c:v>
                </c:pt>
                <c:pt idx="13">
                  <c:v>23609.830000000016</c:v>
                </c:pt>
                <c:pt idx="14">
                  <c:v>99.289999999999964</c:v>
                </c:pt>
                <c:pt idx="15">
                  <c:v>97.130000000000109</c:v>
                </c:pt>
                <c:pt idx="16">
                  <c:v>362</c:v>
                </c:pt>
                <c:pt idx="17">
                  <c:v>1131</c:v>
                </c:pt>
                <c:pt idx="18">
                  <c:v>357</c:v>
                </c:pt>
                <c:pt idx="19">
                  <c:v>253</c:v>
                </c:pt>
                <c:pt idx="20">
                  <c:v>301.57000000000016</c:v>
                </c:pt>
                <c:pt idx="21">
                  <c:v>90.019999999999982</c:v>
                </c:pt>
                <c:pt idx="22">
                  <c:v>1.5499999999999972</c:v>
                </c:pt>
                <c:pt idx="23">
                  <c:v>3.019999999999996</c:v>
                </c:pt>
                <c:pt idx="24">
                  <c:v>150</c:v>
                </c:pt>
                <c:pt idx="25">
                  <c:v>908.19999999999891</c:v>
                </c:pt>
                <c:pt idx="26">
                  <c:v>131.11999999999989</c:v>
                </c:pt>
                <c:pt idx="27">
                  <c:v>2.8799999999999955</c:v>
                </c:pt>
                <c:pt idx="28">
                  <c:v>934.7300000000032</c:v>
                </c:pt>
                <c:pt idx="29">
                  <c:v>38.539999999999964</c:v>
                </c:pt>
                <c:pt idx="30">
                  <c:v>1.9999999999999574E-2</c:v>
                </c:pt>
                <c:pt idx="31">
                  <c:v>1905</c:v>
                </c:pt>
                <c:pt idx="32">
                  <c:v>388.13999999999987</c:v>
                </c:pt>
                <c:pt idx="33">
                  <c:v>125.22000000000003</c:v>
                </c:pt>
                <c:pt idx="34">
                  <c:v>0</c:v>
                </c:pt>
                <c:pt idx="35">
                  <c:v>13.980000000000018</c:v>
                </c:pt>
                <c:pt idx="36">
                  <c:v>14</c:v>
                </c:pt>
                <c:pt idx="37">
                  <c:v>149</c:v>
                </c:pt>
                <c:pt idx="38">
                  <c:v>0.18999999999999997</c:v>
                </c:pt>
                <c:pt idx="39">
                  <c:v>14.889999999999986</c:v>
                </c:pt>
                <c:pt idx="40">
                  <c:v>45.269999999999982</c:v>
                </c:pt>
                <c:pt idx="41">
                  <c:v>12.150000000000034</c:v>
                </c:pt>
                <c:pt idx="42">
                  <c:v>181.26999999999953</c:v>
                </c:pt>
                <c:pt idx="43">
                  <c:v>-2.319999999999709</c:v>
                </c:pt>
                <c:pt idx="44">
                  <c:v>270</c:v>
                </c:pt>
                <c:pt idx="45">
                  <c:v>30.100000000000023</c:v>
                </c:pt>
                <c:pt idx="46">
                  <c:v>-203.63999999999942</c:v>
                </c:pt>
                <c:pt idx="47">
                  <c:v>105</c:v>
                </c:pt>
                <c:pt idx="48">
                  <c:v>35</c:v>
                </c:pt>
                <c:pt idx="49">
                  <c:v>25.059999999999945</c:v>
                </c:pt>
                <c:pt idx="50">
                  <c:v>0.90999999999999659</c:v>
                </c:pt>
                <c:pt idx="51">
                  <c:v>0</c:v>
                </c:pt>
                <c:pt idx="52">
                  <c:v>1.2299999999999898</c:v>
                </c:pt>
                <c:pt idx="53">
                  <c:v>0.26999999999999602</c:v>
                </c:pt>
                <c:pt idx="54">
                  <c:v>2</c:v>
                </c:pt>
                <c:pt idx="55">
                  <c:v>0.72999999999999687</c:v>
                </c:pt>
                <c:pt idx="56">
                  <c:v>1366.3199999999997</c:v>
                </c:pt>
                <c:pt idx="57">
                  <c:v>7.8700000000000045</c:v>
                </c:pt>
                <c:pt idx="58">
                  <c:v>61.800000000000182</c:v>
                </c:pt>
                <c:pt idx="59">
                  <c:v>1075</c:v>
                </c:pt>
                <c:pt idx="60">
                  <c:v>48.779999999999973</c:v>
                </c:pt>
                <c:pt idx="61">
                  <c:v>60</c:v>
                </c:pt>
                <c:pt idx="62">
                  <c:v>5184</c:v>
                </c:pt>
                <c:pt idx="63">
                  <c:v>38</c:v>
                </c:pt>
                <c:pt idx="64">
                  <c:v>13.980000000000018</c:v>
                </c:pt>
                <c:pt idx="65">
                  <c:v>0.15000000000000002</c:v>
                </c:pt>
                <c:pt idx="66">
                  <c:v>20.090000000000146</c:v>
                </c:pt>
                <c:pt idx="67">
                  <c:v>168.02999999999975</c:v>
                </c:pt>
                <c:pt idx="68">
                  <c:v>16.5</c:v>
                </c:pt>
                <c:pt idx="69">
                  <c:v>22.57000000000005</c:v>
                </c:pt>
                <c:pt idx="70">
                  <c:v>5867.0999999999767</c:v>
                </c:pt>
                <c:pt idx="71">
                  <c:v>19.579999999999927</c:v>
                </c:pt>
                <c:pt idx="72">
                  <c:v>1.1699999999999591</c:v>
                </c:pt>
                <c:pt idx="73">
                  <c:v>1</c:v>
                </c:pt>
                <c:pt idx="74">
                  <c:v>-0.83000000000001251</c:v>
                </c:pt>
                <c:pt idx="75">
                  <c:v>0</c:v>
                </c:pt>
                <c:pt idx="76">
                  <c:v>14.840000000000003</c:v>
                </c:pt>
                <c:pt idx="77">
                  <c:v>55</c:v>
                </c:pt>
                <c:pt idx="78">
                  <c:v>1.0000000000000675E-2</c:v>
                </c:pt>
                <c:pt idx="79">
                  <c:v>0.86999999999999922</c:v>
                </c:pt>
                <c:pt idx="80">
                  <c:v>-11</c:v>
                </c:pt>
                <c:pt idx="81">
                  <c:v>1.4000000000000004</c:v>
                </c:pt>
                <c:pt idx="82">
                  <c:v>0</c:v>
                </c:pt>
                <c:pt idx="83">
                  <c:v>339</c:v>
                </c:pt>
                <c:pt idx="84">
                  <c:v>0</c:v>
                </c:pt>
                <c:pt idx="85">
                  <c:v>-74.75</c:v>
                </c:pt>
                <c:pt idx="86">
                  <c:v>7</c:v>
                </c:pt>
                <c:pt idx="87">
                  <c:v>-2268</c:v>
                </c:pt>
                <c:pt idx="88">
                  <c:v>0</c:v>
                </c:pt>
                <c:pt idx="89">
                  <c:v>12.770000000000095</c:v>
                </c:pt>
                <c:pt idx="90">
                  <c:v>6.43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-4.1999999999999318</c:v>
                </c:pt>
                <c:pt idx="138">
                  <c:v>0</c:v>
                </c:pt>
                <c:pt idx="139">
                  <c:v>90</c:v>
                </c:pt>
                <c:pt idx="140">
                  <c:v>-80</c:v>
                </c:pt>
                <c:pt idx="141">
                  <c:v>-479.75999999995111</c:v>
                </c:pt>
                <c:pt idx="142">
                  <c:v>-54.399999999999977</c:v>
                </c:pt>
                <c:pt idx="143">
                  <c:v>-90</c:v>
                </c:pt>
                <c:pt idx="144">
                  <c:v>-2.0799999999999841</c:v>
                </c:pt>
                <c:pt idx="145">
                  <c:v>-5.9999999999998721E-2</c:v>
                </c:pt>
                <c:pt idx="146">
                  <c:v>-31.990000000000009</c:v>
                </c:pt>
                <c:pt idx="147">
                  <c:v>-8.9900000000002365</c:v>
                </c:pt>
                <c:pt idx="148">
                  <c:v>-344.84999999999991</c:v>
                </c:pt>
                <c:pt idx="149">
                  <c:v>-2.9999999999999805E-2</c:v>
                </c:pt>
                <c:pt idx="150">
                  <c:v>-124.19999999999982</c:v>
                </c:pt>
                <c:pt idx="151">
                  <c:v>-0.71999999999999886</c:v>
                </c:pt>
                <c:pt idx="152">
                  <c:v>-7.319999999999709</c:v>
                </c:pt>
                <c:pt idx="153">
                  <c:v>-0.24000000000000199</c:v>
                </c:pt>
                <c:pt idx="154">
                  <c:v>-50.590000000000146</c:v>
                </c:pt>
                <c:pt idx="155">
                  <c:v>-364</c:v>
                </c:pt>
                <c:pt idx="156">
                  <c:v>-31.600000000000136</c:v>
                </c:pt>
                <c:pt idx="157">
                  <c:v>-44.409999999999854</c:v>
                </c:pt>
                <c:pt idx="158">
                  <c:v>-29</c:v>
                </c:pt>
                <c:pt idx="159">
                  <c:v>-120</c:v>
                </c:pt>
                <c:pt idx="160">
                  <c:v>-3.5399999999999991</c:v>
                </c:pt>
                <c:pt idx="161">
                  <c:v>-41.010000000000218</c:v>
                </c:pt>
                <c:pt idx="162">
                  <c:v>-99.080000000001746</c:v>
                </c:pt>
                <c:pt idx="163">
                  <c:v>-2.2699999999999818</c:v>
                </c:pt>
                <c:pt idx="164">
                  <c:v>-300</c:v>
                </c:pt>
                <c:pt idx="165">
                  <c:v>-42.9399999999996</c:v>
                </c:pt>
                <c:pt idx="166">
                  <c:v>-417.5300000000002</c:v>
                </c:pt>
                <c:pt idx="167">
                  <c:v>-22</c:v>
                </c:pt>
                <c:pt idx="168">
                  <c:v>-0.20999999999999908</c:v>
                </c:pt>
                <c:pt idx="169">
                  <c:v>-823</c:v>
                </c:pt>
                <c:pt idx="170">
                  <c:v>-730</c:v>
                </c:pt>
                <c:pt idx="171">
                  <c:v>-469.53999999999996</c:v>
                </c:pt>
                <c:pt idx="172">
                  <c:v>-468.69000000000051</c:v>
                </c:pt>
                <c:pt idx="173">
                  <c:v>-3164</c:v>
                </c:pt>
                <c:pt idx="174">
                  <c:v>-1438.0400000000081</c:v>
                </c:pt>
                <c:pt idx="175">
                  <c:v>-710.09000000000015</c:v>
                </c:pt>
                <c:pt idx="176">
                  <c:v>-4.2400000000000091</c:v>
                </c:pt>
                <c:pt idx="177">
                  <c:v>-89</c:v>
                </c:pt>
                <c:pt idx="178">
                  <c:v>-1744.9900000000016</c:v>
                </c:pt>
                <c:pt idx="179">
                  <c:v>-29.590000000000146</c:v>
                </c:pt>
                <c:pt idx="180">
                  <c:v>-14</c:v>
                </c:pt>
                <c:pt idx="181">
                  <c:v>-0.22999999999999998</c:v>
                </c:pt>
                <c:pt idx="182">
                  <c:v>-1248.0299999999988</c:v>
                </c:pt>
                <c:pt idx="183">
                  <c:v>0</c:v>
                </c:pt>
                <c:pt idx="184">
                  <c:v>-358</c:v>
                </c:pt>
                <c:pt idx="185">
                  <c:v>-460.70000000000073</c:v>
                </c:pt>
                <c:pt idx="186">
                  <c:v>-767.5</c:v>
                </c:pt>
                <c:pt idx="187">
                  <c:v>-62.800000000000182</c:v>
                </c:pt>
                <c:pt idx="188">
                  <c:v>-360</c:v>
                </c:pt>
                <c:pt idx="189">
                  <c:v>-0.66999999999999993</c:v>
                </c:pt>
                <c:pt idx="190">
                  <c:v>-697.01000000000204</c:v>
                </c:pt>
                <c:pt idx="191">
                  <c:v>-743.69999999999709</c:v>
                </c:pt>
                <c:pt idx="192">
                  <c:v>-0.30000000000000071</c:v>
                </c:pt>
                <c:pt idx="193">
                  <c:v>-4.8199999999999932</c:v>
                </c:pt>
                <c:pt idx="194">
                  <c:v>-1927.7099999999991</c:v>
                </c:pt>
                <c:pt idx="195">
                  <c:v>-114.15000000000055</c:v>
                </c:pt>
                <c:pt idx="196">
                  <c:v>-1633.0600000000013</c:v>
                </c:pt>
                <c:pt idx="197">
                  <c:v>-484.5</c:v>
                </c:pt>
                <c:pt idx="198">
                  <c:v>-500</c:v>
                </c:pt>
                <c:pt idx="199">
                  <c:v>-202.80000000000018</c:v>
                </c:pt>
                <c:pt idx="200">
                  <c:v>-412.52999999999975</c:v>
                </c:pt>
                <c:pt idx="201">
                  <c:v>-17</c:v>
                </c:pt>
                <c:pt idx="202">
                  <c:v>-1183</c:v>
                </c:pt>
                <c:pt idx="203">
                  <c:v>-385</c:v>
                </c:pt>
                <c:pt idx="204">
                  <c:v>-2015.3799999999974</c:v>
                </c:pt>
                <c:pt idx="205">
                  <c:v>-45</c:v>
                </c:pt>
                <c:pt idx="206">
                  <c:v>-1646</c:v>
                </c:pt>
                <c:pt idx="207">
                  <c:v>-0.25999999999999801</c:v>
                </c:pt>
                <c:pt idx="208">
                  <c:v>-4.3800000000000026</c:v>
                </c:pt>
                <c:pt idx="209">
                  <c:v>-212.29999999999927</c:v>
                </c:pt>
                <c:pt idx="210">
                  <c:v>-197.26999999999998</c:v>
                </c:pt>
                <c:pt idx="211">
                  <c:v>-2215.8600000000006</c:v>
                </c:pt>
                <c:pt idx="212">
                  <c:v>-905.68000000000029</c:v>
                </c:pt>
                <c:pt idx="213">
                  <c:v>-702.30999999999949</c:v>
                </c:pt>
                <c:pt idx="214">
                  <c:v>-83.569999999999709</c:v>
                </c:pt>
                <c:pt idx="215">
                  <c:v>-84.450000000000273</c:v>
                </c:pt>
                <c:pt idx="216">
                  <c:v>-302.59999999999945</c:v>
                </c:pt>
                <c:pt idx="217">
                  <c:v>0</c:v>
                </c:pt>
                <c:pt idx="218">
                  <c:v>-5550.6100000000006</c:v>
                </c:pt>
                <c:pt idx="219">
                  <c:v>-6730</c:v>
                </c:pt>
                <c:pt idx="220">
                  <c:v>-39507.899999999965</c:v>
                </c:pt>
                <c:pt idx="221">
                  <c:v>-486.59999999999991</c:v>
                </c:pt>
                <c:pt idx="222">
                  <c:v>-3720</c:v>
                </c:pt>
                <c:pt idx="223">
                  <c:v>-2.0399999999999991</c:v>
                </c:pt>
                <c:pt idx="224">
                  <c:v>-420</c:v>
                </c:pt>
                <c:pt idx="225">
                  <c:v>-1620.8000000000029</c:v>
                </c:pt>
                <c:pt idx="226">
                  <c:v>-1.2599999999999998</c:v>
                </c:pt>
                <c:pt idx="227">
                  <c:v>-67.909999999999854</c:v>
                </c:pt>
                <c:pt idx="228">
                  <c:v>-499.99999999999955</c:v>
                </c:pt>
                <c:pt idx="229">
                  <c:v>-1128.8699999999999</c:v>
                </c:pt>
                <c:pt idx="230">
                  <c:v>-3427.1100000000006</c:v>
                </c:pt>
                <c:pt idx="231">
                  <c:v>-191.77000000000044</c:v>
                </c:pt>
                <c:pt idx="232">
                  <c:v>-57.329999999999984</c:v>
                </c:pt>
                <c:pt idx="233">
                  <c:v>-1.6400000000000006</c:v>
                </c:pt>
                <c:pt idx="234">
                  <c:v>-3421.4400000000023</c:v>
                </c:pt>
                <c:pt idx="235">
                  <c:v>-1211.17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E-8D4D-83E6-2DD4CEC5AED5}"/>
            </c:ext>
          </c:extLst>
        </c:ser>
        <c:ser>
          <c:idx val="4"/>
          <c:order val="4"/>
          <c:tx>
            <c:strRef>
              <c:f>data!$AB$10</c:f>
              <c:strCache>
                <c:ptCount val="1"/>
                <c:pt idx="0">
                  <c:v>2010-2020</c:v>
                </c:pt>
              </c:strCache>
            </c:strRef>
          </c:tx>
          <c:spPr>
            <a:solidFill>
              <a:srgbClr val="407EB6"/>
            </a:solidFill>
            <a:ln>
              <a:noFill/>
            </a:ln>
            <a:effectLst/>
          </c:spPr>
          <c:invertIfNegative val="0"/>
          <c:cat>
            <c:strRef>
              <c:f>data!$B$11:$B$246</c:f>
              <c:strCache>
                <c:ptCount val="236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  <c:pt idx="214">
                  <c:v>Equatorial Guinea</c:v>
                </c:pt>
                <c:pt idx="215">
                  <c:v>Guinea-Bissau</c:v>
                </c:pt>
                <c:pt idx="216">
                  <c:v>Liberia</c:v>
                </c:pt>
                <c:pt idx="217">
                  <c:v>Montserrat</c:v>
                </c:pt>
                <c:pt idx="218">
                  <c:v>Angola</c:v>
                </c:pt>
                <c:pt idx="219">
                  <c:v>Democratic Republic of the Congo</c:v>
                </c:pt>
                <c:pt idx="220">
                  <c:v>Brazil</c:v>
                </c:pt>
                <c:pt idx="221">
                  <c:v>Guatemala</c:v>
                </c:pt>
                <c:pt idx="222">
                  <c:v>United Republic of Tanzania</c:v>
                </c:pt>
                <c:pt idx="223">
                  <c:v>United States Virgin Islands</c:v>
                </c:pt>
                <c:pt idx="224">
                  <c:v>Malawi</c:v>
                </c:pt>
                <c:pt idx="225">
                  <c:v>Indonesia</c:v>
                </c:pt>
                <c:pt idx="226">
                  <c:v>Mayotte</c:v>
                </c:pt>
                <c:pt idx="227">
                  <c:v>Belize</c:v>
                </c:pt>
                <c:pt idx="228">
                  <c:v>Benin</c:v>
                </c:pt>
                <c:pt idx="229">
                  <c:v>Côte d’Ivoire</c:v>
                </c:pt>
                <c:pt idx="230">
                  <c:v>Myanmar</c:v>
                </c:pt>
                <c:pt idx="231">
                  <c:v>Cambodia</c:v>
                </c:pt>
                <c:pt idx="232">
                  <c:v>Gambia</c:v>
                </c:pt>
                <c:pt idx="233">
                  <c:v>Northern Mariana Islands</c:v>
                </c:pt>
                <c:pt idx="234">
                  <c:v>Paraguay</c:v>
                </c:pt>
                <c:pt idx="235">
                  <c:v>Nicaragua</c:v>
                </c:pt>
              </c:strCache>
            </c:strRef>
          </c:cat>
          <c:val>
            <c:numRef>
              <c:f>data!$AB$11:$AB$246</c:f>
              <c:numCache>
                <c:formatCode>#,##0</c:formatCode>
                <c:ptCount val="236"/>
                <c:pt idx="0">
                  <c:v>4.8799999999999955</c:v>
                </c:pt>
                <c:pt idx="1">
                  <c:v>1255.0300000000007</c:v>
                </c:pt>
                <c:pt idx="2">
                  <c:v>0</c:v>
                </c:pt>
                <c:pt idx="3">
                  <c:v>310</c:v>
                </c:pt>
                <c:pt idx="4">
                  <c:v>70.980000000000018</c:v>
                </c:pt>
                <c:pt idx="5">
                  <c:v>66.779999999999973</c:v>
                </c:pt>
                <c:pt idx="6">
                  <c:v>26.829999999998108</c:v>
                </c:pt>
                <c:pt idx="7">
                  <c:v>3</c:v>
                </c:pt>
                <c:pt idx="8">
                  <c:v>4</c:v>
                </c:pt>
                <c:pt idx="9">
                  <c:v>0.84999999999999432</c:v>
                </c:pt>
                <c:pt idx="10">
                  <c:v>299.70000000000005</c:v>
                </c:pt>
                <c:pt idx="11">
                  <c:v>38.439999999999941</c:v>
                </c:pt>
                <c:pt idx="12">
                  <c:v>538.08999999999833</c:v>
                </c:pt>
                <c:pt idx="13">
                  <c:v>19367.799999999988</c:v>
                </c:pt>
                <c:pt idx="14">
                  <c:v>19.789999999999964</c:v>
                </c:pt>
                <c:pt idx="15">
                  <c:v>102.38000000000011</c:v>
                </c:pt>
                <c:pt idx="16">
                  <c:v>156</c:v>
                </c:pt>
                <c:pt idx="17">
                  <c:v>834</c:v>
                </c:pt>
                <c:pt idx="18">
                  <c:v>137.60000000000036</c:v>
                </c:pt>
                <c:pt idx="19">
                  <c:v>9.6500000000000909</c:v>
                </c:pt>
                <c:pt idx="20">
                  <c:v>0</c:v>
                </c:pt>
                <c:pt idx="21">
                  <c:v>61.639999999999986</c:v>
                </c:pt>
                <c:pt idx="22">
                  <c:v>2</c:v>
                </c:pt>
                <c:pt idx="23">
                  <c:v>4.4500000000000028</c:v>
                </c:pt>
                <c:pt idx="24">
                  <c:v>31</c:v>
                </c:pt>
                <c:pt idx="25">
                  <c:v>1485.4400000000023</c:v>
                </c:pt>
                <c:pt idx="26">
                  <c:v>38.670000000000073</c:v>
                </c:pt>
                <c:pt idx="27">
                  <c:v>41.060000000000059</c:v>
                </c:pt>
                <c:pt idx="28">
                  <c:v>1137.2799999999988</c:v>
                </c:pt>
                <c:pt idx="29">
                  <c:v>34.389999999999873</c:v>
                </c:pt>
                <c:pt idx="30">
                  <c:v>0</c:v>
                </c:pt>
                <c:pt idx="31">
                  <c:v>2664</c:v>
                </c:pt>
                <c:pt idx="32">
                  <c:v>340.05999999999995</c:v>
                </c:pt>
                <c:pt idx="33">
                  <c:v>6.6200000000001182</c:v>
                </c:pt>
                <c:pt idx="34">
                  <c:v>0</c:v>
                </c:pt>
                <c:pt idx="35">
                  <c:v>163.67000000000007</c:v>
                </c:pt>
                <c:pt idx="36">
                  <c:v>-9.1700000000000728</c:v>
                </c:pt>
                <c:pt idx="37">
                  <c:v>414.05000000000018</c:v>
                </c:pt>
                <c:pt idx="38">
                  <c:v>0</c:v>
                </c:pt>
                <c:pt idx="39">
                  <c:v>41.950000000000045</c:v>
                </c:pt>
                <c:pt idx="40">
                  <c:v>99.279999999999973</c:v>
                </c:pt>
                <c:pt idx="41">
                  <c:v>12.129999999999995</c:v>
                </c:pt>
                <c:pt idx="42">
                  <c:v>0</c:v>
                </c:pt>
                <c:pt idx="43">
                  <c:v>44.469999999999345</c:v>
                </c:pt>
                <c:pt idx="44">
                  <c:v>154</c:v>
                </c:pt>
                <c:pt idx="45">
                  <c:v>12</c:v>
                </c:pt>
                <c:pt idx="46">
                  <c:v>167</c:v>
                </c:pt>
                <c:pt idx="47">
                  <c:v>131</c:v>
                </c:pt>
                <c:pt idx="48">
                  <c:v>19.1099999999999</c:v>
                </c:pt>
                <c:pt idx="49">
                  <c:v>35.950000000000273</c:v>
                </c:pt>
                <c:pt idx="50">
                  <c:v>0</c:v>
                </c:pt>
                <c:pt idx="51">
                  <c:v>0</c:v>
                </c:pt>
                <c:pt idx="52">
                  <c:v>-0.31000000000000227</c:v>
                </c:pt>
                <c:pt idx="53">
                  <c:v>0.29000000000000625</c:v>
                </c:pt>
                <c:pt idx="54">
                  <c:v>0</c:v>
                </c:pt>
                <c:pt idx="55">
                  <c:v>-2.1699999999999982</c:v>
                </c:pt>
                <c:pt idx="56">
                  <c:v>59.890000000001237</c:v>
                </c:pt>
                <c:pt idx="57">
                  <c:v>0</c:v>
                </c:pt>
                <c:pt idx="58">
                  <c:v>0</c:v>
                </c:pt>
                <c:pt idx="59">
                  <c:v>-200</c:v>
                </c:pt>
                <c:pt idx="60">
                  <c:v>85.700000000000045</c:v>
                </c:pt>
                <c:pt idx="61">
                  <c:v>30.000000000000057</c:v>
                </c:pt>
                <c:pt idx="62">
                  <c:v>1075</c:v>
                </c:pt>
                <c:pt idx="63">
                  <c:v>142</c:v>
                </c:pt>
                <c:pt idx="64">
                  <c:v>-3.9800000000000182</c:v>
                </c:pt>
                <c:pt idx="65">
                  <c:v>0.17999999999999994</c:v>
                </c:pt>
                <c:pt idx="66">
                  <c:v>19.710000000000036</c:v>
                </c:pt>
                <c:pt idx="67">
                  <c:v>67.920000000000073</c:v>
                </c:pt>
                <c:pt idx="68">
                  <c:v>7.9900000000000091</c:v>
                </c:pt>
                <c:pt idx="69">
                  <c:v>-0.57000000000005002</c:v>
                </c:pt>
                <c:pt idx="70">
                  <c:v>176</c:v>
                </c:pt>
                <c:pt idx="71">
                  <c:v>15.300000000000068</c:v>
                </c:pt>
                <c:pt idx="72">
                  <c:v>-1</c:v>
                </c:pt>
                <c:pt idx="73">
                  <c:v>-14</c:v>
                </c:pt>
                <c:pt idx="74">
                  <c:v>5.9800000000000182</c:v>
                </c:pt>
                <c:pt idx="75">
                  <c:v>0.11000000000000004</c:v>
                </c:pt>
                <c:pt idx="76">
                  <c:v>6.68</c:v>
                </c:pt>
                <c:pt idx="77">
                  <c:v>10</c:v>
                </c:pt>
                <c:pt idx="78">
                  <c:v>9.9999999999997868E-3</c:v>
                </c:pt>
                <c:pt idx="79">
                  <c:v>0.19000000000000128</c:v>
                </c:pt>
                <c:pt idx="80">
                  <c:v>78</c:v>
                </c:pt>
                <c:pt idx="81">
                  <c:v>0</c:v>
                </c:pt>
                <c:pt idx="82">
                  <c:v>85.699999999999989</c:v>
                </c:pt>
                <c:pt idx="83">
                  <c:v>31</c:v>
                </c:pt>
                <c:pt idx="84">
                  <c:v>13.800000000000011</c:v>
                </c:pt>
                <c:pt idx="85">
                  <c:v>372.5</c:v>
                </c:pt>
                <c:pt idx="86">
                  <c:v>0</c:v>
                </c:pt>
                <c:pt idx="87">
                  <c:v>4459</c:v>
                </c:pt>
                <c:pt idx="88">
                  <c:v>0.20000000000000018</c:v>
                </c:pt>
                <c:pt idx="89">
                  <c:v>6.8299999999999272</c:v>
                </c:pt>
                <c:pt idx="90">
                  <c:v>-20.660000000000004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-3.999999999996362E-2</c:v>
                </c:pt>
                <c:pt idx="138">
                  <c:v>-0.5</c:v>
                </c:pt>
                <c:pt idx="139">
                  <c:v>-31</c:v>
                </c:pt>
                <c:pt idx="140">
                  <c:v>-11.119999999998981</c:v>
                </c:pt>
                <c:pt idx="141">
                  <c:v>-394.11000000004424</c:v>
                </c:pt>
                <c:pt idx="142">
                  <c:v>-54.44</c:v>
                </c:pt>
                <c:pt idx="143">
                  <c:v>-93</c:v>
                </c:pt>
                <c:pt idx="144">
                  <c:v>-2.089999999999975</c:v>
                </c:pt>
                <c:pt idx="145">
                  <c:v>0.10000000000000142</c:v>
                </c:pt>
                <c:pt idx="146">
                  <c:v>-4.9399999999998272</c:v>
                </c:pt>
                <c:pt idx="147">
                  <c:v>85.25</c:v>
                </c:pt>
                <c:pt idx="148">
                  <c:v>-5.25</c:v>
                </c:pt>
                <c:pt idx="149">
                  <c:v>-2.0000000000000018E-2</c:v>
                </c:pt>
                <c:pt idx="150">
                  <c:v>-124.20000000000005</c:v>
                </c:pt>
                <c:pt idx="151">
                  <c:v>0.37000000000000455</c:v>
                </c:pt>
                <c:pt idx="152">
                  <c:v>-7.3100000000004002</c:v>
                </c:pt>
                <c:pt idx="153">
                  <c:v>0</c:v>
                </c:pt>
                <c:pt idx="154">
                  <c:v>-118.81000000000131</c:v>
                </c:pt>
                <c:pt idx="155">
                  <c:v>-364</c:v>
                </c:pt>
                <c:pt idx="156">
                  <c:v>-31.599999999999909</c:v>
                </c:pt>
                <c:pt idx="157">
                  <c:v>-104.47000000000116</c:v>
                </c:pt>
                <c:pt idx="158">
                  <c:v>60</c:v>
                </c:pt>
                <c:pt idx="159">
                  <c:v>-129</c:v>
                </c:pt>
                <c:pt idx="160">
                  <c:v>0.38000000000000256</c:v>
                </c:pt>
                <c:pt idx="161">
                  <c:v>-103.56999999999971</c:v>
                </c:pt>
                <c:pt idx="162">
                  <c:v>-323.12999999999738</c:v>
                </c:pt>
                <c:pt idx="163">
                  <c:v>-31.079999999999984</c:v>
                </c:pt>
                <c:pt idx="164">
                  <c:v>-300</c:v>
                </c:pt>
                <c:pt idx="165">
                  <c:v>-33.649999999999636</c:v>
                </c:pt>
                <c:pt idx="166">
                  <c:v>-367.82999999999993</c:v>
                </c:pt>
                <c:pt idx="167">
                  <c:v>11</c:v>
                </c:pt>
                <c:pt idx="168">
                  <c:v>0</c:v>
                </c:pt>
                <c:pt idx="169">
                  <c:v>-1217</c:v>
                </c:pt>
                <c:pt idx="170">
                  <c:v>-730</c:v>
                </c:pt>
                <c:pt idx="171">
                  <c:v>348.86999999999989</c:v>
                </c:pt>
                <c:pt idx="172">
                  <c:v>-132.17000000000007</c:v>
                </c:pt>
                <c:pt idx="173">
                  <c:v>-1641</c:v>
                </c:pt>
                <c:pt idx="174">
                  <c:v>-1251.2299999999959</c:v>
                </c:pt>
                <c:pt idx="175">
                  <c:v>-710.09000000000015</c:v>
                </c:pt>
                <c:pt idx="176">
                  <c:v>-4.2199999999999989</c:v>
                </c:pt>
                <c:pt idx="177">
                  <c:v>-100</c:v>
                </c:pt>
                <c:pt idx="178">
                  <c:v>-1721.619999999999</c:v>
                </c:pt>
                <c:pt idx="179">
                  <c:v>-29.599999999999909</c:v>
                </c:pt>
                <c:pt idx="180">
                  <c:v>-14</c:v>
                </c:pt>
                <c:pt idx="181">
                  <c:v>-0.21999999999999997</c:v>
                </c:pt>
                <c:pt idx="182">
                  <c:v>-1719.4300000000076</c:v>
                </c:pt>
                <c:pt idx="183">
                  <c:v>0</c:v>
                </c:pt>
                <c:pt idx="184">
                  <c:v>-1881.9700000000012</c:v>
                </c:pt>
                <c:pt idx="185">
                  <c:v>-460.69999999999709</c:v>
                </c:pt>
                <c:pt idx="186">
                  <c:v>-767.5</c:v>
                </c:pt>
                <c:pt idx="187">
                  <c:v>9.4000000000000909</c:v>
                </c:pt>
                <c:pt idx="188">
                  <c:v>-380</c:v>
                </c:pt>
                <c:pt idx="189">
                  <c:v>-0.66000000000000014</c:v>
                </c:pt>
                <c:pt idx="190">
                  <c:v>-560</c:v>
                </c:pt>
                <c:pt idx="191">
                  <c:v>166.38999999999942</c:v>
                </c:pt>
                <c:pt idx="192">
                  <c:v>-0.30000000000000071</c:v>
                </c:pt>
                <c:pt idx="193">
                  <c:v>-4.8200000000000216</c:v>
                </c:pt>
                <c:pt idx="194">
                  <c:v>-1665.8799999999974</c:v>
                </c:pt>
                <c:pt idx="195">
                  <c:v>-114.14999999999964</c:v>
                </c:pt>
                <c:pt idx="196">
                  <c:v>-1633.0299999999988</c:v>
                </c:pt>
                <c:pt idx="197">
                  <c:v>-345</c:v>
                </c:pt>
                <c:pt idx="198">
                  <c:v>-500.10000000000036</c:v>
                </c:pt>
                <c:pt idx="199">
                  <c:v>-216.21000000000004</c:v>
                </c:pt>
                <c:pt idx="200">
                  <c:v>-412.52</c:v>
                </c:pt>
                <c:pt idx="201">
                  <c:v>0</c:v>
                </c:pt>
                <c:pt idx="202">
                  <c:v>-1183</c:v>
                </c:pt>
                <c:pt idx="203">
                  <c:v>-400</c:v>
                </c:pt>
                <c:pt idx="204">
                  <c:v>-2252.25</c:v>
                </c:pt>
                <c:pt idx="205">
                  <c:v>-45</c:v>
                </c:pt>
                <c:pt idx="206">
                  <c:v>-1274.0999999999985</c:v>
                </c:pt>
                <c:pt idx="207">
                  <c:v>-6.2000000000000028</c:v>
                </c:pt>
                <c:pt idx="208">
                  <c:v>-4.3799999999999955</c:v>
                </c:pt>
                <c:pt idx="209">
                  <c:v>-212.30000000000018</c:v>
                </c:pt>
                <c:pt idx="210">
                  <c:v>-197.27999999999975</c:v>
                </c:pt>
                <c:pt idx="211">
                  <c:v>-2228.3799999999974</c:v>
                </c:pt>
                <c:pt idx="212">
                  <c:v>42.779999999999745</c:v>
                </c:pt>
                <c:pt idx="213">
                  <c:v>-530.36000000000058</c:v>
                </c:pt>
                <c:pt idx="214">
                  <c:v>-83.590000000000146</c:v>
                </c:pt>
                <c:pt idx="215">
                  <c:v>-84.419999999999845</c:v>
                </c:pt>
                <c:pt idx="216">
                  <c:v>-302.60000000000036</c:v>
                </c:pt>
                <c:pt idx="217">
                  <c:v>0</c:v>
                </c:pt>
                <c:pt idx="218">
                  <c:v>-5550.6199999999953</c:v>
                </c:pt>
                <c:pt idx="219">
                  <c:v>-11013.759999999995</c:v>
                </c:pt>
                <c:pt idx="220">
                  <c:v>-14961.100000000035</c:v>
                </c:pt>
                <c:pt idx="221">
                  <c:v>-194.79999999999973</c:v>
                </c:pt>
                <c:pt idx="222">
                  <c:v>-4205.010000000002</c:v>
                </c:pt>
                <c:pt idx="223">
                  <c:v>1.4800000000000004</c:v>
                </c:pt>
                <c:pt idx="224">
                  <c:v>-420</c:v>
                </c:pt>
                <c:pt idx="225">
                  <c:v>-7526</c:v>
                </c:pt>
                <c:pt idx="226">
                  <c:v>-0.51999999999999957</c:v>
                </c:pt>
                <c:pt idx="227">
                  <c:v>-114.34000000000015</c:v>
                </c:pt>
                <c:pt idx="228">
                  <c:v>-500</c:v>
                </c:pt>
                <c:pt idx="229">
                  <c:v>-1128.8699999999999</c:v>
                </c:pt>
                <c:pt idx="230">
                  <c:v>-2897.1100000000006</c:v>
                </c:pt>
                <c:pt idx="231">
                  <c:v>-2520.8599999999997</c:v>
                </c:pt>
                <c:pt idx="232">
                  <c:v>-57.330000000000013</c:v>
                </c:pt>
                <c:pt idx="233">
                  <c:v>-5.9600000000000009</c:v>
                </c:pt>
                <c:pt idx="234">
                  <c:v>-3467.9499999999989</c:v>
                </c:pt>
                <c:pt idx="235">
                  <c:v>-780.61999999999944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2E-8D4D-83E6-2DD4CEC5A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727584"/>
        <c:axId val="1010740176"/>
      </c:barChart>
      <c:lineChart>
        <c:grouping val="standard"/>
        <c:varyColors val="0"/>
        <c:ser>
          <c:idx val="5"/>
          <c:order val="5"/>
          <c:tx>
            <c:strRef>
              <c:f>data!$P$10</c:f>
              <c:strCache>
                <c:ptCount val="1"/>
                <c:pt idx="0">
                  <c:v>Net_Gain_%</c:v>
                </c:pt>
              </c:strCache>
            </c:strRef>
          </c:tx>
          <c:spPr>
            <a:ln w="28575" cap="rnd">
              <a:solidFill>
                <a:srgbClr val="E95CAF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rgbClr val="D53593"/>
              </a:solidFill>
              <a:ln w="9525">
                <a:noFill/>
              </a:ln>
              <a:effectLst/>
            </c:spPr>
          </c:marker>
          <c:dPt>
            <c:idx val="2"/>
            <c:marker>
              <c:symbol val="x"/>
              <c:size val="4"/>
              <c:spPr>
                <a:solidFill>
                  <a:srgbClr val="D53593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42E-8D4D-83E6-2DD4CEC5AED5}"/>
              </c:ext>
            </c:extLst>
          </c:dPt>
          <c:cat>
            <c:strRef>
              <c:f>data!$B$11:$B$224</c:f>
              <c:strCache>
                <c:ptCount val="214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</c:strCache>
            </c:strRef>
          </c:cat>
          <c:val>
            <c:numRef>
              <c:f>data!$P$11:$P$246</c:f>
              <c:numCache>
                <c:formatCode>0.00%</c:formatCode>
                <c:ptCount val="236"/>
                <c:pt idx="0">
                  <c:v>0.1984216459977452</c:v>
                </c:pt>
                <c:pt idx="1">
                  <c:v>0.16986906182474931</c:v>
                </c:pt>
                <c:pt idx="2">
                  <c:v>0.14944237918215614</c:v>
                </c:pt>
                <c:pt idx="3">
                  <c:v>0.11382426456450681</c:v>
                </c:pt>
                <c:pt idx="4">
                  <c:v>0.11368453736286477</c:v>
                </c:pt>
                <c:pt idx="5">
                  <c:v>0.10964969896004373</c:v>
                </c:pt>
                <c:pt idx="6">
                  <c:v>9.3413534376307117E-2</c:v>
                </c:pt>
                <c:pt idx="7">
                  <c:v>7.5285359801488816E-2</c:v>
                </c:pt>
                <c:pt idx="8">
                  <c:v>7.407407407407407E-2</c:v>
                </c:pt>
                <c:pt idx="9">
                  <c:v>7.0869565217391295E-2</c:v>
                </c:pt>
                <c:pt idx="10">
                  <c:v>7.0449091532396299E-2</c:v>
                </c:pt>
                <c:pt idx="11">
                  <c:v>6.9815327793167126E-2</c:v>
                </c:pt>
                <c:pt idx="12">
                  <c:v>6.7191813422179891E-2</c:v>
                </c:pt>
                <c:pt idx="13">
                  <c:v>6.6673305251095522E-2</c:v>
                </c:pt>
                <c:pt idx="14">
                  <c:v>5.7282266526757608E-2</c:v>
                </c:pt>
                <c:pt idx="15">
                  <c:v>5.3485162180814338E-2</c:v>
                </c:pt>
                <c:pt idx="16">
                  <c:v>5.2137067059690456E-2</c:v>
                </c:pt>
                <c:pt idx="17">
                  <c:v>5.1446416831032238E-2</c:v>
                </c:pt>
                <c:pt idx="18">
                  <c:v>4.8655519317364504E-2</c:v>
                </c:pt>
                <c:pt idx="19">
                  <c:v>4.6838554767893892E-2</c:v>
                </c:pt>
                <c:pt idx="20">
                  <c:v>4.6799844840962002E-2</c:v>
                </c:pt>
                <c:pt idx="21">
                  <c:v>4.6506024096385531E-2</c:v>
                </c:pt>
                <c:pt idx="22">
                  <c:v>4.1981132075471661E-2</c:v>
                </c:pt>
                <c:pt idx="23">
                  <c:v>4.1792828685258965E-2</c:v>
                </c:pt>
                <c:pt idx="24">
                  <c:v>4.0861931364724657E-2</c:v>
                </c:pt>
                <c:pt idx="25">
                  <c:v>3.9872634594434686E-2</c:v>
                </c:pt>
                <c:pt idx="26">
                  <c:v>3.8242200064329324E-2</c:v>
                </c:pt>
                <c:pt idx="27">
                  <c:v>3.5483743061062667E-2</c:v>
                </c:pt>
                <c:pt idx="28">
                  <c:v>3.1663006899419199E-2</c:v>
                </c:pt>
                <c:pt idx="29">
                  <c:v>2.9253542510121411E-2</c:v>
                </c:pt>
                <c:pt idx="30">
                  <c:v>2.8333333333333321E-2</c:v>
                </c:pt>
                <c:pt idx="31">
                  <c:v>2.7653799454458006E-2</c:v>
                </c:pt>
                <c:pt idx="32">
                  <c:v>2.680512458862247E-2</c:v>
                </c:pt>
                <c:pt idx="33">
                  <c:v>2.6412239036783386E-2</c:v>
                </c:pt>
                <c:pt idx="34">
                  <c:v>2.5641025641025661E-2</c:v>
                </c:pt>
                <c:pt idx="35">
                  <c:v>2.4964747356051586E-2</c:v>
                </c:pt>
                <c:pt idx="36">
                  <c:v>2.4741807348560019E-2</c:v>
                </c:pt>
                <c:pt idx="37">
                  <c:v>2.4254607093184999E-2</c:v>
                </c:pt>
                <c:pt idx="38">
                  <c:v>2.3749999999999997E-2</c:v>
                </c:pt>
                <c:pt idx="39">
                  <c:v>2.3100738271016913E-2</c:v>
                </c:pt>
                <c:pt idx="40">
                  <c:v>2.2626421485603676E-2</c:v>
                </c:pt>
                <c:pt idx="41">
                  <c:v>2.1174418604651191E-2</c:v>
                </c:pt>
                <c:pt idx="42">
                  <c:v>2.0232298569933693E-2</c:v>
                </c:pt>
                <c:pt idx="43">
                  <c:v>1.9760738293266467E-2</c:v>
                </c:pt>
                <c:pt idx="44">
                  <c:v>1.9628335347333381E-2</c:v>
                </c:pt>
                <c:pt idx="45">
                  <c:v>1.8582725060827254E-2</c:v>
                </c:pt>
                <c:pt idx="46">
                  <c:v>1.756013293409231E-2</c:v>
                </c:pt>
                <c:pt idx="47">
                  <c:v>1.7029719340305033E-2</c:v>
                </c:pt>
                <c:pt idx="48">
                  <c:v>1.5923874195854171E-2</c:v>
                </c:pt>
                <c:pt idx="49">
                  <c:v>1.4963645176926832E-2</c:v>
                </c:pt>
                <c:pt idx="50">
                  <c:v>1.3743169398907074E-2</c:v>
                </c:pt>
                <c:pt idx="51">
                  <c:v>1.2500000000000011E-2</c:v>
                </c:pt>
                <c:pt idx="52">
                  <c:v>1.2359307359307348E-2</c:v>
                </c:pt>
                <c:pt idx="53">
                  <c:v>1.2000000000000011E-2</c:v>
                </c:pt>
                <c:pt idx="54">
                  <c:v>1.1934156378600846E-2</c:v>
                </c:pt>
                <c:pt idx="55">
                  <c:v>1.0422535211267597E-2</c:v>
                </c:pt>
                <c:pt idx="56">
                  <c:v>1.0288870060659643E-2</c:v>
                </c:pt>
                <c:pt idx="57">
                  <c:v>1.018023092086736E-2</c:v>
                </c:pt>
                <c:pt idx="58">
                  <c:v>1.0087782414735902E-2</c:v>
                </c:pt>
                <c:pt idx="59">
                  <c:v>1.0021726790502838E-2</c:v>
                </c:pt>
                <c:pt idx="60">
                  <c:v>9.3305526590198168E-3</c:v>
                </c:pt>
                <c:pt idx="61">
                  <c:v>8.1685999019768044E-3</c:v>
                </c:pt>
                <c:pt idx="62">
                  <c:v>8.0295864844950326E-3</c:v>
                </c:pt>
                <c:pt idx="63">
                  <c:v>7.1812045780179357E-3</c:v>
                </c:pt>
                <c:pt idx="64">
                  <c:v>7.1742356782428102E-3</c:v>
                </c:pt>
                <c:pt idx="65">
                  <c:v>6.2337662337662338E-3</c:v>
                </c:pt>
                <c:pt idx="66">
                  <c:v>6.1740707162284969E-3</c:v>
                </c:pt>
                <c:pt idx="67">
                  <c:v>5.7629397266412558E-3</c:v>
                </c:pt>
                <c:pt idx="68">
                  <c:v>4.8710482529118471E-3</c:v>
                </c:pt>
                <c:pt idx="69">
                  <c:v>3.9299867899603713E-3</c:v>
                </c:pt>
                <c:pt idx="70">
                  <c:v>3.8845640223070799E-3</c:v>
                </c:pt>
                <c:pt idx="71">
                  <c:v>3.781539649845525E-3</c:v>
                </c:pt>
                <c:pt idx="72">
                  <c:v>3.7691466083151215E-3</c:v>
                </c:pt>
                <c:pt idx="73">
                  <c:v>3.6968576709796655E-3</c:v>
                </c:pt>
                <c:pt idx="74">
                  <c:v>3.5483870967742137E-3</c:v>
                </c:pt>
                <c:pt idx="75">
                  <c:v>3.4375000000000013E-3</c:v>
                </c:pt>
                <c:pt idx="76">
                  <c:v>3.4194513715710721E-3</c:v>
                </c:pt>
                <c:pt idx="77">
                  <c:v>3.4111104741156861E-3</c:v>
                </c:pt>
                <c:pt idx="78">
                  <c:v>2.1428571428571686E-3</c:v>
                </c:pt>
                <c:pt idx="79">
                  <c:v>1.7607973421926923E-3</c:v>
                </c:pt>
                <c:pt idx="80">
                  <c:v>1.5782724492815481E-3</c:v>
                </c:pt>
                <c:pt idx="81">
                  <c:v>1.5712682379349046E-3</c:v>
                </c:pt>
                <c:pt idx="82">
                  <c:v>1.2305295950155726E-3</c:v>
                </c:pt>
                <c:pt idx="83">
                  <c:v>1.1840083300444218E-3</c:v>
                </c:pt>
                <c:pt idx="84">
                  <c:v>1.1384105483103965E-3</c:v>
                </c:pt>
                <c:pt idx="85">
                  <c:v>1.0832314701633514E-3</c:v>
                </c:pt>
                <c:pt idx="86">
                  <c:v>4.8372830133048411E-4</c:v>
                </c:pt>
                <c:pt idx="87">
                  <c:v>1.5997813154913776E-4</c:v>
                </c:pt>
                <c:pt idx="88">
                  <c:v>8.6281276962899348E-5</c:v>
                </c:pt>
                <c:pt idx="89">
                  <c:v>3.6496350365011754E-5</c:v>
                </c:pt>
                <c:pt idx="90">
                  <c:v>1.1753478326385046E-5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-1.1278195488698128E-6</c:v>
                </c:pt>
                <c:pt idx="138">
                  <c:v>-1.6155088852988684E-5</c:v>
                </c:pt>
                <c:pt idx="139">
                  <c:v>-4.1145490454241873E-4</c:v>
                </c:pt>
                <c:pt idx="140">
                  <c:v>-1.153608486315294E-3</c:v>
                </c:pt>
                <c:pt idx="141">
                  <c:v>-1.478889889602597E-3</c:v>
                </c:pt>
                <c:pt idx="142">
                  <c:v>-1.5837780149413018E-3</c:v>
                </c:pt>
                <c:pt idx="143">
                  <c:v>-2.0377599371486088E-3</c:v>
                </c:pt>
                <c:pt idx="144">
                  <c:v>-2.1988057604495903E-3</c:v>
                </c:pt>
                <c:pt idx="145">
                  <c:v>-2.3076923076922329E-3</c:v>
                </c:pt>
                <c:pt idx="146">
                  <c:v>-2.8370592302373598E-3</c:v>
                </c:pt>
                <c:pt idx="147">
                  <c:v>-4.3144531250000062E-3</c:v>
                </c:pt>
                <c:pt idx="148">
                  <c:v>-4.3477878905014561E-3</c:v>
                </c:pt>
                <c:pt idx="149">
                  <c:v>-5.9999999999999776E-3</c:v>
                </c:pt>
                <c:pt idx="150">
                  <c:v>-6.8311360227362432E-3</c:v>
                </c:pt>
                <c:pt idx="151">
                  <c:v>-7.3964497041419941E-3</c:v>
                </c:pt>
                <c:pt idx="152">
                  <c:v>-7.8385137549124018E-3</c:v>
                </c:pt>
                <c:pt idx="153">
                  <c:v>-8.1967213114754189E-3</c:v>
                </c:pt>
                <c:pt idx="154">
                  <c:v>-8.9657313618193291E-3</c:v>
                </c:pt>
                <c:pt idx="155">
                  <c:v>-9.0018053071083126E-3</c:v>
                </c:pt>
                <c:pt idx="156">
                  <c:v>-9.3861386138613806E-3</c:v>
                </c:pt>
                <c:pt idx="157">
                  <c:v>-9.4899669799339836E-3</c:v>
                </c:pt>
                <c:pt idx="158">
                  <c:v>-9.4967798275297222E-3</c:v>
                </c:pt>
                <c:pt idx="159">
                  <c:v>-1.0805270863836092E-2</c:v>
                </c:pt>
                <c:pt idx="160">
                  <c:v>-1.1330049261083747E-2</c:v>
                </c:pt>
                <c:pt idx="161">
                  <c:v>-1.1624358974358873E-2</c:v>
                </c:pt>
                <c:pt idx="162">
                  <c:v>-1.201077595724942E-2</c:v>
                </c:pt>
                <c:pt idx="163">
                  <c:v>-1.2924528301886784E-2</c:v>
                </c:pt>
                <c:pt idx="164">
                  <c:v>-1.4446691707598991E-2</c:v>
                </c:pt>
                <c:pt idx="165">
                  <c:v>-1.486009732360094E-2</c:v>
                </c:pt>
                <c:pt idx="166">
                  <c:v>-1.6356501660440011E-2</c:v>
                </c:pt>
                <c:pt idx="167">
                  <c:v>-1.6619375760032432E-2</c:v>
                </c:pt>
                <c:pt idx="168">
                  <c:v>-1.7083333333333339E-2</c:v>
                </c:pt>
                <c:pt idx="169">
                  <c:v>-1.9194726810673447E-2</c:v>
                </c:pt>
                <c:pt idx="170">
                  <c:v>-1.9558539646901379E-2</c:v>
                </c:pt>
                <c:pt idx="171">
                  <c:v>-1.9794747962571663E-2</c:v>
                </c:pt>
                <c:pt idx="172">
                  <c:v>-2.1719491234101107E-2</c:v>
                </c:pt>
                <c:pt idx="173">
                  <c:v>-2.4230000475026395E-2</c:v>
                </c:pt>
                <c:pt idx="174">
                  <c:v>-2.5204197638828141E-2</c:v>
                </c:pt>
                <c:pt idx="175">
                  <c:v>-2.5875086543016443E-2</c:v>
                </c:pt>
                <c:pt idx="176">
                  <c:v>-2.7037037037037026E-2</c:v>
                </c:pt>
                <c:pt idx="177">
                  <c:v>-2.7092205859715723E-2</c:v>
                </c:pt>
                <c:pt idx="178">
                  <c:v>-2.7915034955669271E-2</c:v>
                </c:pt>
                <c:pt idx="179">
                  <c:v>-2.8018018018018037E-2</c:v>
                </c:pt>
                <c:pt idx="180">
                  <c:v>-2.8244788164088819E-2</c:v>
                </c:pt>
                <c:pt idx="181">
                  <c:v>-2.9565217391304341E-2</c:v>
                </c:pt>
                <c:pt idx="182">
                  <c:v>-3.2173203124999938E-2</c:v>
                </c:pt>
                <c:pt idx="183">
                  <c:v>-3.2533333333333414E-2</c:v>
                </c:pt>
                <c:pt idx="184">
                  <c:v>-3.4947604891106931E-2</c:v>
                </c:pt>
                <c:pt idx="185">
                  <c:v>-3.5727025979061577E-2</c:v>
                </c:pt>
                <c:pt idx="186">
                  <c:v>-3.6702585519813813E-2</c:v>
                </c:pt>
                <c:pt idx="187">
                  <c:v>-3.7842449370116382E-2</c:v>
                </c:pt>
                <c:pt idx="188">
                  <c:v>-4.4237343317597266E-2</c:v>
                </c:pt>
                <c:pt idx="189">
                  <c:v>-4.5227272727272727E-2</c:v>
                </c:pt>
                <c:pt idx="190">
                  <c:v>-4.5683823062765749E-2</c:v>
                </c:pt>
                <c:pt idx="191">
                  <c:v>-4.5790899406482954E-2</c:v>
                </c:pt>
                <c:pt idx="192">
                  <c:v>-4.7000000000000042E-2</c:v>
                </c:pt>
                <c:pt idx="193">
                  <c:v>-5.1095406360424089E-2</c:v>
                </c:pt>
                <c:pt idx="194">
                  <c:v>-5.2422082018927396E-2</c:v>
                </c:pt>
                <c:pt idx="195">
                  <c:v>-5.2940543449017996E-2</c:v>
                </c:pt>
                <c:pt idx="196">
                  <c:v>-5.3791187676361735E-2</c:v>
                </c:pt>
                <c:pt idx="197">
                  <c:v>-5.4051126516464487E-2</c:v>
                </c:pt>
                <c:pt idx="198">
                  <c:v>-5.4831871345029287E-2</c:v>
                </c:pt>
                <c:pt idx="199">
                  <c:v>-5.6173027080168025E-2</c:v>
                </c:pt>
                <c:pt idx="200">
                  <c:v>-6.1718033113903822E-2</c:v>
                </c:pt>
                <c:pt idx="201">
                  <c:v>-6.2618595825426948E-2</c:v>
                </c:pt>
                <c:pt idx="202">
                  <c:v>-6.2622412789158866E-2</c:v>
                </c:pt>
                <c:pt idx="203">
                  <c:v>-6.4145847400405132E-2</c:v>
                </c:pt>
                <c:pt idx="204">
                  <c:v>-6.4349303055478591E-2</c:v>
                </c:pt>
                <c:pt idx="205">
                  <c:v>-6.5154440154440108E-2</c:v>
                </c:pt>
                <c:pt idx="206">
                  <c:v>-6.570035712261213E-2</c:v>
                </c:pt>
                <c:pt idx="207">
                  <c:v>-6.9999999999999951E-2</c:v>
                </c:pt>
                <c:pt idx="208">
                  <c:v>-7.0645161290322583E-2</c:v>
                </c:pt>
                <c:pt idx="209">
                  <c:v>-7.3244747114027065E-2</c:v>
                </c:pt>
                <c:pt idx="210">
                  <c:v>-8.1992241618176698E-2</c:v>
                </c:pt>
                <c:pt idx="211">
                  <c:v>-8.4364302245733602E-2</c:v>
                </c:pt>
                <c:pt idx="212">
                  <c:v>-8.5196009492836455E-2</c:v>
                </c:pt>
                <c:pt idx="213">
                  <c:v>-8.593895957481068E-2</c:v>
                </c:pt>
                <c:pt idx="214">
                  <c:v>-8.9386809269162204E-2</c:v>
                </c:pt>
                <c:pt idx="215">
                  <c:v>-9.0085348506401153E-2</c:v>
                </c:pt>
                <c:pt idx="216">
                  <c:v>-9.4248338870431936E-2</c:v>
                </c:pt>
                <c:pt idx="217">
                  <c:v>-9.9999999999999978E-2</c:v>
                </c:pt>
                <c:pt idx="218">
                  <c:v>-0.10151118954038651</c:v>
                </c:pt>
                <c:pt idx="219">
                  <c:v>-0.10795421362563684</c:v>
                </c:pt>
                <c:pt idx="220">
                  <c:v>-0.11040542513047158</c:v>
                </c:pt>
                <c:pt idx="221">
                  <c:v>-0.11696528555431124</c:v>
                </c:pt>
                <c:pt idx="222">
                  <c:v>-0.13146319710995713</c:v>
                </c:pt>
                <c:pt idx="223">
                  <c:v>-0.13228571428571423</c:v>
                </c:pt>
                <c:pt idx="224">
                  <c:v>-0.13364446330080612</c:v>
                </c:pt>
                <c:pt idx="225">
                  <c:v>-0.14067386765520473</c:v>
                </c:pt>
                <c:pt idx="226">
                  <c:v>-0.14081081081081087</c:v>
                </c:pt>
                <c:pt idx="227">
                  <c:v>-0.14159579131959665</c:v>
                </c:pt>
                <c:pt idx="228">
                  <c:v>-0.15076268180205743</c:v>
                </c:pt>
                <c:pt idx="229">
                  <c:v>-0.15767767295597482</c:v>
                </c:pt>
                <c:pt idx="230">
                  <c:v>-0.16344996018864466</c:v>
                </c:pt>
                <c:pt idx="231">
                  <c:v>-0.16635055517788355</c:v>
                </c:pt>
                <c:pt idx="232">
                  <c:v>-0.16995059288537551</c:v>
                </c:pt>
                <c:pt idx="233">
                  <c:v>-0.20108695652173914</c:v>
                </c:pt>
                <c:pt idx="234">
                  <c:v>-0.23769443745280644</c:v>
                </c:pt>
                <c:pt idx="235">
                  <c:v>-0.24861143426956955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2E-8D4D-83E6-2DD4CEC5A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048624"/>
        <c:axId val="1987993456"/>
      </c:lineChart>
      <c:catAx>
        <c:axId val="212472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 Light" panose="020F0302020204030204" pitchFamily="34" charset="0"/>
                <a:ea typeface="+mn-ea"/>
                <a:cs typeface="Source Sans Pro Light" panose="020F0302020204030204" pitchFamily="34" charset="0"/>
              </a:defRPr>
            </a:pPr>
            <a:endParaRPr lang="en-US"/>
          </a:p>
        </c:txPr>
        <c:crossAx val="1010740176"/>
        <c:crosses val="autoZero"/>
        <c:auto val="0"/>
        <c:lblAlgn val="ctr"/>
        <c:lblOffset val="100"/>
        <c:noMultiLvlLbl val="0"/>
      </c:catAx>
      <c:valAx>
        <c:axId val="1010740176"/>
        <c:scaling>
          <c:orientation val="minMax"/>
          <c:max val="25000"/>
          <c:min val="-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2124727584"/>
        <c:crosses val="autoZero"/>
        <c:crossBetween val="between"/>
        <c:majorUnit val="5000"/>
      </c:valAx>
      <c:valAx>
        <c:axId val="1987993456"/>
        <c:scaling>
          <c:orientation val="minMax"/>
          <c:max val="0.25"/>
          <c:min val="-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Forest Area change 1990-2020, realtive to Total Land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988048624"/>
        <c:crosses val="max"/>
        <c:crossBetween val="between"/>
        <c:majorUnit val="0.05"/>
      </c:valAx>
      <c:catAx>
        <c:axId val="1988048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7993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Light" panose="020B0403020202020204" pitchFamily="34" charset="0"/>
                <a:ea typeface="+mn-ea"/>
                <a:cs typeface="+mn-cs"/>
              </a:defRPr>
            </a:pPr>
            <a:r>
              <a:rPr lang="en-GB"/>
              <a:t>Nations with the largest (net) afforestation/deforestation, 1990-2020</a:t>
            </a:r>
          </a:p>
        </c:rich>
      </c:tx>
      <c:layout>
        <c:manualLayout>
          <c:xMode val="edge"/>
          <c:yMode val="edge"/>
          <c:x val="6.9124267333749129E-2"/>
          <c:y val="4.57665821426364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 Light" panose="020B0403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359543945450529E-2"/>
          <c:y val="6.2047170339187975E-2"/>
          <c:w val="0.90457483618884027"/>
          <c:h val="0.928191434973939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data!$X$10</c:f>
              <c:strCache>
                <c:ptCount val="1"/>
                <c:pt idx="0">
                  <c:v>1990-2000</c:v>
                </c:pt>
              </c:strCache>
            </c:strRef>
          </c:tx>
          <c:spPr>
            <a:solidFill>
              <a:srgbClr val="FF5C5F"/>
            </a:solidFill>
            <a:ln>
              <a:noFill/>
            </a:ln>
            <a:effectLst/>
          </c:spPr>
          <c:invertIfNegative val="0"/>
          <c:cat>
            <c:strRef>
              <c:f>data!$B$11:$B$246</c:f>
              <c:strCache>
                <c:ptCount val="236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  <c:pt idx="214">
                  <c:v>Equatorial Guinea</c:v>
                </c:pt>
                <c:pt idx="215">
                  <c:v>Guinea-Bissau</c:v>
                </c:pt>
                <c:pt idx="216">
                  <c:v>Liberia</c:v>
                </c:pt>
                <c:pt idx="217">
                  <c:v>Montserrat</c:v>
                </c:pt>
                <c:pt idx="218">
                  <c:v>Angola</c:v>
                </c:pt>
                <c:pt idx="219">
                  <c:v>Democratic Republic of the Congo</c:v>
                </c:pt>
                <c:pt idx="220">
                  <c:v>Brazil</c:v>
                </c:pt>
                <c:pt idx="221">
                  <c:v>Guatemala</c:v>
                </c:pt>
                <c:pt idx="222">
                  <c:v>United Republic of Tanzania</c:v>
                </c:pt>
                <c:pt idx="223">
                  <c:v>United States Virgin Islands</c:v>
                </c:pt>
                <c:pt idx="224">
                  <c:v>Malawi</c:v>
                </c:pt>
                <c:pt idx="225">
                  <c:v>Indonesia</c:v>
                </c:pt>
                <c:pt idx="226">
                  <c:v>Mayotte</c:v>
                </c:pt>
                <c:pt idx="227">
                  <c:v>Belize</c:v>
                </c:pt>
                <c:pt idx="228">
                  <c:v>Benin</c:v>
                </c:pt>
                <c:pt idx="229">
                  <c:v>Côte d’Ivoire</c:v>
                </c:pt>
                <c:pt idx="230">
                  <c:v>Myanmar</c:v>
                </c:pt>
                <c:pt idx="231">
                  <c:v>Cambodia</c:v>
                </c:pt>
                <c:pt idx="232">
                  <c:v>Gambia</c:v>
                </c:pt>
                <c:pt idx="233">
                  <c:v>Northern Mariana Islands</c:v>
                </c:pt>
                <c:pt idx="234">
                  <c:v>Paraguay</c:v>
                </c:pt>
                <c:pt idx="235">
                  <c:v>Nicaragua</c:v>
                </c:pt>
              </c:strCache>
            </c:strRef>
          </c:cat>
          <c:val>
            <c:numRef>
              <c:f>data!$X$11:$X$246</c:f>
              <c:numCache>
                <c:formatCode>#,##0</c:formatCode>
                <c:ptCount val="236"/>
                <c:pt idx="0">
                  <c:v>108.82</c:v>
                </c:pt>
                <c:pt idx="1">
                  <c:v>2408.1400000000012</c:v>
                </c:pt>
                <c:pt idx="2">
                  <c:v>0</c:v>
                </c:pt>
                <c:pt idx="3">
                  <c:v>377</c:v>
                </c:pt>
                <c:pt idx="4">
                  <c:v>377.57999999999993</c:v>
                </c:pt>
                <c:pt idx="5">
                  <c:v>66.779999999999973</c:v>
                </c:pt>
                <c:pt idx="6">
                  <c:v>3189.2700000000004</c:v>
                </c:pt>
                <c:pt idx="7">
                  <c:v>24.339999999999996</c:v>
                </c:pt>
                <c:pt idx="8">
                  <c:v>0</c:v>
                </c:pt>
                <c:pt idx="9">
                  <c:v>1.4299999999999997</c:v>
                </c:pt>
                <c:pt idx="10">
                  <c:v>571</c:v>
                </c:pt>
                <c:pt idx="11">
                  <c:v>-0.27999999999997272</c:v>
                </c:pt>
                <c:pt idx="12">
                  <c:v>779.5</c:v>
                </c:pt>
                <c:pt idx="13">
                  <c:v>19859.959999999992</c:v>
                </c:pt>
                <c:pt idx="14">
                  <c:v>99.2800000000002</c:v>
                </c:pt>
                <c:pt idx="15">
                  <c:v>32.989999999999782</c:v>
                </c:pt>
                <c:pt idx="16">
                  <c:v>48</c:v>
                </c:pt>
                <c:pt idx="17">
                  <c:v>852</c:v>
                </c:pt>
                <c:pt idx="18">
                  <c:v>493</c:v>
                </c:pt>
                <c:pt idx="19">
                  <c:v>147</c:v>
                </c:pt>
                <c:pt idx="20">
                  <c:v>301.67999999999984</c:v>
                </c:pt>
                <c:pt idx="21">
                  <c:v>168.72000000000003</c:v>
                </c:pt>
                <c:pt idx="22">
                  <c:v>0.89999999999999858</c:v>
                </c:pt>
                <c:pt idx="23">
                  <c:v>3.019999999999996</c:v>
                </c:pt>
                <c:pt idx="24">
                  <c:v>75</c:v>
                </c:pt>
                <c:pt idx="25">
                  <c:v>571.01000000000022</c:v>
                </c:pt>
                <c:pt idx="26">
                  <c:v>68</c:v>
                </c:pt>
                <c:pt idx="27">
                  <c:v>45.549999999999955</c:v>
                </c:pt>
                <c:pt idx="28">
                  <c:v>364.86999999999898</c:v>
                </c:pt>
                <c:pt idx="29">
                  <c:v>42.680000000000064</c:v>
                </c:pt>
                <c:pt idx="30">
                  <c:v>0.66000000000000014</c:v>
                </c:pt>
                <c:pt idx="31">
                  <c:v>3653</c:v>
                </c:pt>
                <c:pt idx="32">
                  <c:v>412.09000000000015</c:v>
                </c:pt>
                <c:pt idx="33">
                  <c:v>107.26999999999998</c:v>
                </c:pt>
                <c:pt idx="34">
                  <c:v>1</c:v>
                </c:pt>
                <c:pt idx="35">
                  <c:v>-50.180000000000291</c:v>
                </c:pt>
                <c:pt idx="36">
                  <c:v>45</c:v>
                </c:pt>
                <c:pt idx="37">
                  <c:v>-5</c:v>
                </c:pt>
                <c:pt idx="38">
                  <c:v>0</c:v>
                </c:pt>
                <c:pt idx="39">
                  <c:v>40.159999999999968</c:v>
                </c:pt>
                <c:pt idx="40">
                  <c:v>42.480000000000018</c:v>
                </c:pt>
                <c:pt idx="41">
                  <c:v>12.139999999999986</c:v>
                </c:pt>
                <c:pt idx="42">
                  <c:v>108.76000000000022</c:v>
                </c:pt>
                <c:pt idx="43">
                  <c:v>478.17000000000007</c:v>
                </c:pt>
                <c:pt idx="44">
                  <c:v>177</c:v>
                </c:pt>
                <c:pt idx="45">
                  <c:v>19</c:v>
                </c:pt>
                <c:pt idx="46">
                  <c:v>570.30999999999767</c:v>
                </c:pt>
                <c:pt idx="47">
                  <c:v>176</c:v>
                </c:pt>
                <c:pt idx="48">
                  <c:v>35</c:v>
                </c:pt>
                <c:pt idx="49">
                  <c:v>62.4699999999998</c:v>
                </c:pt>
                <c:pt idx="50">
                  <c:v>4.1200000000000045</c:v>
                </c:pt>
                <c:pt idx="51">
                  <c:v>0.20000000000000018</c:v>
                </c:pt>
                <c:pt idx="52">
                  <c:v>10.5</c:v>
                </c:pt>
                <c:pt idx="53">
                  <c:v>0.28000000000000114</c:v>
                </c:pt>
                <c:pt idx="54">
                  <c:v>0.90000000000000568</c:v>
                </c:pt>
                <c:pt idx="55">
                  <c:v>2.1800000000000015</c:v>
                </c:pt>
                <c:pt idx="56">
                  <c:v>249.60000000000036</c:v>
                </c:pt>
                <c:pt idx="57">
                  <c:v>64.430000000000007</c:v>
                </c:pt>
                <c:pt idx="58">
                  <c:v>8.2999999999997272</c:v>
                </c:pt>
                <c:pt idx="59">
                  <c:v>-363</c:v>
                </c:pt>
                <c:pt idx="60">
                  <c:v>44.480000000000018</c:v>
                </c:pt>
                <c:pt idx="61">
                  <c:v>60</c:v>
                </c:pt>
                <c:pt idx="62">
                  <c:v>1086</c:v>
                </c:pt>
                <c:pt idx="63">
                  <c:v>236</c:v>
                </c:pt>
                <c:pt idx="64">
                  <c:v>14.170000000000016</c:v>
                </c:pt>
                <c:pt idx="65">
                  <c:v>0.15</c:v>
                </c:pt>
                <c:pt idx="66">
                  <c:v>7.8699999999998909</c:v>
                </c:pt>
                <c:pt idx="67">
                  <c:v>21.25</c:v>
                </c:pt>
                <c:pt idx="68">
                  <c:v>-1.0699999999999363</c:v>
                </c:pt>
                <c:pt idx="69">
                  <c:v>-10.100000000000023</c:v>
                </c:pt>
                <c:pt idx="70">
                  <c:v>318.59999999997672</c:v>
                </c:pt>
                <c:pt idx="71">
                  <c:v>23.870000000000005</c:v>
                </c:pt>
                <c:pt idx="72">
                  <c:v>6.7200000000000273</c:v>
                </c:pt>
                <c:pt idx="73">
                  <c:v>21</c:v>
                </c:pt>
                <c:pt idx="74">
                  <c:v>-1.5199999999999818</c:v>
                </c:pt>
                <c:pt idx="75">
                  <c:v>0</c:v>
                </c:pt>
                <c:pt idx="76">
                  <c:v>12.759999999999998</c:v>
                </c:pt>
                <c:pt idx="77">
                  <c:v>54</c:v>
                </c:pt>
                <c:pt idx="78">
                  <c:v>9.9999999999997868E-3</c:v>
                </c:pt>
                <c:pt idx="79">
                  <c:v>0</c:v>
                </c:pt>
                <c:pt idx="80">
                  <c:v>-19</c:v>
                </c:pt>
                <c:pt idx="81">
                  <c:v>1.3999999999999995</c:v>
                </c:pt>
                <c:pt idx="82">
                  <c:v>-82.54000000000002</c:v>
                </c:pt>
                <c:pt idx="83">
                  <c:v>-88</c:v>
                </c:pt>
                <c:pt idx="84">
                  <c:v>2</c:v>
                </c:pt>
                <c:pt idx="85">
                  <c:v>-5.3099999999999454</c:v>
                </c:pt>
                <c:pt idx="86">
                  <c:v>14</c:v>
                </c:pt>
                <c:pt idx="87">
                  <c:v>-2068.1000000000058</c:v>
                </c:pt>
                <c:pt idx="88">
                  <c:v>0</c:v>
                </c:pt>
                <c:pt idx="89">
                  <c:v>-19.5</c:v>
                </c:pt>
                <c:pt idx="90">
                  <c:v>15.399999999999999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4.2099999999999227</c:v>
                </c:pt>
                <c:pt idx="138">
                  <c:v>0</c:v>
                </c:pt>
                <c:pt idx="139">
                  <c:v>-74</c:v>
                </c:pt>
                <c:pt idx="140">
                  <c:v>-88.100000000000364</c:v>
                </c:pt>
                <c:pt idx="141">
                  <c:v>-470.96000000002095</c:v>
                </c:pt>
                <c:pt idx="142">
                  <c:v>-54.400000000000034</c:v>
                </c:pt>
                <c:pt idx="143">
                  <c:v>100</c:v>
                </c:pt>
                <c:pt idx="144">
                  <c:v>-2.0900000000000318</c:v>
                </c:pt>
                <c:pt idx="145">
                  <c:v>-0.10000000000000142</c:v>
                </c:pt>
                <c:pt idx="146">
                  <c:v>0</c:v>
                </c:pt>
                <c:pt idx="147">
                  <c:v>-98.349999999999909</c:v>
                </c:pt>
                <c:pt idx="148">
                  <c:v>102.65000000000009</c:v>
                </c:pt>
                <c:pt idx="149">
                  <c:v>-4.0000000000000036E-2</c:v>
                </c:pt>
                <c:pt idx="150">
                  <c:v>-616.90000000000009</c:v>
                </c:pt>
                <c:pt idx="151">
                  <c:v>-0.90000000000000568</c:v>
                </c:pt>
                <c:pt idx="152">
                  <c:v>-7.3099999999999454</c:v>
                </c:pt>
                <c:pt idx="153">
                  <c:v>-0.25999999999999801</c:v>
                </c:pt>
                <c:pt idx="154">
                  <c:v>-61.619999999998981</c:v>
                </c:pt>
                <c:pt idx="155">
                  <c:v>-364</c:v>
                </c:pt>
                <c:pt idx="156">
                  <c:v>-31.599999999999909</c:v>
                </c:pt>
                <c:pt idx="157">
                  <c:v>-37.930000000000291</c:v>
                </c:pt>
                <c:pt idx="158">
                  <c:v>-118</c:v>
                </c:pt>
                <c:pt idx="159">
                  <c:v>-120</c:v>
                </c:pt>
                <c:pt idx="160">
                  <c:v>0.85999999999999943</c:v>
                </c:pt>
                <c:pt idx="161">
                  <c:v>-36.759999999998399</c:v>
                </c:pt>
                <c:pt idx="162">
                  <c:v>-121.70999999999913</c:v>
                </c:pt>
                <c:pt idx="163">
                  <c:v>-2.2700000000000387</c:v>
                </c:pt>
                <c:pt idx="164">
                  <c:v>-300</c:v>
                </c:pt>
                <c:pt idx="165">
                  <c:v>-45.5600000000004</c:v>
                </c:pt>
                <c:pt idx="166">
                  <c:v>-475.52999999999975</c:v>
                </c:pt>
                <c:pt idx="167">
                  <c:v>-30</c:v>
                </c:pt>
                <c:pt idx="168">
                  <c:v>-0.20000000000000107</c:v>
                </c:pt>
                <c:pt idx="169">
                  <c:v>-377</c:v>
                </c:pt>
                <c:pt idx="170">
                  <c:v>-730</c:v>
                </c:pt>
                <c:pt idx="171">
                  <c:v>-469.55000000000018</c:v>
                </c:pt>
                <c:pt idx="172">
                  <c:v>-662.78000000000065</c:v>
                </c:pt>
                <c:pt idx="173">
                  <c:v>-1826</c:v>
                </c:pt>
                <c:pt idx="174">
                  <c:v>-2210.2999999999884</c:v>
                </c:pt>
                <c:pt idx="175">
                  <c:v>-710.09000000000015</c:v>
                </c:pt>
                <c:pt idx="176">
                  <c:v>-5.4099999999999966</c:v>
                </c:pt>
                <c:pt idx="177">
                  <c:v>-75</c:v>
                </c:pt>
                <c:pt idx="178">
                  <c:v>-1744.1500000000015</c:v>
                </c:pt>
                <c:pt idx="179">
                  <c:v>-93.200000000000045</c:v>
                </c:pt>
                <c:pt idx="180">
                  <c:v>-14</c:v>
                </c:pt>
                <c:pt idx="181">
                  <c:v>-0.22999999999999998</c:v>
                </c:pt>
                <c:pt idx="182">
                  <c:v>-1150.7099999999919</c:v>
                </c:pt>
                <c:pt idx="183">
                  <c:v>-2.4400000000000048</c:v>
                </c:pt>
                <c:pt idx="184">
                  <c:v>-358</c:v>
                </c:pt>
                <c:pt idx="185">
                  <c:v>-460.70000000000073</c:v>
                </c:pt>
                <c:pt idx="186">
                  <c:v>-767.5</c:v>
                </c:pt>
                <c:pt idx="187">
                  <c:v>-183.90999999999985</c:v>
                </c:pt>
                <c:pt idx="188">
                  <c:v>-347</c:v>
                </c:pt>
                <c:pt idx="189">
                  <c:v>-0.66000000000000014</c:v>
                </c:pt>
                <c:pt idx="190">
                  <c:v>-902.5099999999984</c:v>
                </c:pt>
                <c:pt idx="191">
                  <c:v>-927.15000000000146</c:v>
                </c:pt>
                <c:pt idx="192">
                  <c:v>-0.33999999999999986</c:v>
                </c:pt>
                <c:pt idx="193">
                  <c:v>-4.8199999999999932</c:v>
                </c:pt>
                <c:pt idx="194">
                  <c:v>-2222.6399999999994</c:v>
                </c:pt>
                <c:pt idx="195">
                  <c:v>-165.25999999999931</c:v>
                </c:pt>
                <c:pt idx="196">
                  <c:v>-1633.0499999999993</c:v>
                </c:pt>
                <c:pt idx="197">
                  <c:v>-418</c:v>
                </c:pt>
                <c:pt idx="198">
                  <c:v>-500.10000000000036</c:v>
                </c:pt>
                <c:pt idx="199">
                  <c:v>-209.50999999999931</c:v>
                </c:pt>
                <c:pt idx="200">
                  <c:v>-412.52</c:v>
                </c:pt>
                <c:pt idx="201">
                  <c:v>-16</c:v>
                </c:pt>
                <c:pt idx="202">
                  <c:v>-1183</c:v>
                </c:pt>
                <c:pt idx="203">
                  <c:v>-450</c:v>
                </c:pt>
                <c:pt idx="204">
                  <c:v>-2703.3300000000017</c:v>
                </c:pt>
                <c:pt idx="205">
                  <c:v>-45</c:v>
                </c:pt>
                <c:pt idx="206">
                  <c:v>-2875</c:v>
                </c:pt>
                <c:pt idx="207">
                  <c:v>-0.25999999999999801</c:v>
                </c:pt>
                <c:pt idx="208">
                  <c:v>-4.3800000000000026</c:v>
                </c:pt>
                <c:pt idx="209">
                  <c:v>-457.34000000000015</c:v>
                </c:pt>
                <c:pt idx="210">
                  <c:v>-197.26999999999998</c:v>
                </c:pt>
                <c:pt idx="211">
                  <c:v>-2190</c:v>
                </c:pt>
                <c:pt idx="212">
                  <c:v>-1075.6499999999996</c:v>
                </c:pt>
                <c:pt idx="213">
                  <c:v>-901.70999999999913</c:v>
                </c:pt>
                <c:pt idx="214">
                  <c:v>-83.570000000000164</c:v>
                </c:pt>
                <c:pt idx="215">
                  <c:v>-84.449999999999818</c:v>
                </c:pt>
                <c:pt idx="216">
                  <c:v>-302.60000000000036</c:v>
                </c:pt>
                <c:pt idx="217">
                  <c:v>-1</c:v>
                </c:pt>
                <c:pt idx="218">
                  <c:v>-1554.1699999999983</c:v>
                </c:pt>
                <c:pt idx="219">
                  <c:v>-6730</c:v>
                </c:pt>
                <c:pt idx="220">
                  <c:v>-37809.400000000023</c:v>
                </c:pt>
                <c:pt idx="221">
                  <c:v>-572</c:v>
                </c:pt>
                <c:pt idx="222">
                  <c:v>-3720</c:v>
                </c:pt>
                <c:pt idx="223">
                  <c:v>-4.07</c:v>
                </c:pt>
                <c:pt idx="224">
                  <c:v>-420</c:v>
                </c:pt>
                <c:pt idx="225">
                  <c:v>-17265</c:v>
                </c:pt>
                <c:pt idx="226">
                  <c:v>-3.4300000000000015</c:v>
                </c:pt>
                <c:pt idx="227">
                  <c:v>-140.73000000000002</c:v>
                </c:pt>
                <c:pt idx="228">
                  <c:v>-700</c:v>
                </c:pt>
                <c:pt idx="229">
                  <c:v>-2756.41</c:v>
                </c:pt>
                <c:pt idx="230">
                  <c:v>-4350.3700000000026</c:v>
                </c:pt>
                <c:pt idx="231">
                  <c:v>-223.79000000000087</c:v>
                </c:pt>
                <c:pt idx="232">
                  <c:v>-57.330000000000041</c:v>
                </c:pt>
                <c:pt idx="233">
                  <c:v>-1.6499999999999986</c:v>
                </c:pt>
                <c:pt idx="234">
                  <c:v>-2554.2099999999991</c:v>
                </c:pt>
                <c:pt idx="235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E-8D4D-83E6-2DD4CEC5AED5}"/>
            </c:ext>
          </c:extLst>
        </c:ser>
        <c:ser>
          <c:idx val="1"/>
          <c:order val="1"/>
          <c:tx>
            <c:strRef>
              <c:f>data!$Y$10</c:f>
              <c:strCache>
                <c:ptCount val="1"/>
                <c:pt idx="0">
                  <c:v>2000-2010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data!$B$11:$B$246</c:f>
              <c:strCache>
                <c:ptCount val="236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  <c:pt idx="214">
                  <c:v>Equatorial Guinea</c:v>
                </c:pt>
                <c:pt idx="215">
                  <c:v>Guinea-Bissau</c:v>
                </c:pt>
                <c:pt idx="216">
                  <c:v>Liberia</c:v>
                </c:pt>
                <c:pt idx="217">
                  <c:v>Montserrat</c:v>
                </c:pt>
                <c:pt idx="218">
                  <c:v>Angola</c:v>
                </c:pt>
                <c:pt idx="219">
                  <c:v>Democratic Republic of the Congo</c:v>
                </c:pt>
                <c:pt idx="220">
                  <c:v>Brazil</c:v>
                </c:pt>
                <c:pt idx="221">
                  <c:v>Guatemala</c:v>
                </c:pt>
                <c:pt idx="222">
                  <c:v>United Republic of Tanzania</c:v>
                </c:pt>
                <c:pt idx="223">
                  <c:v>United States Virgin Islands</c:v>
                </c:pt>
                <c:pt idx="224">
                  <c:v>Malawi</c:v>
                </c:pt>
                <c:pt idx="225">
                  <c:v>Indonesia</c:v>
                </c:pt>
                <c:pt idx="226">
                  <c:v>Mayotte</c:v>
                </c:pt>
                <c:pt idx="227">
                  <c:v>Belize</c:v>
                </c:pt>
                <c:pt idx="228">
                  <c:v>Benin</c:v>
                </c:pt>
                <c:pt idx="229">
                  <c:v>Côte d’Ivoire</c:v>
                </c:pt>
                <c:pt idx="230">
                  <c:v>Myanmar</c:v>
                </c:pt>
                <c:pt idx="231">
                  <c:v>Cambodia</c:v>
                </c:pt>
                <c:pt idx="232">
                  <c:v>Gambia</c:v>
                </c:pt>
                <c:pt idx="233">
                  <c:v>Northern Mariana Islands</c:v>
                </c:pt>
                <c:pt idx="234">
                  <c:v>Paraguay</c:v>
                </c:pt>
                <c:pt idx="235">
                  <c:v>Nicaragua</c:v>
                </c:pt>
              </c:strCache>
            </c:strRef>
          </c:cat>
          <c:val>
            <c:numRef>
              <c:f>data!$Y$11:$Y$246</c:f>
              <c:numCache>
                <c:formatCode>#,##0</c:formatCode>
                <c:ptCount val="236"/>
                <c:pt idx="0">
                  <c:v>62.300000000000011</c:v>
                </c:pt>
                <c:pt idx="1">
                  <c:v>1603.9599999999991</c:v>
                </c:pt>
                <c:pt idx="2">
                  <c:v>201</c:v>
                </c:pt>
                <c:pt idx="3">
                  <c:v>497</c:v>
                </c:pt>
                <c:pt idx="4">
                  <c:v>100.64999999999986</c:v>
                </c:pt>
                <c:pt idx="5">
                  <c:v>66.769999999999982</c:v>
                </c:pt>
                <c:pt idx="6">
                  <c:v>1451.4099999999999</c:v>
                </c:pt>
                <c:pt idx="7">
                  <c:v>3</c:v>
                </c:pt>
                <c:pt idx="8">
                  <c:v>0</c:v>
                </c:pt>
                <c:pt idx="9">
                  <c:v>0.98000000000000398</c:v>
                </c:pt>
                <c:pt idx="10">
                  <c:v>362.29999999999995</c:v>
                </c:pt>
                <c:pt idx="11">
                  <c:v>37.450000000000045</c:v>
                </c:pt>
                <c:pt idx="12">
                  <c:v>658.79000000000087</c:v>
                </c:pt>
                <c:pt idx="13">
                  <c:v>23609.830000000016</c:v>
                </c:pt>
                <c:pt idx="14">
                  <c:v>99.289999999999964</c:v>
                </c:pt>
                <c:pt idx="15">
                  <c:v>97.130000000000109</c:v>
                </c:pt>
                <c:pt idx="16">
                  <c:v>362</c:v>
                </c:pt>
                <c:pt idx="17">
                  <c:v>1131</c:v>
                </c:pt>
                <c:pt idx="18">
                  <c:v>357</c:v>
                </c:pt>
                <c:pt idx="19">
                  <c:v>253</c:v>
                </c:pt>
                <c:pt idx="20">
                  <c:v>301.57000000000016</c:v>
                </c:pt>
                <c:pt idx="21">
                  <c:v>90.019999999999982</c:v>
                </c:pt>
                <c:pt idx="22">
                  <c:v>1.5499999999999972</c:v>
                </c:pt>
                <c:pt idx="23">
                  <c:v>3.019999999999996</c:v>
                </c:pt>
                <c:pt idx="24">
                  <c:v>150</c:v>
                </c:pt>
                <c:pt idx="25">
                  <c:v>908.19999999999891</c:v>
                </c:pt>
                <c:pt idx="26">
                  <c:v>131.11999999999989</c:v>
                </c:pt>
                <c:pt idx="27">
                  <c:v>2.8799999999999955</c:v>
                </c:pt>
                <c:pt idx="28">
                  <c:v>934.7300000000032</c:v>
                </c:pt>
                <c:pt idx="29">
                  <c:v>38.539999999999964</c:v>
                </c:pt>
                <c:pt idx="30">
                  <c:v>1.9999999999999574E-2</c:v>
                </c:pt>
                <c:pt idx="31">
                  <c:v>1905</c:v>
                </c:pt>
                <c:pt idx="32">
                  <c:v>388.13999999999987</c:v>
                </c:pt>
                <c:pt idx="33">
                  <c:v>125.22000000000003</c:v>
                </c:pt>
                <c:pt idx="34">
                  <c:v>0</c:v>
                </c:pt>
                <c:pt idx="35">
                  <c:v>13.980000000000018</c:v>
                </c:pt>
                <c:pt idx="36">
                  <c:v>14</c:v>
                </c:pt>
                <c:pt idx="37">
                  <c:v>149</c:v>
                </c:pt>
                <c:pt idx="38">
                  <c:v>0.18999999999999997</c:v>
                </c:pt>
                <c:pt idx="39">
                  <c:v>14.889999999999986</c:v>
                </c:pt>
                <c:pt idx="40">
                  <c:v>45.269999999999982</c:v>
                </c:pt>
                <c:pt idx="41">
                  <c:v>12.150000000000034</c:v>
                </c:pt>
                <c:pt idx="42">
                  <c:v>181.26999999999953</c:v>
                </c:pt>
                <c:pt idx="43">
                  <c:v>-2.319999999999709</c:v>
                </c:pt>
                <c:pt idx="44">
                  <c:v>270</c:v>
                </c:pt>
                <c:pt idx="45">
                  <c:v>30.100000000000023</c:v>
                </c:pt>
                <c:pt idx="46">
                  <c:v>-203.63999999999942</c:v>
                </c:pt>
                <c:pt idx="47">
                  <c:v>105</c:v>
                </c:pt>
                <c:pt idx="48">
                  <c:v>35</c:v>
                </c:pt>
                <c:pt idx="49">
                  <c:v>25.059999999999945</c:v>
                </c:pt>
                <c:pt idx="50">
                  <c:v>0.90999999999999659</c:v>
                </c:pt>
                <c:pt idx="51">
                  <c:v>0</c:v>
                </c:pt>
                <c:pt idx="52">
                  <c:v>1.2299999999999898</c:v>
                </c:pt>
                <c:pt idx="53">
                  <c:v>0.26999999999999602</c:v>
                </c:pt>
                <c:pt idx="54">
                  <c:v>2</c:v>
                </c:pt>
                <c:pt idx="55">
                  <c:v>0.72999999999999687</c:v>
                </c:pt>
                <c:pt idx="56">
                  <c:v>1366.3199999999997</c:v>
                </c:pt>
                <c:pt idx="57">
                  <c:v>7.8700000000000045</c:v>
                </c:pt>
                <c:pt idx="58">
                  <c:v>61.800000000000182</c:v>
                </c:pt>
                <c:pt idx="59">
                  <c:v>1075</c:v>
                </c:pt>
                <c:pt idx="60">
                  <c:v>48.779999999999973</c:v>
                </c:pt>
                <c:pt idx="61">
                  <c:v>60</c:v>
                </c:pt>
                <c:pt idx="62">
                  <c:v>5184</c:v>
                </c:pt>
                <c:pt idx="63">
                  <c:v>38</c:v>
                </c:pt>
                <c:pt idx="64">
                  <c:v>13.980000000000018</c:v>
                </c:pt>
                <c:pt idx="65">
                  <c:v>0.15000000000000002</c:v>
                </c:pt>
                <c:pt idx="66">
                  <c:v>20.090000000000146</c:v>
                </c:pt>
                <c:pt idx="67">
                  <c:v>168.02999999999975</c:v>
                </c:pt>
                <c:pt idx="68">
                  <c:v>16.5</c:v>
                </c:pt>
                <c:pt idx="69">
                  <c:v>22.57000000000005</c:v>
                </c:pt>
                <c:pt idx="70">
                  <c:v>5867.0999999999767</c:v>
                </c:pt>
                <c:pt idx="71">
                  <c:v>19.579999999999927</c:v>
                </c:pt>
                <c:pt idx="72">
                  <c:v>1.1699999999999591</c:v>
                </c:pt>
                <c:pt idx="73">
                  <c:v>1</c:v>
                </c:pt>
                <c:pt idx="74">
                  <c:v>-0.83000000000001251</c:v>
                </c:pt>
                <c:pt idx="75">
                  <c:v>0</c:v>
                </c:pt>
                <c:pt idx="76">
                  <c:v>14.840000000000003</c:v>
                </c:pt>
                <c:pt idx="77">
                  <c:v>55</c:v>
                </c:pt>
                <c:pt idx="78">
                  <c:v>1.0000000000000675E-2</c:v>
                </c:pt>
                <c:pt idx="79">
                  <c:v>0.86999999999999922</c:v>
                </c:pt>
                <c:pt idx="80">
                  <c:v>-11</c:v>
                </c:pt>
                <c:pt idx="81">
                  <c:v>1.4000000000000004</c:v>
                </c:pt>
                <c:pt idx="82">
                  <c:v>0</c:v>
                </c:pt>
                <c:pt idx="83">
                  <c:v>339</c:v>
                </c:pt>
                <c:pt idx="84">
                  <c:v>0</c:v>
                </c:pt>
                <c:pt idx="85">
                  <c:v>-74.75</c:v>
                </c:pt>
                <c:pt idx="86">
                  <c:v>7</c:v>
                </c:pt>
                <c:pt idx="87">
                  <c:v>-2268</c:v>
                </c:pt>
                <c:pt idx="88">
                  <c:v>0</c:v>
                </c:pt>
                <c:pt idx="89">
                  <c:v>12.770000000000095</c:v>
                </c:pt>
                <c:pt idx="90">
                  <c:v>6.43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-4.1999999999999318</c:v>
                </c:pt>
                <c:pt idx="138">
                  <c:v>0</c:v>
                </c:pt>
                <c:pt idx="139">
                  <c:v>90</c:v>
                </c:pt>
                <c:pt idx="140">
                  <c:v>-80</c:v>
                </c:pt>
                <c:pt idx="141">
                  <c:v>-479.75999999995111</c:v>
                </c:pt>
                <c:pt idx="142">
                  <c:v>-54.399999999999977</c:v>
                </c:pt>
                <c:pt idx="143">
                  <c:v>-90</c:v>
                </c:pt>
                <c:pt idx="144">
                  <c:v>-2.0799999999999841</c:v>
                </c:pt>
                <c:pt idx="145">
                  <c:v>-5.9999999999998721E-2</c:v>
                </c:pt>
                <c:pt idx="146">
                  <c:v>-31.990000000000009</c:v>
                </c:pt>
                <c:pt idx="147">
                  <c:v>-8.9900000000002365</c:v>
                </c:pt>
                <c:pt idx="148">
                  <c:v>-344.84999999999991</c:v>
                </c:pt>
                <c:pt idx="149">
                  <c:v>-2.9999999999999805E-2</c:v>
                </c:pt>
                <c:pt idx="150">
                  <c:v>-124.19999999999982</c:v>
                </c:pt>
                <c:pt idx="151">
                  <c:v>-0.71999999999999886</c:v>
                </c:pt>
                <c:pt idx="152">
                  <c:v>-7.319999999999709</c:v>
                </c:pt>
                <c:pt idx="153">
                  <c:v>-0.24000000000000199</c:v>
                </c:pt>
                <c:pt idx="154">
                  <c:v>-50.590000000000146</c:v>
                </c:pt>
                <c:pt idx="155">
                  <c:v>-364</c:v>
                </c:pt>
                <c:pt idx="156">
                  <c:v>-31.600000000000136</c:v>
                </c:pt>
                <c:pt idx="157">
                  <c:v>-44.409999999999854</c:v>
                </c:pt>
                <c:pt idx="158">
                  <c:v>-29</c:v>
                </c:pt>
                <c:pt idx="159">
                  <c:v>-120</c:v>
                </c:pt>
                <c:pt idx="160">
                  <c:v>-3.5399999999999991</c:v>
                </c:pt>
                <c:pt idx="161">
                  <c:v>-41.010000000000218</c:v>
                </c:pt>
                <c:pt idx="162">
                  <c:v>-99.080000000001746</c:v>
                </c:pt>
                <c:pt idx="163">
                  <c:v>-2.2699999999999818</c:v>
                </c:pt>
                <c:pt idx="164">
                  <c:v>-300</c:v>
                </c:pt>
                <c:pt idx="165">
                  <c:v>-42.9399999999996</c:v>
                </c:pt>
                <c:pt idx="166">
                  <c:v>-417.5300000000002</c:v>
                </c:pt>
                <c:pt idx="167">
                  <c:v>-22</c:v>
                </c:pt>
                <c:pt idx="168">
                  <c:v>-0.20999999999999908</c:v>
                </c:pt>
                <c:pt idx="169">
                  <c:v>-823</c:v>
                </c:pt>
                <c:pt idx="170">
                  <c:v>-730</c:v>
                </c:pt>
                <c:pt idx="171">
                  <c:v>-469.53999999999996</c:v>
                </c:pt>
                <c:pt idx="172">
                  <c:v>-468.69000000000051</c:v>
                </c:pt>
                <c:pt idx="173">
                  <c:v>-3164</c:v>
                </c:pt>
                <c:pt idx="174">
                  <c:v>-1438.0400000000081</c:v>
                </c:pt>
                <c:pt idx="175">
                  <c:v>-710.09000000000015</c:v>
                </c:pt>
                <c:pt idx="176">
                  <c:v>-4.2400000000000091</c:v>
                </c:pt>
                <c:pt idx="177">
                  <c:v>-89</c:v>
                </c:pt>
                <c:pt idx="178">
                  <c:v>-1744.9900000000016</c:v>
                </c:pt>
                <c:pt idx="179">
                  <c:v>-29.590000000000146</c:v>
                </c:pt>
                <c:pt idx="180">
                  <c:v>-14</c:v>
                </c:pt>
                <c:pt idx="181">
                  <c:v>-0.22999999999999998</c:v>
                </c:pt>
                <c:pt idx="182">
                  <c:v>-1248.0299999999988</c:v>
                </c:pt>
                <c:pt idx="183">
                  <c:v>0</c:v>
                </c:pt>
                <c:pt idx="184">
                  <c:v>-358</c:v>
                </c:pt>
                <c:pt idx="185">
                  <c:v>-460.70000000000073</c:v>
                </c:pt>
                <c:pt idx="186">
                  <c:v>-767.5</c:v>
                </c:pt>
                <c:pt idx="187">
                  <c:v>-62.800000000000182</c:v>
                </c:pt>
                <c:pt idx="188">
                  <c:v>-360</c:v>
                </c:pt>
                <c:pt idx="189">
                  <c:v>-0.66999999999999993</c:v>
                </c:pt>
                <c:pt idx="190">
                  <c:v>-697.01000000000204</c:v>
                </c:pt>
                <c:pt idx="191">
                  <c:v>-743.69999999999709</c:v>
                </c:pt>
                <c:pt idx="192">
                  <c:v>-0.30000000000000071</c:v>
                </c:pt>
                <c:pt idx="193">
                  <c:v>-4.8199999999999932</c:v>
                </c:pt>
                <c:pt idx="194">
                  <c:v>-1927.7099999999991</c:v>
                </c:pt>
                <c:pt idx="195">
                  <c:v>-114.15000000000055</c:v>
                </c:pt>
                <c:pt idx="196">
                  <c:v>-1633.0600000000013</c:v>
                </c:pt>
                <c:pt idx="197">
                  <c:v>-484.5</c:v>
                </c:pt>
                <c:pt idx="198">
                  <c:v>-500</c:v>
                </c:pt>
                <c:pt idx="199">
                  <c:v>-202.80000000000018</c:v>
                </c:pt>
                <c:pt idx="200">
                  <c:v>-412.52999999999975</c:v>
                </c:pt>
                <c:pt idx="201">
                  <c:v>-17</c:v>
                </c:pt>
                <c:pt idx="202">
                  <c:v>-1183</c:v>
                </c:pt>
                <c:pt idx="203">
                  <c:v>-385</c:v>
                </c:pt>
                <c:pt idx="204">
                  <c:v>-2015.3799999999974</c:v>
                </c:pt>
                <c:pt idx="205">
                  <c:v>-45</c:v>
                </c:pt>
                <c:pt idx="206">
                  <c:v>-1646</c:v>
                </c:pt>
                <c:pt idx="207">
                  <c:v>-0.25999999999999801</c:v>
                </c:pt>
                <c:pt idx="208">
                  <c:v>-4.3800000000000026</c:v>
                </c:pt>
                <c:pt idx="209">
                  <c:v>-212.29999999999927</c:v>
                </c:pt>
                <c:pt idx="210">
                  <c:v>-197.26999999999998</c:v>
                </c:pt>
                <c:pt idx="211">
                  <c:v>-2215.8600000000006</c:v>
                </c:pt>
                <c:pt idx="212">
                  <c:v>-905.68000000000029</c:v>
                </c:pt>
                <c:pt idx="213">
                  <c:v>-702.30999999999949</c:v>
                </c:pt>
                <c:pt idx="214">
                  <c:v>-83.569999999999709</c:v>
                </c:pt>
                <c:pt idx="215">
                  <c:v>-84.450000000000273</c:v>
                </c:pt>
                <c:pt idx="216">
                  <c:v>-302.59999999999945</c:v>
                </c:pt>
                <c:pt idx="217">
                  <c:v>0</c:v>
                </c:pt>
                <c:pt idx="218">
                  <c:v>-5550.6100000000006</c:v>
                </c:pt>
                <c:pt idx="219">
                  <c:v>-6730</c:v>
                </c:pt>
                <c:pt idx="220">
                  <c:v>-39507.899999999965</c:v>
                </c:pt>
                <c:pt idx="221">
                  <c:v>-486.59999999999991</c:v>
                </c:pt>
                <c:pt idx="222">
                  <c:v>-3720</c:v>
                </c:pt>
                <c:pt idx="223">
                  <c:v>-2.0399999999999991</c:v>
                </c:pt>
                <c:pt idx="224">
                  <c:v>-420</c:v>
                </c:pt>
                <c:pt idx="225">
                  <c:v>-1620.8000000000029</c:v>
                </c:pt>
                <c:pt idx="226">
                  <c:v>-1.2599999999999998</c:v>
                </c:pt>
                <c:pt idx="227">
                  <c:v>-67.909999999999854</c:v>
                </c:pt>
                <c:pt idx="228">
                  <c:v>-499.99999999999955</c:v>
                </c:pt>
                <c:pt idx="229">
                  <c:v>-1128.8699999999999</c:v>
                </c:pt>
                <c:pt idx="230">
                  <c:v>-3427.1100000000006</c:v>
                </c:pt>
                <c:pt idx="231">
                  <c:v>-191.77000000000044</c:v>
                </c:pt>
                <c:pt idx="232">
                  <c:v>-57.329999999999984</c:v>
                </c:pt>
                <c:pt idx="233">
                  <c:v>-1.6400000000000006</c:v>
                </c:pt>
                <c:pt idx="234">
                  <c:v>-3421.4400000000023</c:v>
                </c:pt>
                <c:pt idx="235">
                  <c:v>-1211.17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E-8D4D-83E6-2DD4CEC5AED5}"/>
            </c:ext>
          </c:extLst>
        </c:ser>
        <c:ser>
          <c:idx val="2"/>
          <c:order val="2"/>
          <c:tx>
            <c:strRef>
              <c:f>data!$Z$10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data!$B$11:$B$246</c:f>
              <c:strCache>
                <c:ptCount val="236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  <c:pt idx="214">
                  <c:v>Equatorial Guinea</c:v>
                </c:pt>
                <c:pt idx="215">
                  <c:v>Guinea-Bissau</c:v>
                </c:pt>
                <c:pt idx="216">
                  <c:v>Liberia</c:v>
                </c:pt>
                <c:pt idx="217">
                  <c:v>Montserrat</c:v>
                </c:pt>
                <c:pt idx="218">
                  <c:v>Angola</c:v>
                </c:pt>
                <c:pt idx="219">
                  <c:v>Democratic Republic of the Congo</c:v>
                </c:pt>
                <c:pt idx="220">
                  <c:v>Brazil</c:v>
                </c:pt>
                <c:pt idx="221">
                  <c:v>Guatemala</c:v>
                </c:pt>
                <c:pt idx="222">
                  <c:v>United Republic of Tanzania</c:v>
                </c:pt>
                <c:pt idx="223">
                  <c:v>United States Virgin Islands</c:v>
                </c:pt>
                <c:pt idx="224">
                  <c:v>Malawi</c:v>
                </c:pt>
                <c:pt idx="225">
                  <c:v>Indonesia</c:v>
                </c:pt>
                <c:pt idx="226">
                  <c:v>Mayotte</c:v>
                </c:pt>
                <c:pt idx="227">
                  <c:v>Belize</c:v>
                </c:pt>
                <c:pt idx="228">
                  <c:v>Benin</c:v>
                </c:pt>
                <c:pt idx="229">
                  <c:v>Côte d’Ivoire</c:v>
                </c:pt>
                <c:pt idx="230">
                  <c:v>Myanmar</c:v>
                </c:pt>
                <c:pt idx="231">
                  <c:v>Cambodia</c:v>
                </c:pt>
                <c:pt idx="232">
                  <c:v>Gambia</c:v>
                </c:pt>
                <c:pt idx="233">
                  <c:v>Northern Mariana Islands</c:v>
                </c:pt>
                <c:pt idx="234">
                  <c:v>Paraguay</c:v>
                </c:pt>
                <c:pt idx="235">
                  <c:v>Nicaragua</c:v>
                </c:pt>
              </c:strCache>
            </c:strRef>
          </c:cat>
          <c:val>
            <c:numRef>
              <c:f>data!$Z$11:$Z$224</c:f>
              <c:numCache>
                <c:formatCode>#,##0</c:formatCode>
                <c:ptCount val="214"/>
                <c:pt idx="0">
                  <c:v>2.4300000000000068</c:v>
                </c:pt>
                <c:pt idx="1">
                  <c:v>673.80000000000109</c:v>
                </c:pt>
                <c:pt idx="2">
                  <c:v>0</c:v>
                </c:pt>
                <c:pt idx="3">
                  <c:v>252</c:v>
                </c:pt>
                <c:pt idx="4">
                  <c:v>30.5300000000002</c:v>
                </c:pt>
                <c:pt idx="5">
                  <c:v>33.379999999999882</c:v>
                </c:pt>
                <c:pt idx="6">
                  <c:v>5.8400000000001455</c:v>
                </c:pt>
                <c:pt idx="7">
                  <c:v>1.5</c:v>
                </c:pt>
                <c:pt idx="8">
                  <c:v>1</c:v>
                </c:pt>
                <c:pt idx="9">
                  <c:v>0.42999999999999972</c:v>
                </c:pt>
                <c:pt idx="10">
                  <c:v>188.70000000000005</c:v>
                </c:pt>
                <c:pt idx="11">
                  <c:v>19.009999999999991</c:v>
                </c:pt>
                <c:pt idx="12">
                  <c:v>269.03999999999905</c:v>
                </c:pt>
                <c:pt idx="13">
                  <c:v>9683.8699999999953</c:v>
                </c:pt>
                <c:pt idx="14">
                  <c:v>9.8899999999998727</c:v>
                </c:pt>
                <c:pt idx="15">
                  <c:v>84.990000000000236</c:v>
                </c:pt>
                <c:pt idx="16">
                  <c:v>96</c:v>
                </c:pt>
                <c:pt idx="17">
                  <c:v>417</c:v>
                </c:pt>
                <c:pt idx="18">
                  <c:v>3.5</c:v>
                </c:pt>
                <c:pt idx="19">
                  <c:v>6.5300000000002001</c:v>
                </c:pt>
                <c:pt idx="20">
                  <c:v>0</c:v>
                </c:pt>
                <c:pt idx="21">
                  <c:v>34.289999999999964</c:v>
                </c:pt>
                <c:pt idx="22">
                  <c:v>1</c:v>
                </c:pt>
                <c:pt idx="23">
                  <c:v>2.0500000000000114</c:v>
                </c:pt>
                <c:pt idx="24">
                  <c:v>17</c:v>
                </c:pt>
                <c:pt idx="25">
                  <c:v>870.82000000000335</c:v>
                </c:pt>
                <c:pt idx="26">
                  <c:v>19.320000000000164</c:v>
                </c:pt>
                <c:pt idx="27">
                  <c:v>33.970000000000027</c:v>
                </c:pt>
                <c:pt idx="28">
                  <c:v>547.21999999999753</c:v>
                </c:pt>
                <c:pt idx="29">
                  <c:v>17.190000000000055</c:v>
                </c:pt>
                <c:pt idx="30">
                  <c:v>0</c:v>
                </c:pt>
                <c:pt idx="31">
                  <c:v>1332</c:v>
                </c:pt>
                <c:pt idx="32">
                  <c:v>199.80000000000018</c:v>
                </c:pt>
                <c:pt idx="33">
                  <c:v>14.430000000000064</c:v>
                </c:pt>
                <c:pt idx="34">
                  <c:v>0</c:v>
                </c:pt>
                <c:pt idx="35">
                  <c:v>81.830000000000382</c:v>
                </c:pt>
                <c:pt idx="36">
                  <c:v>1</c:v>
                </c:pt>
                <c:pt idx="37">
                  <c:v>385.96000000000004</c:v>
                </c:pt>
                <c:pt idx="38">
                  <c:v>0</c:v>
                </c:pt>
                <c:pt idx="39">
                  <c:v>38.189999999999941</c:v>
                </c:pt>
                <c:pt idx="40">
                  <c:v>45.400000000000091</c:v>
                </c:pt>
                <c:pt idx="41">
                  <c:v>6.0699999999999932</c:v>
                </c:pt>
                <c:pt idx="42">
                  <c:v>0</c:v>
                </c:pt>
                <c:pt idx="43">
                  <c:v>-1.5100000000002183</c:v>
                </c:pt>
                <c:pt idx="44">
                  <c:v>91</c:v>
                </c:pt>
                <c:pt idx="45">
                  <c:v>11.899999999999977</c:v>
                </c:pt>
                <c:pt idx="46">
                  <c:v>167</c:v>
                </c:pt>
                <c:pt idx="47">
                  <c:v>96</c:v>
                </c:pt>
                <c:pt idx="48">
                  <c:v>2</c:v>
                </c:pt>
                <c:pt idx="49">
                  <c:v>17.990000000000236</c:v>
                </c:pt>
                <c:pt idx="50">
                  <c:v>0</c:v>
                </c:pt>
                <c:pt idx="51">
                  <c:v>0</c:v>
                </c:pt>
                <c:pt idx="52">
                  <c:v>-0.12999999999999545</c:v>
                </c:pt>
                <c:pt idx="53">
                  <c:v>0.14000000000000057</c:v>
                </c:pt>
                <c:pt idx="54">
                  <c:v>0</c:v>
                </c:pt>
                <c:pt idx="55">
                  <c:v>-1.2699999999999996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-12</c:v>
                </c:pt>
                <c:pt idx="60">
                  <c:v>22.129999999999882</c:v>
                </c:pt>
                <c:pt idx="61">
                  <c:v>30.000000000000057</c:v>
                </c:pt>
                <c:pt idx="62">
                  <c:v>1375</c:v>
                </c:pt>
                <c:pt idx="63">
                  <c:v>109</c:v>
                </c:pt>
                <c:pt idx="64">
                  <c:v>-8.6500000000000341</c:v>
                </c:pt>
                <c:pt idx="65">
                  <c:v>7.999999999999996E-2</c:v>
                </c:pt>
                <c:pt idx="66">
                  <c:v>11.009999999999764</c:v>
                </c:pt>
                <c:pt idx="67">
                  <c:v>10.119999999999891</c:v>
                </c:pt>
                <c:pt idx="68">
                  <c:v>3.8399999999999181</c:v>
                </c:pt>
                <c:pt idx="69">
                  <c:v>-0.57000000000005002</c:v>
                </c:pt>
                <c:pt idx="70">
                  <c:v>-205.14000000001397</c:v>
                </c:pt>
                <c:pt idx="71">
                  <c:v>7.6500000000000909</c:v>
                </c:pt>
                <c:pt idx="72">
                  <c:v>-0.5</c:v>
                </c:pt>
                <c:pt idx="73">
                  <c:v>11</c:v>
                </c:pt>
                <c:pt idx="74">
                  <c:v>2.9800000000000182</c:v>
                </c:pt>
                <c:pt idx="75">
                  <c:v>0</c:v>
                </c:pt>
                <c:pt idx="76">
                  <c:v>3.4899999999999949</c:v>
                </c:pt>
                <c:pt idx="77">
                  <c:v>10</c:v>
                </c:pt>
                <c:pt idx="78">
                  <c:v>9.9999999999997868E-3</c:v>
                </c:pt>
                <c:pt idx="79">
                  <c:v>0.19000000000000128</c:v>
                </c:pt>
                <c:pt idx="80">
                  <c:v>39</c:v>
                </c:pt>
                <c:pt idx="81">
                  <c:v>0</c:v>
                </c:pt>
                <c:pt idx="82">
                  <c:v>85.699999999999989</c:v>
                </c:pt>
                <c:pt idx="83">
                  <c:v>38</c:v>
                </c:pt>
                <c:pt idx="84">
                  <c:v>11.800000000000011</c:v>
                </c:pt>
                <c:pt idx="85">
                  <c:v>226.2800000000002</c:v>
                </c:pt>
                <c:pt idx="86">
                  <c:v>0</c:v>
                </c:pt>
                <c:pt idx="87">
                  <c:v>3548.3999999999942</c:v>
                </c:pt>
                <c:pt idx="88">
                  <c:v>0</c:v>
                </c:pt>
                <c:pt idx="89">
                  <c:v>7.1200000000000045</c:v>
                </c:pt>
                <c:pt idx="90">
                  <c:v>-17.22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-0.40999999999996817</c:v>
                </c:pt>
                <c:pt idx="138">
                  <c:v>0</c:v>
                </c:pt>
                <c:pt idx="139">
                  <c:v>-22</c:v>
                </c:pt>
                <c:pt idx="140">
                  <c:v>-5.569999999999709</c:v>
                </c:pt>
                <c:pt idx="141">
                  <c:v>-206.5</c:v>
                </c:pt>
                <c:pt idx="142">
                  <c:v>-27.199999999999989</c:v>
                </c:pt>
                <c:pt idx="143">
                  <c:v>-93</c:v>
                </c:pt>
                <c:pt idx="144">
                  <c:v>-1.0400000000000205</c:v>
                </c:pt>
                <c:pt idx="145">
                  <c:v>5.0000000000000711E-2</c:v>
                </c:pt>
                <c:pt idx="146">
                  <c:v>-4.9399999999998272</c:v>
                </c:pt>
                <c:pt idx="147">
                  <c:v>57.840000000000146</c:v>
                </c:pt>
                <c:pt idx="148">
                  <c:v>-93.930000000000291</c:v>
                </c:pt>
                <c:pt idx="149">
                  <c:v>-2.0000000000000018E-2</c:v>
                </c:pt>
                <c:pt idx="150">
                  <c:v>-62.100000000000136</c:v>
                </c:pt>
                <c:pt idx="151">
                  <c:v>0.67000000000000171</c:v>
                </c:pt>
                <c:pt idx="152">
                  <c:v>-3.6600000000003092</c:v>
                </c:pt>
                <c:pt idx="153">
                  <c:v>0</c:v>
                </c:pt>
                <c:pt idx="154">
                  <c:v>-59.409999999999854</c:v>
                </c:pt>
                <c:pt idx="155">
                  <c:v>-182</c:v>
                </c:pt>
                <c:pt idx="156">
                  <c:v>-15.799999999999955</c:v>
                </c:pt>
                <c:pt idx="157">
                  <c:v>-58.450000000000728</c:v>
                </c:pt>
                <c:pt idx="158">
                  <c:v>60</c:v>
                </c:pt>
                <c:pt idx="159">
                  <c:v>-60</c:v>
                </c:pt>
                <c:pt idx="160">
                  <c:v>-9.0000000000003411E-2</c:v>
                </c:pt>
                <c:pt idx="161">
                  <c:v>-48.190000000000509</c:v>
                </c:pt>
                <c:pt idx="162">
                  <c:v>-154.47000000000116</c:v>
                </c:pt>
                <c:pt idx="163">
                  <c:v>-15.529999999999973</c:v>
                </c:pt>
                <c:pt idx="164">
                  <c:v>-150</c:v>
                </c:pt>
                <c:pt idx="165">
                  <c:v>-16.5</c:v>
                </c:pt>
                <c:pt idx="166">
                  <c:v>-161.13000000000011</c:v>
                </c:pt>
                <c:pt idx="167">
                  <c:v>5</c:v>
                </c:pt>
                <c:pt idx="168">
                  <c:v>0</c:v>
                </c:pt>
                <c:pt idx="169">
                  <c:v>-640</c:v>
                </c:pt>
                <c:pt idx="170">
                  <c:v>-365</c:v>
                </c:pt>
                <c:pt idx="171">
                  <c:v>174.42999999999938</c:v>
                </c:pt>
                <c:pt idx="172">
                  <c:v>-66.090000000000146</c:v>
                </c:pt>
                <c:pt idx="173">
                  <c:v>-1117</c:v>
                </c:pt>
                <c:pt idx="174">
                  <c:v>-612.39999999999418</c:v>
                </c:pt>
                <c:pt idx="175">
                  <c:v>-355.03999999999996</c:v>
                </c:pt>
                <c:pt idx="176">
                  <c:v>-2.1200000000000045</c:v>
                </c:pt>
                <c:pt idx="177">
                  <c:v>-50</c:v>
                </c:pt>
                <c:pt idx="178">
                  <c:v>-871.23999999999796</c:v>
                </c:pt>
                <c:pt idx="179">
                  <c:v>-14.799999999999955</c:v>
                </c:pt>
                <c:pt idx="180">
                  <c:v>-7</c:v>
                </c:pt>
                <c:pt idx="181">
                  <c:v>-0.10999999999999988</c:v>
                </c:pt>
                <c:pt idx="182">
                  <c:v>-855.27000000000407</c:v>
                </c:pt>
                <c:pt idx="183">
                  <c:v>0</c:v>
                </c:pt>
                <c:pt idx="184">
                  <c:v>-940.90000000000146</c:v>
                </c:pt>
                <c:pt idx="185">
                  <c:v>-230.34999999999854</c:v>
                </c:pt>
                <c:pt idx="186">
                  <c:v>-383.75</c:v>
                </c:pt>
                <c:pt idx="187">
                  <c:v>25.200000000000273</c:v>
                </c:pt>
                <c:pt idx="188">
                  <c:v>-180</c:v>
                </c:pt>
                <c:pt idx="189">
                  <c:v>-0.33000000000000007</c:v>
                </c:pt>
                <c:pt idx="190">
                  <c:v>-280</c:v>
                </c:pt>
                <c:pt idx="191">
                  <c:v>516.56999999999971</c:v>
                </c:pt>
                <c:pt idx="192">
                  <c:v>-0.14999999999999858</c:v>
                </c:pt>
                <c:pt idx="193">
                  <c:v>-2.4200000000000159</c:v>
                </c:pt>
                <c:pt idx="194">
                  <c:v>-673.12999999999738</c:v>
                </c:pt>
                <c:pt idx="195">
                  <c:v>-57.079999999999927</c:v>
                </c:pt>
                <c:pt idx="196">
                  <c:v>-816.52999999999884</c:v>
                </c:pt>
                <c:pt idx="197">
                  <c:v>-172.5</c:v>
                </c:pt>
                <c:pt idx="198">
                  <c:v>-250.10000000000036</c:v>
                </c:pt>
                <c:pt idx="199">
                  <c:v>-111.64000000000033</c:v>
                </c:pt>
                <c:pt idx="200">
                  <c:v>-206.26000000000022</c:v>
                </c:pt>
                <c:pt idx="201">
                  <c:v>0</c:v>
                </c:pt>
                <c:pt idx="202">
                  <c:v>-591.5</c:v>
                </c:pt>
                <c:pt idx="203">
                  <c:v>-200</c:v>
                </c:pt>
                <c:pt idx="204">
                  <c:v>-1058.7900000000009</c:v>
                </c:pt>
                <c:pt idx="205">
                  <c:v>-22.5</c:v>
                </c:pt>
                <c:pt idx="206">
                  <c:v>-822</c:v>
                </c:pt>
                <c:pt idx="207">
                  <c:v>-3.1000000000000014</c:v>
                </c:pt>
                <c:pt idx="208">
                  <c:v>-2.1899999999999977</c:v>
                </c:pt>
                <c:pt idx="209">
                  <c:v>-106.15000000000055</c:v>
                </c:pt>
                <c:pt idx="210">
                  <c:v>-98.629999999999654</c:v>
                </c:pt>
                <c:pt idx="211">
                  <c:v>-1032.1399999999994</c:v>
                </c:pt>
                <c:pt idx="212">
                  <c:v>-62.490000000000691</c:v>
                </c:pt>
                <c:pt idx="213">
                  <c:v>-209.01000000000022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2E-8D4D-83E6-2DD4CEC5AED5}"/>
            </c:ext>
          </c:extLst>
        </c:ser>
        <c:ser>
          <c:idx val="3"/>
          <c:order val="3"/>
          <c:tx>
            <c:strRef>
              <c:f>data!$AA$10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data!$B$11:$B$246</c:f>
              <c:strCache>
                <c:ptCount val="236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  <c:pt idx="214">
                  <c:v>Equatorial Guinea</c:v>
                </c:pt>
                <c:pt idx="215">
                  <c:v>Guinea-Bissau</c:v>
                </c:pt>
                <c:pt idx="216">
                  <c:v>Liberia</c:v>
                </c:pt>
                <c:pt idx="217">
                  <c:v>Montserrat</c:v>
                </c:pt>
                <c:pt idx="218">
                  <c:v>Angola</c:v>
                </c:pt>
                <c:pt idx="219">
                  <c:v>Democratic Republic of the Congo</c:v>
                </c:pt>
                <c:pt idx="220">
                  <c:v>Brazil</c:v>
                </c:pt>
                <c:pt idx="221">
                  <c:v>Guatemala</c:v>
                </c:pt>
                <c:pt idx="222">
                  <c:v>United Republic of Tanzania</c:v>
                </c:pt>
                <c:pt idx="223">
                  <c:v>United States Virgin Islands</c:v>
                </c:pt>
                <c:pt idx="224">
                  <c:v>Malawi</c:v>
                </c:pt>
                <c:pt idx="225">
                  <c:v>Indonesia</c:v>
                </c:pt>
                <c:pt idx="226">
                  <c:v>Mayotte</c:v>
                </c:pt>
                <c:pt idx="227">
                  <c:v>Belize</c:v>
                </c:pt>
                <c:pt idx="228">
                  <c:v>Benin</c:v>
                </c:pt>
                <c:pt idx="229">
                  <c:v>Côte d’Ivoire</c:v>
                </c:pt>
                <c:pt idx="230">
                  <c:v>Myanmar</c:v>
                </c:pt>
                <c:pt idx="231">
                  <c:v>Cambodia</c:v>
                </c:pt>
                <c:pt idx="232">
                  <c:v>Gambia</c:v>
                </c:pt>
                <c:pt idx="233">
                  <c:v>Northern Mariana Islands</c:v>
                </c:pt>
                <c:pt idx="234">
                  <c:v>Paraguay</c:v>
                </c:pt>
                <c:pt idx="235">
                  <c:v>Nicaragua</c:v>
                </c:pt>
              </c:strCache>
            </c:strRef>
          </c:cat>
          <c:val>
            <c:numRef>
              <c:f>data!$AA$11:$AA$224</c:f>
              <c:numCache>
                <c:formatCode>#,##0</c:formatCode>
                <c:ptCount val="214"/>
                <c:pt idx="0">
                  <c:v>2.4499999999999886</c:v>
                </c:pt>
                <c:pt idx="1">
                  <c:v>581.22999999999956</c:v>
                </c:pt>
                <c:pt idx="2">
                  <c:v>0</c:v>
                </c:pt>
                <c:pt idx="3">
                  <c:v>58</c:v>
                </c:pt>
                <c:pt idx="4">
                  <c:v>40.449999999999818</c:v>
                </c:pt>
                <c:pt idx="5">
                  <c:v>33.400000000000091</c:v>
                </c:pt>
                <c:pt idx="6">
                  <c:v>20.989999999997963</c:v>
                </c:pt>
                <c:pt idx="7">
                  <c:v>1.5</c:v>
                </c:pt>
                <c:pt idx="8">
                  <c:v>3</c:v>
                </c:pt>
                <c:pt idx="9">
                  <c:v>0.4199999999999946</c:v>
                </c:pt>
                <c:pt idx="10">
                  <c:v>111</c:v>
                </c:pt>
                <c:pt idx="11">
                  <c:v>19.42999999999995</c:v>
                </c:pt>
                <c:pt idx="12">
                  <c:v>269.04999999999927</c:v>
                </c:pt>
                <c:pt idx="13">
                  <c:v>9683.929999999993</c:v>
                </c:pt>
                <c:pt idx="14">
                  <c:v>9.9000000000000909</c:v>
                </c:pt>
                <c:pt idx="15">
                  <c:v>17.389999999999873</c:v>
                </c:pt>
                <c:pt idx="16">
                  <c:v>60</c:v>
                </c:pt>
                <c:pt idx="17">
                  <c:v>417</c:v>
                </c:pt>
                <c:pt idx="18">
                  <c:v>134.10000000000036</c:v>
                </c:pt>
                <c:pt idx="19">
                  <c:v>3.1199999999998909</c:v>
                </c:pt>
                <c:pt idx="20">
                  <c:v>0</c:v>
                </c:pt>
                <c:pt idx="21">
                  <c:v>27.350000000000023</c:v>
                </c:pt>
                <c:pt idx="22">
                  <c:v>1</c:v>
                </c:pt>
                <c:pt idx="23">
                  <c:v>2.3999999999999915</c:v>
                </c:pt>
                <c:pt idx="24">
                  <c:v>14</c:v>
                </c:pt>
                <c:pt idx="25">
                  <c:v>614.61999999999898</c:v>
                </c:pt>
                <c:pt idx="26">
                  <c:v>19.349999999999909</c:v>
                </c:pt>
                <c:pt idx="27">
                  <c:v>7.0900000000000318</c:v>
                </c:pt>
                <c:pt idx="28">
                  <c:v>590.06000000000131</c:v>
                </c:pt>
                <c:pt idx="29">
                  <c:v>17.199999999999818</c:v>
                </c:pt>
                <c:pt idx="30">
                  <c:v>0</c:v>
                </c:pt>
                <c:pt idx="31">
                  <c:v>1332</c:v>
                </c:pt>
                <c:pt idx="32">
                  <c:v>140.25999999999976</c:v>
                </c:pt>
                <c:pt idx="33">
                  <c:v>-7.8099999999999454</c:v>
                </c:pt>
                <c:pt idx="34">
                  <c:v>0</c:v>
                </c:pt>
                <c:pt idx="35">
                  <c:v>81.839999999999691</c:v>
                </c:pt>
                <c:pt idx="36">
                  <c:v>-10.170000000000073</c:v>
                </c:pt>
                <c:pt idx="37">
                  <c:v>28.090000000000146</c:v>
                </c:pt>
                <c:pt idx="38">
                  <c:v>0</c:v>
                </c:pt>
                <c:pt idx="39">
                  <c:v>3.7600000000001046</c:v>
                </c:pt>
                <c:pt idx="40">
                  <c:v>53.879999999999882</c:v>
                </c:pt>
                <c:pt idx="41">
                  <c:v>6.0600000000000023</c:v>
                </c:pt>
                <c:pt idx="42">
                  <c:v>0</c:v>
                </c:pt>
                <c:pt idx="43">
                  <c:v>45.979999999999563</c:v>
                </c:pt>
                <c:pt idx="44">
                  <c:v>63</c:v>
                </c:pt>
                <c:pt idx="45">
                  <c:v>0.10000000000002274</c:v>
                </c:pt>
                <c:pt idx="46">
                  <c:v>0</c:v>
                </c:pt>
                <c:pt idx="47">
                  <c:v>35</c:v>
                </c:pt>
                <c:pt idx="48">
                  <c:v>17.1099999999999</c:v>
                </c:pt>
                <c:pt idx="49">
                  <c:v>17.960000000000036</c:v>
                </c:pt>
                <c:pt idx="50">
                  <c:v>0</c:v>
                </c:pt>
                <c:pt idx="51">
                  <c:v>0</c:v>
                </c:pt>
                <c:pt idx="52">
                  <c:v>-0.18000000000000682</c:v>
                </c:pt>
                <c:pt idx="53">
                  <c:v>0.15000000000000568</c:v>
                </c:pt>
                <c:pt idx="54">
                  <c:v>0</c:v>
                </c:pt>
                <c:pt idx="55">
                  <c:v>-0.89999999999999858</c:v>
                </c:pt>
                <c:pt idx="56">
                  <c:v>59.890000000001237</c:v>
                </c:pt>
                <c:pt idx="57">
                  <c:v>0</c:v>
                </c:pt>
                <c:pt idx="58">
                  <c:v>0</c:v>
                </c:pt>
                <c:pt idx="59">
                  <c:v>-188</c:v>
                </c:pt>
                <c:pt idx="60">
                  <c:v>63.570000000000164</c:v>
                </c:pt>
                <c:pt idx="61">
                  <c:v>0</c:v>
                </c:pt>
                <c:pt idx="62">
                  <c:v>-300</c:v>
                </c:pt>
                <c:pt idx="63">
                  <c:v>33</c:v>
                </c:pt>
                <c:pt idx="64">
                  <c:v>4.6700000000000159</c:v>
                </c:pt>
                <c:pt idx="65">
                  <c:v>9.9999999999999978E-2</c:v>
                </c:pt>
                <c:pt idx="66">
                  <c:v>8.7000000000002728</c:v>
                </c:pt>
                <c:pt idx="67">
                  <c:v>57.800000000000182</c:v>
                </c:pt>
                <c:pt idx="68">
                  <c:v>4.1500000000000909</c:v>
                </c:pt>
                <c:pt idx="69">
                  <c:v>0</c:v>
                </c:pt>
                <c:pt idx="70">
                  <c:v>381.14000000001397</c:v>
                </c:pt>
                <c:pt idx="71">
                  <c:v>7.6499999999999773</c:v>
                </c:pt>
                <c:pt idx="72">
                  <c:v>-0.5</c:v>
                </c:pt>
                <c:pt idx="73">
                  <c:v>-25</c:v>
                </c:pt>
                <c:pt idx="74">
                  <c:v>3</c:v>
                </c:pt>
                <c:pt idx="75">
                  <c:v>0.11000000000000004</c:v>
                </c:pt>
                <c:pt idx="76">
                  <c:v>3.1900000000000048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39</c:v>
                </c:pt>
                <c:pt idx="81">
                  <c:v>0</c:v>
                </c:pt>
                <c:pt idx="82">
                  <c:v>0</c:v>
                </c:pt>
                <c:pt idx="83">
                  <c:v>-7</c:v>
                </c:pt>
                <c:pt idx="84">
                  <c:v>2</c:v>
                </c:pt>
                <c:pt idx="85">
                  <c:v>146.2199999999998</c:v>
                </c:pt>
                <c:pt idx="86">
                  <c:v>0</c:v>
                </c:pt>
                <c:pt idx="87">
                  <c:v>910.60000000000582</c:v>
                </c:pt>
                <c:pt idx="88">
                  <c:v>0.20000000000000018</c:v>
                </c:pt>
                <c:pt idx="89">
                  <c:v>-0.29000000000007731</c:v>
                </c:pt>
                <c:pt idx="90">
                  <c:v>-3.4400000000000048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0.37000000000000455</c:v>
                </c:pt>
                <c:pt idx="138">
                  <c:v>-0.5</c:v>
                </c:pt>
                <c:pt idx="139">
                  <c:v>-9</c:v>
                </c:pt>
                <c:pt idx="140">
                  <c:v>-5.5499999999992724</c:v>
                </c:pt>
                <c:pt idx="141">
                  <c:v>-187.61000000004424</c:v>
                </c:pt>
                <c:pt idx="142">
                  <c:v>-27.240000000000009</c:v>
                </c:pt>
                <c:pt idx="143">
                  <c:v>0</c:v>
                </c:pt>
                <c:pt idx="144">
                  <c:v>-1.0499999999999545</c:v>
                </c:pt>
                <c:pt idx="145">
                  <c:v>5.0000000000000711E-2</c:v>
                </c:pt>
                <c:pt idx="146">
                  <c:v>0</c:v>
                </c:pt>
                <c:pt idx="147">
                  <c:v>27.409999999999854</c:v>
                </c:pt>
                <c:pt idx="148">
                  <c:v>88.680000000000291</c:v>
                </c:pt>
                <c:pt idx="149">
                  <c:v>0</c:v>
                </c:pt>
                <c:pt idx="150">
                  <c:v>-62.099999999999909</c:v>
                </c:pt>
                <c:pt idx="151">
                  <c:v>-0.29999999999999716</c:v>
                </c:pt>
                <c:pt idx="152">
                  <c:v>-3.6500000000000909</c:v>
                </c:pt>
                <c:pt idx="153">
                  <c:v>0</c:v>
                </c:pt>
                <c:pt idx="154">
                  <c:v>-59.400000000001455</c:v>
                </c:pt>
                <c:pt idx="155">
                  <c:v>-182</c:v>
                </c:pt>
                <c:pt idx="156">
                  <c:v>-15.799999999999955</c:v>
                </c:pt>
                <c:pt idx="157">
                  <c:v>-46.020000000000437</c:v>
                </c:pt>
                <c:pt idx="158">
                  <c:v>0</c:v>
                </c:pt>
                <c:pt idx="159">
                  <c:v>-69</c:v>
                </c:pt>
                <c:pt idx="160">
                  <c:v>0.47000000000000597</c:v>
                </c:pt>
                <c:pt idx="161">
                  <c:v>-55.3799999999992</c:v>
                </c:pt>
                <c:pt idx="162">
                  <c:v>-168.65999999999622</c:v>
                </c:pt>
                <c:pt idx="163">
                  <c:v>-15.550000000000011</c:v>
                </c:pt>
                <c:pt idx="164">
                  <c:v>-150</c:v>
                </c:pt>
                <c:pt idx="165">
                  <c:v>-17.149999999999636</c:v>
                </c:pt>
                <c:pt idx="166">
                  <c:v>-206.69999999999982</c:v>
                </c:pt>
                <c:pt idx="167">
                  <c:v>6</c:v>
                </c:pt>
                <c:pt idx="168">
                  <c:v>0</c:v>
                </c:pt>
                <c:pt idx="169">
                  <c:v>-577</c:v>
                </c:pt>
                <c:pt idx="170">
                  <c:v>-365</c:v>
                </c:pt>
                <c:pt idx="171">
                  <c:v>174.44000000000051</c:v>
                </c:pt>
                <c:pt idx="172">
                  <c:v>-66.079999999999927</c:v>
                </c:pt>
                <c:pt idx="173">
                  <c:v>-524</c:v>
                </c:pt>
                <c:pt idx="174">
                  <c:v>-638.83000000000175</c:v>
                </c:pt>
                <c:pt idx="175">
                  <c:v>-355.05000000000018</c:v>
                </c:pt>
                <c:pt idx="176">
                  <c:v>-2.0999999999999943</c:v>
                </c:pt>
                <c:pt idx="177">
                  <c:v>-50</c:v>
                </c:pt>
                <c:pt idx="178">
                  <c:v>-850.38000000000102</c:v>
                </c:pt>
                <c:pt idx="179">
                  <c:v>-14.799999999999955</c:v>
                </c:pt>
                <c:pt idx="180">
                  <c:v>-7</c:v>
                </c:pt>
                <c:pt idx="181">
                  <c:v>-0.1100000000000001</c:v>
                </c:pt>
                <c:pt idx="182">
                  <c:v>-864.16000000000349</c:v>
                </c:pt>
                <c:pt idx="183">
                  <c:v>0</c:v>
                </c:pt>
                <c:pt idx="184">
                  <c:v>-941.06999999999971</c:v>
                </c:pt>
                <c:pt idx="185">
                  <c:v>-230.34999999999854</c:v>
                </c:pt>
                <c:pt idx="186">
                  <c:v>-383.75</c:v>
                </c:pt>
                <c:pt idx="187">
                  <c:v>-15.800000000000182</c:v>
                </c:pt>
                <c:pt idx="188">
                  <c:v>-200</c:v>
                </c:pt>
                <c:pt idx="189">
                  <c:v>-0.33000000000000007</c:v>
                </c:pt>
                <c:pt idx="190">
                  <c:v>-280</c:v>
                </c:pt>
                <c:pt idx="191">
                  <c:v>-350.18000000000029</c:v>
                </c:pt>
                <c:pt idx="192">
                  <c:v>-0.15000000000000213</c:v>
                </c:pt>
                <c:pt idx="193">
                  <c:v>-2.4000000000000057</c:v>
                </c:pt>
                <c:pt idx="194">
                  <c:v>-992.75</c:v>
                </c:pt>
                <c:pt idx="195">
                  <c:v>-57.069999999999709</c:v>
                </c:pt>
                <c:pt idx="196">
                  <c:v>-816.5</c:v>
                </c:pt>
                <c:pt idx="197">
                  <c:v>-172.5</c:v>
                </c:pt>
                <c:pt idx="198">
                  <c:v>-250</c:v>
                </c:pt>
                <c:pt idx="199">
                  <c:v>-104.56999999999971</c:v>
                </c:pt>
                <c:pt idx="200">
                  <c:v>-206.25999999999976</c:v>
                </c:pt>
                <c:pt idx="201">
                  <c:v>0</c:v>
                </c:pt>
                <c:pt idx="202">
                  <c:v>-591.5</c:v>
                </c:pt>
                <c:pt idx="203">
                  <c:v>-200</c:v>
                </c:pt>
                <c:pt idx="204">
                  <c:v>-1193.4599999999991</c:v>
                </c:pt>
                <c:pt idx="205">
                  <c:v>-22.5</c:v>
                </c:pt>
                <c:pt idx="206">
                  <c:v>-452.09999999999854</c:v>
                </c:pt>
                <c:pt idx="207">
                  <c:v>-3.1000000000000014</c:v>
                </c:pt>
                <c:pt idx="208">
                  <c:v>-2.1899999999999977</c:v>
                </c:pt>
                <c:pt idx="209">
                  <c:v>-106.14999999999964</c:v>
                </c:pt>
                <c:pt idx="210">
                  <c:v>-98.650000000000091</c:v>
                </c:pt>
                <c:pt idx="211">
                  <c:v>-1196.239999999998</c:v>
                </c:pt>
                <c:pt idx="212">
                  <c:v>105.27000000000044</c:v>
                </c:pt>
                <c:pt idx="213">
                  <c:v>-321.35000000000036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2E-8D4D-83E6-2DD4CEC5AED5}"/>
            </c:ext>
          </c:extLst>
        </c:ser>
        <c:ser>
          <c:idx val="4"/>
          <c:order val="4"/>
          <c:tx>
            <c:strRef>
              <c:f>data!$AB$10</c:f>
              <c:strCache>
                <c:ptCount val="1"/>
                <c:pt idx="0">
                  <c:v>2010-2020</c:v>
                </c:pt>
              </c:strCache>
            </c:strRef>
          </c:tx>
          <c:spPr>
            <a:solidFill>
              <a:srgbClr val="407EB6"/>
            </a:solidFill>
            <a:ln>
              <a:noFill/>
            </a:ln>
            <a:effectLst/>
          </c:spPr>
          <c:invertIfNegative val="0"/>
          <c:cat>
            <c:strRef>
              <c:f>data!$B$11:$B$246</c:f>
              <c:strCache>
                <c:ptCount val="236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  <c:pt idx="214">
                  <c:v>Equatorial Guinea</c:v>
                </c:pt>
                <c:pt idx="215">
                  <c:v>Guinea-Bissau</c:v>
                </c:pt>
                <c:pt idx="216">
                  <c:v>Liberia</c:v>
                </c:pt>
                <c:pt idx="217">
                  <c:v>Montserrat</c:v>
                </c:pt>
                <c:pt idx="218">
                  <c:v>Angola</c:v>
                </c:pt>
                <c:pt idx="219">
                  <c:v>Democratic Republic of the Congo</c:v>
                </c:pt>
                <c:pt idx="220">
                  <c:v>Brazil</c:v>
                </c:pt>
                <c:pt idx="221">
                  <c:v>Guatemala</c:v>
                </c:pt>
                <c:pt idx="222">
                  <c:v>United Republic of Tanzania</c:v>
                </c:pt>
                <c:pt idx="223">
                  <c:v>United States Virgin Islands</c:v>
                </c:pt>
                <c:pt idx="224">
                  <c:v>Malawi</c:v>
                </c:pt>
                <c:pt idx="225">
                  <c:v>Indonesia</c:v>
                </c:pt>
                <c:pt idx="226">
                  <c:v>Mayotte</c:v>
                </c:pt>
                <c:pt idx="227">
                  <c:v>Belize</c:v>
                </c:pt>
                <c:pt idx="228">
                  <c:v>Benin</c:v>
                </c:pt>
                <c:pt idx="229">
                  <c:v>Côte d’Ivoire</c:v>
                </c:pt>
                <c:pt idx="230">
                  <c:v>Myanmar</c:v>
                </c:pt>
                <c:pt idx="231">
                  <c:v>Cambodia</c:v>
                </c:pt>
                <c:pt idx="232">
                  <c:v>Gambia</c:v>
                </c:pt>
                <c:pt idx="233">
                  <c:v>Northern Mariana Islands</c:v>
                </c:pt>
                <c:pt idx="234">
                  <c:v>Paraguay</c:v>
                </c:pt>
                <c:pt idx="235">
                  <c:v>Nicaragua</c:v>
                </c:pt>
              </c:strCache>
            </c:strRef>
          </c:cat>
          <c:val>
            <c:numRef>
              <c:f>data!$AB$11:$AB$246</c:f>
              <c:numCache>
                <c:formatCode>#,##0</c:formatCode>
                <c:ptCount val="236"/>
                <c:pt idx="0">
                  <c:v>4.8799999999999955</c:v>
                </c:pt>
                <c:pt idx="1">
                  <c:v>1255.0300000000007</c:v>
                </c:pt>
                <c:pt idx="2">
                  <c:v>0</c:v>
                </c:pt>
                <c:pt idx="3">
                  <c:v>310</c:v>
                </c:pt>
                <c:pt idx="4">
                  <c:v>70.980000000000018</c:v>
                </c:pt>
                <c:pt idx="5">
                  <c:v>66.779999999999973</c:v>
                </c:pt>
                <c:pt idx="6">
                  <c:v>26.829999999998108</c:v>
                </c:pt>
                <c:pt idx="7">
                  <c:v>3</c:v>
                </c:pt>
                <c:pt idx="8">
                  <c:v>4</c:v>
                </c:pt>
                <c:pt idx="9">
                  <c:v>0.84999999999999432</c:v>
                </c:pt>
                <c:pt idx="10">
                  <c:v>299.70000000000005</c:v>
                </c:pt>
                <c:pt idx="11">
                  <c:v>38.439999999999941</c:v>
                </c:pt>
                <c:pt idx="12">
                  <c:v>538.08999999999833</c:v>
                </c:pt>
                <c:pt idx="13">
                  <c:v>19367.799999999988</c:v>
                </c:pt>
                <c:pt idx="14">
                  <c:v>19.789999999999964</c:v>
                </c:pt>
                <c:pt idx="15">
                  <c:v>102.38000000000011</c:v>
                </c:pt>
                <c:pt idx="16">
                  <c:v>156</c:v>
                </c:pt>
                <c:pt idx="17">
                  <c:v>834</c:v>
                </c:pt>
                <c:pt idx="18">
                  <c:v>137.60000000000036</c:v>
                </c:pt>
                <c:pt idx="19">
                  <c:v>9.6500000000000909</c:v>
                </c:pt>
                <c:pt idx="20">
                  <c:v>0</c:v>
                </c:pt>
                <c:pt idx="21">
                  <c:v>61.639999999999986</c:v>
                </c:pt>
                <c:pt idx="22">
                  <c:v>2</c:v>
                </c:pt>
                <c:pt idx="23">
                  <c:v>4.4500000000000028</c:v>
                </c:pt>
                <c:pt idx="24">
                  <c:v>31</c:v>
                </c:pt>
                <c:pt idx="25">
                  <c:v>1485.4400000000023</c:v>
                </c:pt>
                <c:pt idx="26">
                  <c:v>38.670000000000073</c:v>
                </c:pt>
                <c:pt idx="27">
                  <c:v>41.060000000000059</c:v>
                </c:pt>
                <c:pt idx="28">
                  <c:v>1137.2799999999988</c:v>
                </c:pt>
                <c:pt idx="29">
                  <c:v>34.389999999999873</c:v>
                </c:pt>
                <c:pt idx="30">
                  <c:v>0</c:v>
                </c:pt>
                <c:pt idx="31">
                  <c:v>2664</c:v>
                </c:pt>
                <c:pt idx="32">
                  <c:v>340.05999999999995</c:v>
                </c:pt>
                <c:pt idx="33">
                  <c:v>6.6200000000001182</c:v>
                </c:pt>
                <c:pt idx="34">
                  <c:v>0</c:v>
                </c:pt>
                <c:pt idx="35">
                  <c:v>163.67000000000007</c:v>
                </c:pt>
                <c:pt idx="36">
                  <c:v>-9.1700000000000728</c:v>
                </c:pt>
                <c:pt idx="37">
                  <c:v>414.05000000000018</c:v>
                </c:pt>
                <c:pt idx="38">
                  <c:v>0</c:v>
                </c:pt>
                <c:pt idx="39">
                  <c:v>41.950000000000045</c:v>
                </c:pt>
                <c:pt idx="40">
                  <c:v>99.279999999999973</c:v>
                </c:pt>
                <c:pt idx="41">
                  <c:v>12.129999999999995</c:v>
                </c:pt>
                <c:pt idx="42">
                  <c:v>0</c:v>
                </c:pt>
                <c:pt idx="43">
                  <c:v>44.469999999999345</c:v>
                </c:pt>
                <c:pt idx="44">
                  <c:v>154</c:v>
                </c:pt>
                <c:pt idx="45">
                  <c:v>12</c:v>
                </c:pt>
                <c:pt idx="46">
                  <c:v>167</c:v>
                </c:pt>
                <c:pt idx="47">
                  <c:v>131</c:v>
                </c:pt>
                <c:pt idx="48">
                  <c:v>19.1099999999999</c:v>
                </c:pt>
                <c:pt idx="49">
                  <c:v>35.950000000000273</c:v>
                </c:pt>
                <c:pt idx="50">
                  <c:v>0</c:v>
                </c:pt>
                <c:pt idx="51">
                  <c:v>0</c:v>
                </c:pt>
                <c:pt idx="52">
                  <c:v>-0.31000000000000227</c:v>
                </c:pt>
                <c:pt idx="53">
                  <c:v>0.29000000000000625</c:v>
                </c:pt>
                <c:pt idx="54">
                  <c:v>0</c:v>
                </c:pt>
                <c:pt idx="55">
                  <c:v>-2.1699999999999982</c:v>
                </c:pt>
                <c:pt idx="56">
                  <c:v>59.890000000001237</c:v>
                </c:pt>
                <c:pt idx="57">
                  <c:v>0</c:v>
                </c:pt>
                <c:pt idx="58">
                  <c:v>0</c:v>
                </c:pt>
                <c:pt idx="59">
                  <c:v>-200</c:v>
                </c:pt>
                <c:pt idx="60">
                  <c:v>85.700000000000045</c:v>
                </c:pt>
                <c:pt idx="61">
                  <c:v>30.000000000000057</c:v>
                </c:pt>
                <c:pt idx="62">
                  <c:v>1075</c:v>
                </c:pt>
                <c:pt idx="63">
                  <c:v>142</c:v>
                </c:pt>
                <c:pt idx="64">
                  <c:v>-3.9800000000000182</c:v>
                </c:pt>
                <c:pt idx="65">
                  <c:v>0.17999999999999994</c:v>
                </c:pt>
                <c:pt idx="66">
                  <c:v>19.710000000000036</c:v>
                </c:pt>
                <c:pt idx="67">
                  <c:v>67.920000000000073</c:v>
                </c:pt>
                <c:pt idx="68">
                  <c:v>7.9900000000000091</c:v>
                </c:pt>
                <c:pt idx="69">
                  <c:v>-0.57000000000005002</c:v>
                </c:pt>
                <c:pt idx="70">
                  <c:v>176</c:v>
                </c:pt>
                <c:pt idx="71">
                  <c:v>15.300000000000068</c:v>
                </c:pt>
                <c:pt idx="72">
                  <c:v>-1</c:v>
                </c:pt>
                <c:pt idx="73">
                  <c:v>-14</c:v>
                </c:pt>
                <c:pt idx="74">
                  <c:v>5.9800000000000182</c:v>
                </c:pt>
                <c:pt idx="75">
                  <c:v>0.11000000000000004</c:v>
                </c:pt>
                <c:pt idx="76">
                  <c:v>6.68</c:v>
                </c:pt>
                <c:pt idx="77">
                  <c:v>10</c:v>
                </c:pt>
                <c:pt idx="78">
                  <c:v>9.9999999999997868E-3</c:v>
                </c:pt>
                <c:pt idx="79">
                  <c:v>0.19000000000000128</c:v>
                </c:pt>
                <c:pt idx="80">
                  <c:v>78</c:v>
                </c:pt>
                <c:pt idx="81">
                  <c:v>0</c:v>
                </c:pt>
                <c:pt idx="82">
                  <c:v>85.699999999999989</c:v>
                </c:pt>
                <c:pt idx="83">
                  <c:v>31</c:v>
                </c:pt>
                <c:pt idx="84">
                  <c:v>13.800000000000011</c:v>
                </c:pt>
                <c:pt idx="85">
                  <c:v>372.5</c:v>
                </c:pt>
                <c:pt idx="86">
                  <c:v>0</c:v>
                </c:pt>
                <c:pt idx="87">
                  <c:v>4459</c:v>
                </c:pt>
                <c:pt idx="88">
                  <c:v>0.20000000000000018</c:v>
                </c:pt>
                <c:pt idx="89">
                  <c:v>6.8299999999999272</c:v>
                </c:pt>
                <c:pt idx="90">
                  <c:v>-20.660000000000004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-3.999999999996362E-2</c:v>
                </c:pt>
                <c:pt idx="138">
                  <c:v>-0.5</c:v>
                </c:pt>
                <c:pt idx="139">
                  <c:v>-31</c:v>
                </c:pt>
                <c:pt idx="140">
                  <c:v>-11.119999999998981</c:v>
                </c:pt>
                <c:pt idx="141">
                  <c:v>-394.11000000004424</c:v>
                </c:pt>
                <c:pt idx="142">
                  <c:v>-54.44</c:v>
                </c:pt>
                <c:pt idx="143">
                  <c:v>-93</c:v>
                </c:pt>
                <c:pt idx="144">
                  <c:v>-2.089999999999975</c:v>
                </c:pt>
                <c:pt idx="145">
                  <c:v>0.10000000000000142</c:v>
                </c:pt>
                <c:pt idx="146">
                  <c:v>-4.9399999999998272</c:v>
                </c:pt>
                <c:pt idx="147">
                  <c:v>85.25</c:v>
                </c:pt>
                <c:pt idx="148">
                  <c:v>-5.25</c:v>
                </c:pt>
                <c:pt idx="149">
                  <c:v>-2.0000000000000018E-2</c:v>
                </c:pt>
                <c:pt idx="150">
                  <c:v>-124.20000000000005</c:v>
                </c:pt>
                <c:pt idx="151">
                  <c:v>0.37000000000000455</c:v>
                </c:pt>
                <c:pt idx="152">
                  <c:v>-7.3100000000004002</c:v>
                </c:pt>
                <c:pt idx="153">
                  <c:v>0</c:v>
                </c:pt>
                <c:pt idx="154">
                  <c:v>-118.81000000000131</c:v>
                </c:pt>
                <c:pt idx="155">
                  <c:v>-364</c:v>
                </c:pt>
                <c:pt idx="156">
                  <c:v>-31.599999999999909</c:v>
                </c:pt>
                <c:pt idx="157">
                  <c:v>-104.47000000000116</c:v>
                </c:pt>
                <c:pt idx="158">
                  <c:v>60</c:v>
                </c:pt>
                <c:pt idx="159">
                  <c:v>-129</c:v>
                </c:pt>
                <c:pt idx="160">
                  <c:v>0.38000000000000256</c:v>
                </c:pt>
                <c:pt idx="161">
                  <c:v>-103.56999999999971</c:v>
                </c:pt>
                <c:pt idx="162">
                  <c:v>-323.12999999999738</c:v>
                </c:pt>
                <c:pt idx="163">
                  <c:v>-31.079999999999984</c:v>
                </c:pt>
                <c:pt idx="164">
                  <c:v>-300</c:v>
                </c:pt>
                <c:pt idx="165">
                  <c:v>-33.649999999999636</c:v>
                </c:pt>
                <c:pt idx="166">
                  <c:v>-367.82999999999993</c:v>
                </c:pt>
                <c:pt idx="167">
                  <c:v>11</c:v>
                </c:pt>
                <c:pt idx="168">
                  <c:v>0</c:v>
                </c:pt>
                <c:pt idx="169">
                  <c:v>-1217</c:v>
                </c:pt>
                <c:pt idx="170">
                  <c:v>-730</c:v>
                </c:pt>
                <c:pt idx="171">
                  <c:v>348.86999999999989</c:v>
                </c:pt>
                <c:pt idx="172">
                  <c:v>-132.17000000000007</c:v>
                </c:pt>
                <c:pt idx="173">
                  <c:v>-1641</c:v>
                </c:pt>
                <c:pt idx="174">
                  <c:v>-1251.2299999999959</c:v>
                </c:pt>
                <c:pt idx="175">
                  <c:v>-710.09000000000015</c:v>
                </c:pt>
                <c:pt idx="176">
                  <c:v>-4.2199999999999989</c:v>
                </c:pt>
                <c:pt idx="177">
                  <c:v>-100</c:v>
                </c:pt>
                <c:pt idx="178">
                  <c:v>-1721.619999999999</c:v>
                </c:pt>
                <c:pt idx="179">
                  <c:v>-29.599999999999909</c:v>
                </c:pt>
                <c:pt idx="180">
                  <c:v>-14</c:v>
                </c:pt>
                <c:pt idx="181">
                  <c:v>-0.21999999999999997</c:v>
                </c:pt>
                <c:pt idx="182">
                  <c:v>-1719.4300000000076</c:v>
                </c:pt>
                <c:pt idx="183">
                  <c:v>0</c:v>
                </c:pt>
                <c:pt idx="184">
                  <c:v>-1881.9700000000012</c:v>
                </c:pt>
                <c:pt idx="185">
                  <c:v>-460.69999999999709</c:v>
                </c:pt>
                <c:pt idx="186">
                  <c:v>-767.5</c:v>
                </c:pt>
                <c:pt idx="187">
                  <c:v>9.4000000000000909</c:v>
                </c:pt>
                <c:pt idx="188">
                  <c:v>-380</c:v>
                </c:pt>
                <c:pt idx="189">
                  <c:v>-0.66000000000000014</c:v>
                </c:pt>
                <c:pt idx="190">
                  <c:v>-560</c:v>
                </c:pt>
                <c:pt idx="191">
                  <c:v>166.38999999999942</c:v>
                </c:pt>
                <c:pt idx="192">
                  <c:v>-0.30000000000000071</c:v>
                </c:pt>
                <c:pt idx="193">
                  <c:v>-4.8200000000000216</c:v>
                </c:pt>
                <c:pt idx="194">
                  <c:v>-1665.8799999999974</c:v>
                </c:pt>
                <c:pt idx="195">
                  <c:v>-114.14999999999964</c:v>
                </c:pt>
                <c:pt idx="196">
                  <c:v>-1633.0299999999988</c:v>
                </c:pt>
                <c:pt idx="197">
                  <c:v>-345</c:v>
                </c:pt>
                <c:pt idx="198">
                  <c:v>-500.10000000000036</c:v>
                </c:pt>
                <c:pt idx="199">
                  <c:v>-216.21000000000004</c:v>
                </c:pt>
                <c:pt idx="200">
                  <c:v>-412.52</c:v>
                </c:pt>
                <c:pt idx="201">
                  <c:v>0</c:v>
                </c:pt>
                <c:pt idx="202">
                  <c:v>-1183</c:v>
                </c:pt>
                <c:pt idx="203">
                  <c:v>-400</c:v>
                </c:pt>
                <c:pt idx="204">
                  <c:v>-2252.25</c:v>
                </c:pt>
                <c:pt idx="205">
                  <c:v>-45</c:v>
                </c:pt>
                <c:pt idx="206">
                  <c:v>-1274.0999999999985</c:v>
                </c:pt>
                <c:pt idx="207">
                  <c:v>-6.2000000000000028</c:v>
                </c:pt>
                <c:pt idx="208">
                  <c:v>-4.3799999999999955</c:v>
                </c:pt>
                <c:pt idx="209">
                  <c:v>-212.30000000000018</c:v>
                </c:pt>
                <c:pt idx="210">
                  <c:v>-197.27999999999975</c:v>
                </c:pt>
                <c:pt idx="211">
                  <c:v>-2228.3799999999974</c:v>
                </c:pt>
                <c:pt idx="212">
                  <c:v>42.779999999999745</c:v>
                </c:pt>
                <c:pt idx="213">
                  <c:v>-530.36000000000058</c:v>
                </c:pt>
                <c:pt idx="214">
                  <c:v>-83.590000000000146</c:v>
                </c:pt>
                <c:pt idx="215">
                  <c:v>-84.419999999999845</c:v>
                </c:pt>
                <c:pt idx="216">
                  <c:v>-302.60000000000036</c:v>
                </c:pt>
                <c:pt idx="217">
                  <c:v>0</c:v>
                </c:pt>
                <c:pt idx="218">
                  <c:v>-5550.6199999999953</c:v>
                </c:pt>
                <c:pt idx="219">
                  <c:v>-11013.759999999995</c:v>
                </c:pt>
                <c:pt idx="220">
                  <c:v>-14961.100000000035</c:v>
                </c:pt>
                <c:pt idx="221">
                  <c:v>-194.79999999999973</c:v>
                </c:pt>
                <c:pt idx="222">
                  <c:v>-4205.010000000002</c:v>
                </c:pt>
                <c:pt idx="223">
                  <c:v>1.4800000000000004</c:v>
                </c:pt>
                <c:pt idx="224">
                  <c:v>-420</c:v>
                </c:pt>
                <c:pt idx="225">
                  <c:v>-7526</c:v>
                </c:pt>
                <c:pt idx="226">
                  <c:v>-0.51999999999999957</c:v>
                </c:pt>
                <c:pt idx="227">
                  <c:v>-114.34000000000015</c:v>
                </c:pt>
                <c:pt idx="228">
                  <c:v>-500</c:v>
                </c:pt>
                <c:pt idx="229">
                  <c:v>-1128.8699999999999</c:v>
                </c:pt>
                <c:pt idx="230">
                  <c:v>-2897.1100000000006</c:v>
                </c:pt>
                <c:pt idx="231">
                  <c:v>-2520.8599999999997</c:v>
                </c:pt>
                <c:pt idx="232">
                  <c:v>-57.330000000000013</c:v>
                </c:pt>
                <c:pt idx="233">
                  <c:v>-5.9600000000000009</c:v>
                </c:pt>
                <c:pt idx="234">
                  <c:v>-3467.9499999999989</c:v>
                </c:pt>
                <c:pt idx="235">
                  <c:v>-780.61999999999944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2E-8D4D-83E6-2DD4CEC5A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5"/>
        <c:overlap val="-69"/>
        <c:axId val="2124727584"/>
        <c:axId val="1010740176"/>
      </c:barChart>
      <c:catAx>
        <c:axId val="212472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010740176"/>
        <c:crosses val="autoZero"/>
        <c:auto val="1"/>
        <c:lblAlgn val="ctr"/>
        <c:lblOffset val="100"/>
        <c:noMultiLvlLbl val="0"/>
      </c:catAx>
      <c:valAx>
        <c:axId val="1010740176"/>
        <c:scaling>
          <c:orientation val="minMax"/>
          <c:max val="25000"/>
          <c:min val="-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2124727584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Light" panose="020B0403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Helvetica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GB"/>
              <a:t>Forest</a:t>
            </a:r>
            <a:r>
              <a:rPr lang="en-GB" baseline="0"/>
              <a:t> Area changes 1990 – 2020 </a:t>
            </a:r>
            <a:br>
              <a:rPr lang="en-GB" baseline="0"/>
            </a:br>
            <a:r>
              <a:rPr lang="en-GB" baseline="0"/>
              <a:t>(vertical axis is log scale)</a:t>
            </a:r>
            <a:endParaRPr lang="en-GB"/>
          </a:p>
        </c:rich>
      </c:tx>
      <c:layout>
        <c:manualLayout>
          <c:xMode val="edge"/>
          <c:yMode val="edge"/>
          <c:x val="0.4067152230971128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(2)'!$B$4</c:f>
              <c:strCache>
                <c:ptCount val="1"/>
                <c:pt idx="0">
                  <c:v>Viet 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(2)'!$C$4:$G$4</c:f>
              <c:numCache>
                <c:formatCode>#,##0</c:formatCode>
                <c:ptCount val="5"/>
                <c:pt idx="0">
                  <c:v>9375.9599999999991</c:v>
                </c:pt>
                <c:pt idx="1">
                  <c:v>11784.1</c:v>
                </c:pt>
                <c:pt idx="2">
                  <c:v>13388.06</c:v>
                </c:pt>
                <c:pt idx="3">
                  <c:v>14061.86</c:v>
                </c:pt>
                <c:pt idx="4">
                  <c:v>14643.09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9-C84F-849F-0EF021B10F03}"/>
            </c:ext>
          </c:extLst>
        </c:ser>
        <c:ser>
          <c:idx val="1"/>
          <c:order val="1"/>
          <c:tx>
            <c:strRef>
              <c:f>data!$B$12</c:f>
              <c:strCache>
                <c:ptCount val="1"/>
                <c:pt idx="0">
                  <c:v>Viet Nam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data!$C$12:$G$12</c:f>
              <c:numCache>
                <c:formatCode>#,##0</c:formatCode>
                <c:ptCount val="5"/>
                <c:pt idx="0">
                  <c:v>9375.9599999999991</c:v>
                </c:pt>
                <c:pt idx="1">
                  <c:v>11784.1</c:v>
                </c:pt>
                <c:pt idx="2">
                  <c:v>13388.06</c:v>
                </c:pt>
                <c:pt idx="3">
                  <c:v>14061.86</c:v>
                </c:pt>
                <c:pt idx="4">
                  <c:v>14643.09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9-C84F-849F-0EF021B10F03}"/>
            </c:ext>
          </c:extLst>
        </c:ser>
        <c:ser>
          <c:idx val="2"/>
          <c:order val="2"/>
          <c:tx>
            <c:strRef>
              <c:f>'data (2)'!$B$6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(2)'!$C$6:$G$6</c:f>
              <c:numCache>
                <c:formatCode>#,##0</c:formatCode>
                <c:ptCount val="5"/>
                <c:pt idx="0">
                  <c:v>2058</c:v>
                </c:pt>
                <c:pt idx="1">
                  <c:v>2435</c:v>
                </c:pt>
                <c:pt idx="2">
                  <c:v>2932</c:v>
                </c:pt>
                <c:pt idx="3">
                  <c:v>3184</c:v>
                </c:pt>
                <c:pt idx="4">
                  <c:v>3242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9-C84F-849F-0EF021B10F03}"/>
            </c:ext>
          </c:extLst>
        </c:ser>
        <c:ser>
          <c:idx val="3"/>
          <c:order val="3"/>
          <c:tx>
            <c:strRef>
              <c:f>data!$B$14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data!$C$14:$G$14</c:f>
              <c:numCache>
                <c:formatCode>#,##0</c:formatCode>
                <c:ptCount val="5"/>
                <c:pt idx="0">
                  <c:v>2058</c:v>
                </c:pt>
                <c:pt idx="1">
                  <c:v>2435</c:v>
                </c:pt>
                <c:pt idx="2">
                  <c:v>2932</c:v>
                </c:pt>
                <c:pt idx="3">
                  <c:v>3184</c:v>
                </c:pt>
                <c:pt idx="4">
                  <c:v>3242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29-C84F-849F-0EF021B10F03}"/>
            </c:ext>
          </c:extLst>
        </c:ser>
        <c:ser>
          <c:idx val="4"/>
          <c:order val="4"/>
          <c:tx>
            <c:strRef>
              <c:f>'data (2)'!$B$8</c:f>
              <c:strCache>
                <c:ptCount val="1"/>
                <c:pt idx="0">
                  <c:v>Dominican Republic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(2)'!$C$8:$G$8</c:f>
              <c:numCache>
                <c:formatCode>General</c:formatCode>
                <c:ptCount val="5"/>
                <c:pt idx="0">
                  <c:v>1594.89</c:v>
                </c:pt>
                <c:pt idx="1">
                  <c:v>1972.47</c:v>
                </c:pt>
                <c:pt idx="2">
                  <c:v>2073.12</c:v>
                </c:pt>
                <c:pt idx="3">
                  <c:v>2103.65</c:v>
                </c:pt>
                <c:pt idx="4">
                  <c:v>2144.1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29-C84F-849F-0EF021B10F03}"/>
            </c:ext>
          </c:extLst>
        </c:ser>
        <c:ser>
          <c:idx val="5"/>
          <c:order val="5"/>
          <c:tx>
            <c:strRef>
              <c:f>'data (2)'!$B$9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(2)'!$C$9:$G$9</c:f>
              <c:numCache>
                <c:formatCode>#,##0</c:formatCode>
                <c:ptCount val="5"/>
                <c:pt idx="0">
                  <c:v>13904.66</c:v>
                </c:pt>
                <c:pt idx="1">
                  <c:v>17093.93</c:v>
                </c:pt>
                <c:pt idx="2">
                  <c:v>18545.34</c:v>
                </c:pt>
                <c:pt idx="3">
                  <c:v>18551.18</c:v>
                </c:pt>
                <c:pt idx="4">
                  <c:v>18572.169999999998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29-C84F-849F-0EF021B10F03}"/>
            </c:ext>
          </c:extLst>
        </c:ser>
        <c:ser>
          <c:idx val="6"/>
          <c:order val="6"/>
          <c:tx>
            <c:strRef>
              <c:f>'data (2)'!$B$10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(2)'!$C$10:$G$10</c:f>
              <c:numCache>
                <c:formatCode>#,##0</c:formatCode>
                <c:ptCount val="5"/>
                <c:pt idx="0">
                  <c:v>798</c:v>
                </c:pt>
                <c:pt idx="1">
                  <c:v>1369</c:v>
                </c:pt>
                <c:pt idx="2">
                  <c:v>1731.3</c:v>
                </c:pt>
                <c:pt idx="3">
                  <c:v>1920</c:v>
                </c:pt>
                <c:pt idx="4">
                  <c:v>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29-C84F-849F-0EF021B10F03}"/>
            </c:ext>
          </c:extLst>
        </c:ser>
        <c:ser>
          <c:idx val="7"/>
          <c:order val="7"/>
          <c:tx>
            <c:strRef>
              <c:f>data!$B$18</c:f>
              <c:strCache>
                <c:ptCount val="1"/>
                <c:pt idx="0">
                  <c:v>Cabo Verde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data!$C$18:$G$18</c:f>
              <c:numCache>
                <c:formatCode>General</c:formatCode>
                <c:ptCount val="5"/>
                <c:pt idx="0">
                  <c:v>15.38</c:v>
                </c:pt>
                <c:pt idx="1">
                  <c:v>39.72</c:v>
                </c:pt>
                <c:pt idx="2">
                  <c:v>42.72</c:v>
                </c:pt>
                <c:pt idx="3">
                  <c:v>44.22</c:v>
                </c:pt>
                <c:pt idx="4">
                  <c:v>45.72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29-C84F-849F-0EF021B10F03}"/>
            </c:ext>
          </c:extLst>
        </c:ser>
        <c:ser>
          <c:idx val="8"/>
          <c:order val="8"/>
          <c:tx>
            <c:strRef>
              <c:f>data!$B$19</c:f>
              <c:strCache>
                <c:ptCount val="1"/>
                <c:pt idx="0">
                  <c:v>Guam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data!$C$19:$G$19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25</c:v>
                </c:pt>
                <c:pt idx="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29-C84F-849F-0EF021B10F03}"/>
            </c:ext>
          </c:extLst>
        </c:ser>
        <c:ser>
          <c:idx val="9"/>
          <c:order val="9"/>
          <c:tx>
            <c:strRef>
              <c:f>data!$B$20</c:f>
              <c:strCache>
                <c:ptCount val="1"/>
                <c:pt idx="0">
                  <c:v>Palau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data!$C$20:$G$20</c:f>
              <c:numCache>
                <c:formatCode>General</c:formatCode>
                <c:ptCount val="5"/>
                <c:pt idx="0">
                  <c:v>38.15</c:v>
                </c:pt>
                <c:pt idx="1">
                  <c:v>39.58</c:v>
                </c:pt>
                <c:pt idx="2">
                  <c:v>40.56</c:v>
                </c:pt>
                <c:pt idx="3">
                  <c:v>40.99</c:v>
                </c:pt>
                <c:pt idx="4">
                  <c:v>41.41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29-C84F-849F-0EF021B10F03}"/>
            </c:ext>
          </c:extLst>
        </c:ser>
        <c:ser>
          <c:idx val="10"/>
          <c:order val="10"/>
          <c:tx>
            <c:strRef>
              <c:f>data!$B$21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data!$C$21:$G$21</c:f>
              <c:numCache>
                <c:formatCode>#,##0</c:formatCode>
                <c:ptCount val="5"/>
                <c:pt idx="0">
                  <c:v>798</c:v>
                </c:pt>
                <c:pt idx="1">
                  <c:v>1369</c:v>
                </c:pt>
                <c:pt idx="2">
                  <c:v>1731.3</c:v>
                </c:pt>
                <c:pt idx="3">
                  <c:v>1920</c:v>
                </c:pt>
                <c:pt idx="4">
                  <c:v>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29-C84F-849F-0EF021B10F03}"/>
            </c:ext>
          </c:extLst>
        </c:ser>
        <c:ser>
          <c:idx val="11"/>
          <c:order val="11"/>
          <c:tx>
            <c:strRef>
              <c:f>'data (2)'!$B$15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(2)'!$C$15:$G$15</c:f>
              <c:numCache>
                <c:formatCode>#,##0</c:formatCode>
                <c:ptCount val="5"/>
                <c:pt idx="0">
                  <c:v>7589.75</c:v>
                </c:pt>
                <c:pt idx="1">
                  <c:v>8369.25</c:v>
                </c:pt>
                <c:pt idx="2">
                  <c:v>9028.0400000000009</c:v>
                </c:pt>
                <c:pt idx="3">
                  <c:v>9297.08</c:v>
                </c:pt>
                <c:pt idx="4">
                  <c:v>9566.1299999999992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429-C84F-849F-0EF021B10F03}"/>
            </c:ext>
          </c:extLst>
        </c:ser>
        <c:ser>
          <c:idx val="12"/>
          <c:order val="12"/>
          <c:tx>
            <c:strRef>
              <c:f>'data (2)'!$B$16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(2)'!$C$16:$G$16</c:f>
              <c:numCache>
                <c:formatCode>#,##0</c:formatCode>
                <c:ptCount val="5"/>
                <c:pt idx="0">
                  <c:v>157140.59</c:v>
                </c:pt>
                <c:pt idx="1">
                  <c:v>177000.55</c:v>
                </c:pt>
                <c:pt idx="2">
                  <c:v>200610.38</c:v>
                </c:pt>
                <c:pt idx="3">
                  <c:v>210294.25</c:v>
                </c:pt>
                <c:pt idx="4">
                  <c:v>219978.18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429-C84F-849F-0EF021B10F03}"/>
            </c:ext>
          </c:extLst>
        </c:ser>
        <c:ser>
          <c:idx val="13"/>
          <c:order val="13"/>
          <c:tx>
            <c:strRef>
              <c:f>'data (2)'!$B$17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(2)'!$C$17:$G$17</c:f>
              <c:numCache>
                <c:formatCode>#,##0</c:formatCode>
                <c:ptCount val="5"/>
                <c:pt idx="0">
                  <c:v>3327</c:v>
                </c:pt>
                <c:pt idx="1">
                  <c:v>3375</c:v>
                </c:pt>
                <c:pt idx="2">
                  <c:v>3737</c:v>
                </c:pt>
                <c:pt idx="3">
                  <c:v>3833</c:v>
                </c:pt>
                <c:pt idx="4">
                  <c:v>3893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429-C84F-849F-0EF021B10F03}"/>
            </c:ext>
          </c:extLst>
        </c:ser>
        <c:ser>
          <c:idx val="14"/>
          <c:order val="14"/>
          <c:tx>
            <c:strRef>
              <c:f>data!$B$25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data!$C$25:$G$25</c:f>
              <c:numCache>
                <c:formatCode>General</c:formatCode>
                <c:ptCount val="5"/>
                <c:pt idx="0">
                  <c:v>2506.7199999999998</c:v>
                </c:pt>
                <c:pt idx="1">
                  <c:v>2606</c:v>
                </c:pt>
                <c:pt idx="2">
                  <c:v>2705.29</c:v>
                </c:pt>
                <c:pt idx="3">
                  <c:v>2715.18</c:v>
                </c:pt>
                <c:pt idx="4">
                  <c:v>2725.08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429-C84F-849F-0EF021B10F03}"/>
            </c:ext>
          </c:extLst>
        </c:ser>
        <c:ser>
          <c:idx val="15"/>
          <c:order val="15"/>
          <c:tx>
            <c:strRef>
              <c:f>data!$B$26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data!$C$26:$G$26</c:f>
              <c:numCache>
                <c:formatCode>General</c:formatCode>
                <c:ptCount val="5"/>
                <c:pt idx="0">
                  <c:v>2205.9</c:v>
                </c:pt>
                <c:pt idx="1">
                  <c:v>2238.89</c:v>
                </c:pt>
                <c:pt idx="2">
                  <c:v>2336.02</c:v>
                </c:pt>
                <c:pt idx="3">
                  <c:v>2421.0100000000002</c:v>
                </c:pt>
                <c:pt idx="4">
                  <c:v>2438.4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429-C84F-849F-0EF021B10F03}"/>
            </c:ext>
          </c:extLst>
        </c:ser>
        <c:ser>
          <c:idx val="16"/>
          <c:order val="16"/>
          <c:tx>
            <c:strRef>
              <c:f>data!$B$27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data!$C$27:$G$27</c:f>
              <c:numCache>
                <c:formatCode>#,##0</c:formatCode>
                <c:ptCount val="5"/>
                <c:pt idx="0">
                  <c:v>3327</c:v>
                </c:pt>
                <c:pt idx="1">
                  <c:v>3375</c:v>
                </c:pt>
                <c:pt idx="2">
                  <c:v>3737</c:v>
                </c:pt>
                <c:pt idx="3">
                  <c:v>3833</c:v>
                </c:pt>
                <c:pt idx="4">
                  <c:v>3893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429-C84F-849F-0EF021B10F03}"/>
            </c:ext>
          </c:extLst>
        </c:ser>
        <c:ser>
          <c:idx val="17"/>
          <c:order val="17"/>
          <c:tx>
            <c:strRef>
              <c:f>data!$B$28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data!$C$28:$G$28</c:f>
              <c:numCache>
                <c:formatCode>#,##0</c:formatCode>
                <c:ptCount val="5"/>
                <c:pt idx="0">
                  <c:v>14436</c:v>
                </c:pt>
                <c:pt idx="1">
                  <c:v>15288</c:v>
                </c:pt>
                <c:pt idx="2">
                  <c:v>16419</c:v>
                </c:pt>
                <c:pt idx="3">
                  <c:v>16836</c:v>
                </c:pt>
                <c:pt idx="4">
                  <c:v>17253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429-C84F-849F-0EF021B10F03}"/>
            </c:ext>
          </c:extLst>
        </c:ser>
        <c:ser>
          <c:idx val="18"/>
          <c:order val="18"/>
          <c:tx>
            <c:strRef>
              <c:f>data!$B$29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data!$C$29:$G$29</c:f>
              <c:numCache>
                <c:formatCode>#,##0</c:formatCode>
                <c:ptCount val="5"/>
                <c:pt idx="0">
                  <c:v>7780</c:v>
                </c:pt>
                <c:pt idx="1">
                  <c:v>8273</c:v>
                </c:pt>
                <c:pt idx="2">
                  <c:v>8630</c:v>
                </c:pt>
                <c:pt idx="3">
                  <c:v>8633.5</c:v>
                </c:pt>
                <c:pt idx="4">
                  <c:v>8767.6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429-C84F-849F-0EF021B10F03}"/>
            </c:ext>
          </c:extLst>
        </c:ser>
        <c:ser>
          <c:idx val="19"/>
          <c:order val="19"/>
          <c:tx>
            <c:strRef>
              <c:f>data!$B$30</c:f>
              <c:strCache>
                <c:ptCount val="1"/>
                <c:pt idx="0">
                  <c:v>Serbia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data!$C$30:$G$30</c:f>
              <c:numCache>
                <c:formatCode>#,##0</c:formatCode>
                <c:ptCount val="5"/>
                <c:pt idx="0">
                  <c:v>2313</c:v>
                </c:pt>
                <c:pt idx="1">
                  <c:v>2460</c:v>
                </c:pt>
                <c:pt idx="2">
                  <c:v>2713</c:v>
                </c:pt>
                <c:pt idx="3">
                  <c:v>2719.53</c:v>
                </c:pt>
                <c:pt idx="4">
                  <c:v>2722.65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429-C84F-849F-0EF021B10F03}"/>
            </c:ext>
          </c:extLst>
        </c:ser>
        <c:ser>
          <c:idx val="20"/>
          <c:order val="20"/>
          <c:tx>
            <c:strRef>
              <c:f>'data (2)'!$B$24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(2)'!$C$24:$G$24</c:f>
              <c:numCache>
                <c:formatCode>#,##0</c:formatCode>
                <c:ptCount val="5"/>
                <c:pt idx="0">
                  <c:v>14436</c:v>
                </c:pt>
                <c:pt idx="1">
                  <c:v>15288</c:v>
                </c:pt>
                <c:pt idx="2">
                  <c:v>16419</c:v>
                </c:pt>
                <c:pt idx="3">
                  <c:v>16836</c:v>
                </c:pt>
                <c:pt idx="4">
                  <c:v>17253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429-C84F-849F-0EF021B10F03}"/>
            </c:ext>
          </c:extLst>
        </c:ser>
        <c:ser>
          <c:idx val="21"/>
          <c:order val="21"/>
          <c:tx>
            <c:strRef>
              <c:f>data!$B$32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data!$C$32:$G$32</c:f>
              <c:numCache>
                <c:formatCode>#,##0</c:formatCode>
                <c:ptCount val="5"/>
                <c:pt idx="0">
                  <c:v>461.64</c:v>
                </c:pt>
                <c:pt idx="1">
                  <c:v>630.36</c:v>
                </c:pt>
                <c:pt idx="2">
                  <c:v>720.38</c:v>
                </c:pt>
                <c:pt idx="3">
                  <c:v>754.67</c:v>
                </c:pt>
                <c:pt idx="4">
                  <c:v>782.02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429-C84F-849F-0EF021B10F03}"/>
            </c:ext>
          </c:extLst>
        </c:ser>
        <c:ser>
          <c:idx val="22"/>
          <c:order val="22"/>
          <c:tx>
            <c:strRef>
              <c:f>data!$B$33</c:f>
              <c:strCache>
                <c:ptCount val="1"/>
                <c:pt idx="0">
                  <c:v>Martinique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data!$C$33:$G$33</c:f>
              <c:numCache>
                <c:formatCode>General</c:formatCode>
                <c:ptCount val="5"/>
                <c:pt idx="0">
                  <c:v>47.84</c:v>
                </c:pt>
                <c:pt idx="1">
                  <c:v>48.74</c:v>
                </c:pt>
                <c:pt idx="2">
                  <c:v>50.29</c:v>
                </c:pt>
                <c:pt idx="3">
                  <c:v>51.29</c:v>
                </c:pt>
                <c:pt idx="4">
                  <c:v>52.29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429-C84F-849F-0EF021B10F03}"/>
            </c:ext>
          </c:extLst>
        </c:ser>
        <c:ser>
          <c:idx val="23"/>
          <c:order val="23"/>
          <c:tx>
            <c:strRef>
              <c:f>data!$B$34</c:f>
              <c:strCache>
                <c:ptCount val="1"/>
                <c:pt idx="0">
                  <c:v>Réunion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data!$C$34:$G$34</c:f>
              <c:numCache>
                <c:formatCode>General</c:formatCode>
                <c:ptCount val="5"/>
                <c:pt idx="0">
                  <c:v>87.95</c:v>
                </c:pt>
                <c:pt idx="1">
                  <c:v>90.97</c:v>
                </c:pt>
                <c:pt idx="2">
                  <c:v>93.99</c:v>
                </c:pt>
                <c:pt idx="3">
                  <c:v>96.04</c:v>
                </c:pt>
                <c:pt idx="4">
                  <c:v>98.44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429-C84F-849F-0EF021B10F03}"/>
            </c:ext>
          </c:extLst>
        </c:ser>
        <c:ser>
          <c:idx val="24"/>
          <c:order val="24"/>
          <c:tx>
            <c:strRef>
              <c:f>data!$B$35</c:f>
              <c:strCache>
                <c:ptCount val="1"/>
                <c:pt idx="0">
                  <c:v>Lithuania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data!$C$35:$G$35</c:f>
              <c:numCache>
                <c:formatCode>#,##0</c:formatCode>
                <c:ptCount val="5"/>
                <c:pt idx="0">
                  <c:v>1945</c:v>
                </c:pt>
                <c:pt idx="1">
                  <c:v>2020</c:v>
                </c:pt>
                <c:pt idx="2">
                  <c:v>2170</c:v>
                </c:pt>
                <c:pt idx="3">
                  <c:v>2187</c:v>
                </c:pt>
                <c:pt idx="4">
                  <c:v>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429-C84F-849F-0EF021B10F03}"/>
            </c:ext>
          </c:extLst>
        </c:ser>
        <c:ser>
          <c:idx val="25"/>
          <c:order val="25"/>
          <c:tx>
            <c:strRef>
              <c:f>'data (2)'!$B$29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(2)'!$C$29:$G$29</c:f>
              <c:numCache>
                <c:formatCode>#,##0</c:formatCode>
                <c:ptCount val="5"/>
                <c:pt idx="0">
                  <c:v>7780</c:v>
                </c:pt>
                <c:pt idx="1">
                  <c:v>8273</c:v>
                </c:pt>
                <c:pt idx="2">
                  <c:v>8630</c:v>
                </c:pt>
                <c:pt idx="3">
                  <c:v>8633.5</c:v>
                </c:pt>
                <c:pt idx="4">
                  <c:v>8767.6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429-C84F-849F-0EF021B10F03}"/>
            </c:ext>
          </c:extLst>
        </c:ser>
        <c:ser>
          <c:idx val="26"/>
          <c:order val="26"/>
          <c:tx>
            <c:strRef>
              <c:f>data!$B$37</c:f>
              <c:strCache>
                <c:ptCount val="1"/>
                <c:pt idx="0">
                  <c:v>Latvia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data!$C$37:$G$37</c:f>
              <c:numCache>
                <c:formatCode>#,##0</c:formatCode>
                <c:ptCount val="5"/>
                <c:pt idx="0">
                  <c:v>3173</c:v>
                </c:pt>
                <c:pt idx="1">
                  <c:v>3241</c:v>
                </c:pt>
                <c:pt idx="2">
                  <c:v>3372.12</c:v>
                </c:pt>
                <c:pt idx="3">
                  <c:v>3391.44</c:v>
                </c:pt>
                <c:pt idx="4">
                  <c:v>3410.79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429-C84F-849F-0EF021B10F03}"/>
            </c:ext>
          </c:extLst>
        </c:ser>
        <c:ser>
          <c:idx val="27"/>
          <c:order val="27"/>
          <c:tx>
            <c:strRef>
              <c:f>data!$B$38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data!$C$38:$G$38</c:f>
              <c:numCache>
                <c:formatCode>General</c:formatCode>
                <c:ptCount val="5"/>
                <c:pt idx="0">
                  <c:v>912</c:v>
                </c:pt>
                <c:pt idx="1">
                  <c:v>957.55</c:v>
                </c:pt>
                <c:pt idx="2">
                  <c:v>960.43</c:v>
                </c:pt>
                <c:pt idx="3">
                  <c:v>994.4</c:v>
                </c:pt>
                <c:pt idx="4">
                  <c:v>1001.49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429-C84F-849F-0EF021B10F03}"/>
            </c:ext>
          </c:extLst>
        </c:ser>
        <c:ser>
          <c:idx val="28"/>
          <c:order val="28"/>
          <c:tx>
            <c:strRef>
              <c:f>data!$B$39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data!$C$39:$G$39</c:f>
              <c:numCache>
                <c:formatCode>#,##0</c:formatCode>
                <c:ptCount val="5"/>
                <c:pt idx="0">
                  <c:v>19783.48</c:v>
                </c:pt>
                <c:pt idx="1">
                  <c:v>20148.349999999999</c:v>
                </c:pt>
                <c:pt idx="2">
                  <c:v>21083.08</c:v>
                </c:pt>
                <c:pt idx="3">
                  <c:v>21630.3</c:v>
                </c:pt>
                <c:pt idx="4">
                  <c:v>22220.36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429-C84F-849F-0EF021B10F03}"/>
            </c:ext>
          </c:extLst>
        </c:ser>
        <c:ser>
          <c:idx val="29"/>
          <c:order val="29"/>
          <c:tx>
            <c:strRef>
              <c:f>data!$B$40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data!$C$40:$G$40</c:f>
              <c:numCache>
                <c:formatCode>General</c:formatCode>
                <c:ptCount val="5"/>
                <c:pt idx="0">
                  <c:v>1153.5</c:v>
                </c:pt>
                <c:pt idx="1">
                  <c:v>1196.18</c:v>
                </c:pt>
                <c:pt idx="2">
                  <c:v>1234.72</c:v>
                </c:pt>
                <c:pt idx="3">
                  <c:v>1251.9100000000001</c:v>
                </c:pt>
                <c:pt idx="4">
                  <c:v>1269.1099999999999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429-C84F-849F-0EF021B10F03}"/>
            </c:ext>
          </c:extLst>
        </c:ser>
        <c:ser>
          <c:idx val="30"/>
          <c:order val="30"/>
          <c:tx>
            <c:strRef>
              <c:f>'data (2)'!$B$34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(2)'!$C$34:$G$34</c:f>
              <c:numCache>
                <c:formatCode>#,##0</c:formatCode>
                <c:ptCount val="5"/>
                <c:pt idx="0">
                  <c:v>3298.55</c:v>
                </c:pt>
                <c:pt idx="1">
                  <c:v>3600.23</c:v>
                </c:pt>
                <c:pt idx="2">
                  <c:v>3901.8</c:v>
                </c:pt>
                <c:pt idx="3">
                  <c:v>3901.8</c:v>
                </c:pt>
                <c:pt idx="4">
                  <c:v>3901.8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429-C84F-849F-0EF021B10F03}"/>
            </c:ext>
          </c:extLst>
        </c:ser>
        <c:ser>
          <c:idx val="31"/>
          <c:order val="31"/>
          <c:tx>
            <c:strRef>
              <c:f>data!$B$42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data!$C$42:$G$42</c:f>
              <c:numCache>
                <c:formatCode>#,##0</c:formatCode>
                <c:ptCount val="5"/>
                <c:pt idx="0">
                  <c:v>63938</c:v>
                </c:pt>
                <c:pt idx="1">
                  <c:v>67591</c:v>
                </c:pt>
                <c:pt idx="2">
                  <c:v>69496</c:v>
                </c:pt>
                <c:pt idx="3">
                  <c:v>70828</c:v>
                </c:pt>
                <c:pt idx="4">
                  <c:v>72160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429-C84F-849F-0EF021B10F03}"/>
            </c:ext>
          </c:extLst>
        </c:ser>
        <c:ser>
          <c:idx val="32"/>
          <c:order val="32"/>
          <c:tx>
            <c:strRef>
              <c:f>'data (2)'!$B$36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(2)'!$C$36:$G$36</c:f>
              <c:numCache>
                <c:formatCode>#,##0</c:formatCode>
                <c:ptCount val="5"/>
                <c:pt idx="0">
                  <c:v>15246.05</c:v>
                </c:pt>
                <c:pt idx="1">
                  <c:v>15817.06</c:v>
                </c:pt>
                <c:pt idx="2">
                  <c:v>16725.259999999998</c:v>
                </c:pt>
                <c:pt idx="3">
                  <c:v>17596.080000000002</c:v>
                </c:pt>
                <c:pt idx="4">
                  <c:v>18210.7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429-C84F-849F-0EF021B10F03}"/>
            </c:ext>
          </c:extLst>
        </c:ser>
        <c:ser>
          <c:idx val="33"/>
          <c:order val="33"/>
          <c:tx>
            <c:strRef>
              <c:f>data!$B$44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data!$C$44:$G$44</c:f>
              <c:numCache>
                <c:formatCode>#,##0</c:formatCode>
                <c:ptCount val="5"/>
                <c:pt idx="0">
                  <c:v>1813.9</c:v>
                </c:pt>
                <c:pt idx="1">
                  <c:v>1921.17</c:v>
                </c:pt>
                <c:pt idx="2">
                  <c:v>2046.39</c:v>
                </c:pt>
                <c:pt idx="3">
                  <c:v>2060.8200000000002</c:v>
                </c:pt>
                <c:pt idx="4">
                  <c:v>2053.0100000000002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429-C84F-849F-0EF021B10F03}"/>
            </c:ext>
          </c:extLst>
        </c:ser>
        <c:ser>
          <c:idx val="34"/>
          <c:order val="34"/>
          <c:tx>
            <c:strRef>
              <c:f>data!$B$45</c:f>
              <c:strCache>
                <c:ptCount val="1"/>
                <c:pt idx="0">
                  <c:v>Saint Vincent and the Grenadines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data!$C$45:$G$45</c:f>
              <c:numCache>
                <c:formatCode>General</c:formatCode>
                <c:ptCount val="5"/>
                <c:pt idx="0">
                  <c:v>27.54</c:v>
                </c:pt>
                <c:pt idx="1">
                  <c:v>28.54</c:v>
                </c:pt>
                <c:pt idx="2">
                  <c:v>28.54</c:v>
                </c:pt>
                <c:pt idx="3">
                  <c:v>28.54</c:v>
                </c:pt>
                <c:pt idx="4">
                  <c:v>28.54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429-C84F-849F-0EF021B10F03}"/>
            </c:ext>
          </c:extLst>
        </c:ser>
        <c:ser>
          <c:idx val="35"/>
          <c:order val="35"/>
          <c:tx>
            <c:strRef>
              <c:f>data!$B$46</c:f>
              <c:strCache>
                <c:ptCount val="1"/>
                <c:pt idx="0">
                  <c:v>Costa Rica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data!$C$46:$G$46</c:f>
              <c:numCache>
                <c:formatCode>#,##0</c:formatCode>
                <c:ptCount val="5"/>
                <c:pt idx="0">
                  <c:v>2907.4</c:v>
                </c:pt>
                <c:pt idx="1">
                  <c:v>2857.22</c:v>
                </c:pt>
                <c:pt idx="2">
                  <c:v>2871.2</c:v>
                </c:pt>
                <c:pt idx="3">
                  <c:v>2953.03</c:v>
                </c:pt>
                <c:pt idx="4">
                  <c:v>3034.87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429-C84F-849F-0EF021B10F03}"/>
            </c:ext>
          </c:extLst>
        </c:ser>
        <c:ser>
          <c:idx val="36"/>
          <c:order val="36"/>
          <c:tx>
            <c:strRef>
              <c:f>data!$B$47</c:f>
              <c:strCache>
                <c:ptCount val="1"/>
                <c:pt idx="0">
                  <c:v>Slovenia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data!$C$47:$G$47</c:f>
              <c:numCache>
                <c:formatCode>General</c:formatCode>
                <c:ptCount val="5"/>
                <c:pt idx="0">
                  <c:v>1188</c:v>
                </c:pt>
                <c:pt idx="1">
                  <c:v>1233</c:v>
                </c:pt>
                <c:pt idx="2">
                  <c:v>1247</c:v>
                </c:pt>
                <c:pt idx="3">
                  <c:v>1248</c:v>
                </c:pt>
                <c:pt idx="4">
                  <c:v>1237.83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429-C84F-849F-0EF021B10F03}"/>
            </c:ext>
          </c:extLst>
        </c:ser>
        <c:ser>
          <c:idx val="37"/>
          <c:order val="37"/>
          <c:tx>
            <c:strRef>
              <c:f>data!$B$48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data!$C$48:$G$48</c:f>
              <c:numCache>
                <c:formatCode>#,##0</c:formatCode>
                <c:ptCount val="5"/>
                <c:pt idx="0">
                  <c:v>6371</c:v>
                </c:pt>
                <c:pt idx="1">
                  <c:v>6366</c:v>
                </c:pt>
                <c:pt idx="2">
                  <c:v>6515</c:v>
                </c:pt>
                <c:pt idx="3">
                  <c:v>6900.96</c:v>
                </c:pt>
                <c:pt idx="4">
                  <c:v>6929.05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429-C84F-849F-0EF021B10F03}"/>
            </c:ext>
          </c:extLst>
        </c:ser>
        <c:ser>
          <c:idx val="38"/>
          <c:order val="38"/>
          <c:tx>
            <c:strRef>
              <c:f>data!$B$49</c:f>
              <c:strCache>
                <c:ptCount val="1"/>
                <c:pt idx="0">
                  <c:v>Guernsey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data!$C$49:$G$49</c:f>
              <c:numCache>
                <c:formatCode>General</c:formatCode>
                <c:ptCount val="5"/>
                <c:pt idx="0">
                  <c:v>0.23</c:v>
                </c:pt>
                <c:pt idx="1">
                  <c:v>0.23</c:v>
                </c:pt>
                <c:pt idx="2">
                  <c:v>0.42</c:v>
                </c:pt>
                <c:pt idx="3">
                  <c:v>0.42</c:v>
                </c:pt>
                <c:pt idx="4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429-C84F-849F-0EF021B10F03}"/>
            </c:ext>
          </c:extLst>
        </c:ser>
        <c:ser>
          <c:idx val="39"/>
          <c:order val="39"/>
          <c:tx>
            <c:strRef>
              <c:f>'data (2)'!$B$43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(2)'!$C$43:$G$43</c:f>
              <c:numCache>
                <c:formatCode>#,##0</c:formatCode>
                <c:ptCount val="5"/>
                <c:pt idx="0">
                  <c:v>19783.48</c:v>
                </c:pt>
                <c:pt idx="1">
                  <c:v>20148.349999999999</c:v>
                </c:pt>
                <c:pt idx="2">
                  <c:v>21083.08</c:v>
                </c:pt>
                <c:pt idx="3">
                  <c:v>21630.3</c:v>
                </c:pt>
                <c:pt idx="4">
                  <c:v>22220.36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429-C84F-849F-0EF021B10F03}"/>
            </c:ext>
          </c:extLst>
        </c:ser>
        <c:ser>
          <c:idx val="40"/>
          <c:order val="40"/>
          <c:tx>
            <c:strRef>
              <c:f>data!$B$51</c:f>
              <c:strCache>
                <c:ptCount val="1"/>
                <c:pt idx="0">
                  <c:v>Azerbaijan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data!$C$51:$G$51</c:f>
              <c:numCache>
                <c:formatCode>#,##0</c:formatCode>
                <c:ptCount val="5"/>
                <c:pt idx="0">
                  <c:v>944.74</c:v>
                </c:pt>
                <c:pt idx="1">
                  <c:v>987.22</c:v>
                </c:pt>
                <c:pt idx="2">
                  <c:v>1032.49</c:v>
                </c:pt>
                <c:pt idx="3">
                  <c:v>1077.8900000000001</c:v>
                </c:pt>
                <c:pt idx="4">
                  <c:v>1131.77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429-C84F-849F-0EF021B10F03}"/>
            </c:ext>
          </c:extLst>
        </c:ser>
        <c:ser>
          <c:idx val="41"/>
          <c:order val="41"/>
          <c:tx>
            <c:strRef>
              <c:f>data!$B$52</c:f>
              <c:strCache>
                <c:ptCount val="1"/>
                <c:pt idx="0">
                  <c:v>Eswatini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data!$C$52:$G$52</c:f>
              <c:numCache>
                <c:formatCode>General</c:formatCode>
                <c:ptCount val="5"/>
                <c:pt idx="0">
                  <c:v>461.14</c:v>
                </c:pt>
                <c:pt idx="1">
                  <c:v>473.28</c:v>
                </c:pt>
                <c:pt idx="2">
                  <c:v>485.43</c:v>
                </c:pt>
                <c:pt idx="3">
                  <c:v>491.5</c:v>
                </c:pt>
                <c:pt idx="4">
                  <c:v>497.56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429-C84F-849F-0EF021B10F03}"/>
            </c:ext>
          </c:extLst>
        </c:ser>
        <c:ser>
          <c:idx val="42"/>
          <c:order val="42"/>
          <c:tx>
            <c:strRef>
              <c:f>data!$B$53</c:f>
              <c:strCache>
                <c:ptCount val="1"/>
                <c:pt idx="0">
                  <c:v>Nepal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data!$C$53:$G$53</c:f>
              <c:numCache>
                <c:formatCode>#,##0</c:formatCode>
                <c:ptCount val="5"/>
                <c:pt idx="0">
                  <c:v>5672</c:v>
                </c:pt>
                <c:pt idx="1">
                  <c:v>5780.76</c:v>
                </c:pt>
                <c:pt idx="2">
                  <c:v>5962.03</c:v>
                </c:pt>
                <c:pt idx="3">
                  <c:v>5962.03</c:v>
                </c:pt>
                <c:pt idx="4">
                  <c:v>5962.03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429-C84F-849F-0EF021B10F03}"/>
            </c:ext>
          </c:extLst>
        </c:ser>
        <c:ser>
          <c:idx val="43"/>
          <c:order val="43"/>
          <c:tx>
            <c:strRef>
              <c:f>data!$B$54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data!$C$54:$G$54</c:f>
              <c:numCache>
                <c:formatCode>#,##0</c:formatCode>
                <c:ptCount val="5"/>
                <c:pt idx="0">
                  <c:v>9372.27</c:v>
                </c:pt>
                <c:pt idx="1">
                  <c:v>9850.44</c:v>
                </c:pt>
                <c:pt idx="2">
                  <c:v>9848.1200000000008</c:v>
                </c:pt>
                <c:pt idx="3">
                  <c:v>9846.61</c:v>
                </c:pt>
                <c:pt idx="4">
                  <c:v>9892.59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429-C84F-849F-0EF021B10F03}"/>
            </c:ext>
          </c:extLst>
        </c:ser>
        <c:ser>
          <c:idx val="44"/>
          <c:order val="44"/>
          <c:tx>
            <c:strRef>
              <c:f>data!$B$55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data!$C$55:$G$55</c:f>
              <c:numCache>
                <c:formatCode>#,##0</c:formatCode>
                <c:ptCount val="5"/>
                <c:pt idx="0">
                  <c:v>8882</c:v>
                </c:pt>
                <c:pt idx="1">
                  <c:v>9059</c:v>
                </c:pt>
                <c:pt idx="2">
                  <c:v>9329</c:v>
                </c:pt>
                <c:pt idx="3">
                  <c:v>9420</c:v>
                </c:pt>
                <c:pt idx="4">
                  <c:v>9483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429-C84F-849F-0EF021B10F03}"/>
            </c:ext>
          </c:extLst>
        </c:ser>
        <c:ser>
          <c:idx val="45"/>
          <c:order val="45"/>
          <c:tx>
            <c:strRef>
              <c:f>'data (2)'!$B$49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(2)'!$C$49:$G$49</c:f>
              <c:numCache>
                <c:formatCode>#,##0</c:formatCode>
                <c:ptCount val="5"/>
                <c:pt idx="0">
                  <c:v>63938</c:v>
                </c:pt>
                <c:pt idx="1">
                  <c:v>67591</c:v>
                </c:pt>
                <c:pt idx="2">
                  <c:v>69496</c:v>
                </c:pt>
                <c:pt idx="3">
                  <c:v>70828</c:v>
                </c:pt>
                <c:pt idx="4">
                  <c:v>72160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429-C84F-849F-0EF021B10F03}"/>
            </c:ext>
          </c:extLst>
        </c:ser>
        <c:ser>
          <c:idx val="46"/>
          <c:order val="46"/>
          <c:tx>
            <c:strRef>
              <c:f>data!$B$57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data!$C$57:$G$57</c:f>
              <c:numCache>
                <c:formatCode>#,##0</c:formatCode>
                <c:ptCount val="5"/>
                <c:pt idx="0">
                  <c:v>21875.33</c:v>
                </c:pt>
                <c:pt idx="1">
                  <c:v>22445.64</c:v>
                </c:pt>
                <c:pt idx="2">
                  <c:v>22242</c:v>
                </c:pt>
                <c:pt idx="3">
                  <c:v>22409</c:v>
                </c:pt>
                <c:pt idx="4">
                  <c:v>22409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429-C84F-849F-0EF021B10F03}"/>
            </c:ext>
          </c:extLst>
        </c:ser>
        <c:ser>
          <c:idx val="47"/>
          <c:order val="47"/>
          <c:tx>
            <c:strRef>
              <c:f>data!$B$58</c:f>
              <c:strCache>
                <c:ptCount val="1"/>
                <c:pt idx="0">
                  <c:v>United Kingdom of Great Britain and Northern Ireland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data!$C$58:$G$58</c:f>
              <c:numCache>
                <c:formatCode>#,##0</c:formatCode>
                <c:ptCount val="5"/>
                <c:pt idx="0">
                  <c:v>2778</c:v>
                </c:pt>
                <c:pt idx="1">
                  <c:v>2954</c:v>
                </c:pt>
                <c:pt idx="2">
                  <c:v>3059</c:v>
                </c:pt>
                <c:pt idx="3">
                  <c:v>3155</c:v>
                </c:pt>
                <c:pt idx="4">
                  <c:v>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429-C84F-849F-0EF021B10F03}"/>
            </c:ext>
          </c:extLst>
        </c:ser>
        <c:ser>
          <c:idx val="48"/>
          <c:order val="48"/>
          <c:tx>
            <c:strRef>
              <c:f>data!$B$59</c:f>
              <c:strCache>
                <c:ptCount val="1"/>
                <c:pt idx="0">
                  <c:v>Croatia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data!$C$59:$G$59</c:f>
              <c:numCache>
                <c:formatCode>#,##0</c:formatCode>
                <c:ptCount val="5"/>
                <c:pt idx="0">
                  <c:v>1850</c:v>
                </c:pt>
                <c:pt idx="1">
                  <c:v>1885</c:v>
                </c:pt>
                <c:pt idx="2">
                  <c:v>1920</c:v>
                </c:pt>
                <c:pt idx="3">
                  <c:v>1922</c:v>
                </c:pt>
                <c:pt idx="4">
                  <c:v>1939.11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429-C84F-849F-0EF021B10F03}"/>
            </c:ext>
          </c:extLst>
        </c:ser>
        <c:ser>
          <c:idx val="49"/>
          <c:order val="49"/>
          <c:tx>
            <c:strRef>
              <c:f>data!$B$60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data!$C$60:$G$60</c:f>
              <c:numCache>
                <c:formatCode>#,##0</c:formatCode>
                <c:ptCount val="5"/>
                <c:pt idx="0">
                  <c:v>3775.67</c:v>
                </c:pt>
                <c:pt idx="1">
                  <c:v>3838.14</c:v>
                </c:pt>
                <c:pt idx="2">
                  <c:v>3863.2</c:v>
                </c:pt>
                <c:pt idx="3">
                  <c:v>3881.19</c:v>
                </c:pt>
                <c:pt idx="4">
                  <c:v>3899.15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429-C84F-849F-0EF021B10F03}"/>
            </c:ext>
          </c:extLst>
        </c:ser>
        <c:ser>
          <c:idx val="50"/>
          <c:order val="50"/>
          <c:tx>
            <c:strRef>
              <c:f>data!$B$61</c:f>
              <c:strCache>
                <c:ptCount val="1"/>
                <c:pt idx="0">
                  <c:v>French Polynesia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data!$C$61:$G$61</c:f>
              <c:numCache>
                <c:formatCode>General</c:formatCode>
                <c:ptCount val="5"/>
                <c:pt idx="0">
                  <c:v>144.43</c:v>
                </c:pt>
                <c:pt idx="1">
                  <c:v>148.55000000000001</c:v>
                </c:pt>
                <c:pt idx="2">
                  <c:v>149.46</c:v>
                </c:pt>
                <c:pt idx="3">
                  <c:v>149.46</c:v>
                </c:pt>
                <c:pt idx="4">
                  <c:v>149.46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429-C84F-849F-0EF021B10F03}"/>
            </c:ext>
          </c:extLst>
        </c:ser>
        <c:ser>
          <c:idx val="51"/>
          <c:order val="51"/>
          <c:tx>
            <c:strRef>
              <c:f>data!$B$62</c:f>
              <c:strCache>
                <c:ptCount val="1"/>
                <c:pt idx="0">
                  <c:v>Liechtenstein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data!$C$62:$G$62</c:f>
              <c:numCache>
                <c:formatCode>General</c:formatCode>
                <c:ptCount val="5"/>
                <c:pt idx="0">
                  <c:v>6.5</c:v>
                </c:pt>
                <c:pt idx="1">
                  <c:v>6.7</c:v>
                </c:pt>
                <c:pt idx="2">
                  <c:v>6.7</c:v>
                </c:pt>
                <c:pt idx="3">
                  <c:v>6.7</c:v>
                </c:pt>
                <c:pt idx="4">
                  <c:v>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429-C84F-849F-0EF021B10F03}"/>
            </c:ext>
          </c:extLst>
        </c:ser>
        <c:ser>
          <c:idx val="52"/>
          <c:order val="52"/>
          <c:tx>
            <c:strRef>
              <c:f>data!$B$63</c:f>
              <c:strCache>
                <c:ptCount val="1"/>
                <c:pt idx="0">
                  <c:v>Cyprus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data!$C$63:$G$63</c:f>
              <c:numCache>
                <c:formatCode>General</c:formatCode>
                <c:ptCount val="5"/>
                <c:pt idx="0">
                  <c:v>161.11000000000001</c:v>
                </c:pt>
                <c:pt idx="1">
                  <c:v>171.61</c:v>
                </c:pt>
                <c:pt idx="2">
                  <c:v>172.84</c:v>
                </c:pt>
                <c:pt idx="3">
                  <c:v>172.71</c:v>
                </c:pt>
                <c:pt idx="4">
                  <c:v>172.53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429-C84F-849F-0EF021B10F03}"/>
            </c:ext>
          </c:extLst>
        </c:ser>
        <c:ser>
          <c:idx val="53"/>
          <c:order val="53"/>
          <c:tx>
            <c:strRef>
              <c:f>data!$B$64</c:f>
              <c:strCache>
                <c:ptCount val="1"/>
                <c:pt idx="0">
                  <c:v>Micronesia (Federated States of)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data!$C$64:$G$64</c:f>
              <c:numCache>
                <c:formatCode>General</c:formatCode>
                <c:ptCount val="5"/>
                <c:pt idx="0">
                  <c:v>63.58</c:v>
                </c:pt>
                <c:pt idx="1">
                  <c:v>63.86</c:v>
                </c:pt>
                <c:pt idx="2">
                  <c:v>64.13</c:v>
                </c:pt>
                <c:pt idx="3">
                  <c:v>64.27</c:v>
                </c:pt>
                <c:pt idx="4">
                  <c:v>64.42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429-C84F-849F-0EF021B10F03}"/>
            </c:ext>
          </c:extLst>
        </c:ser>
        <c:ser>
          <c:idx val="54"/>
          <c:order val="54"/>
          <c:tx>
            <c:strRef>
              <c:f>data!$B$65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data!$C$65:$G$65</c:f>
              <c:numCache>
                <c:formatCode>General</c:formatCode>
                <c:ptCount val="5"/>
                <c:pt idx="0">
                  <c:v>85.8</c:v>
                </c:pt>
                <c:pt idx="1">
                  <c:v>86.7</c:v>
                </c:pt>
                <c:pt idx="2">
                  <c:v>88.7</c:v>
                </c:pt>
                <c:pt idx="3">
                  <c:v>88.7</c:v>
                </c:pt>
                <c:pt idx="4">
                  <c:v>88.7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429-C84F-849F-0EF021B10F03}"/>
            </c:ext>
          </c:extLst>
        </c:ser>
        <c:ser>
          <c:idx val="55"/>
          <c:order val="55"/>
          <c:tx>
            <c:strRef>
              <c:f>data!$B$66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data!$C$66:$G$66</c:f>
              <c:numCache>
                <c:formatCode>General</c:formatCode>
                <c:ptCount val="5"/>
                <c:pt idx="0">
                  <c:v>14.83</c:v>
                </c:pt>
                <c:pt idx="1">
                  <c:v>17.010000000000002</c:v>
                </c:pt>
                <c:pt idx="2">
                  <c:v>17.739999999999998</c:v>
                </c:pt>
                <c:pt idx="3">
                  <c:v>16.47</c:v>
                </c:pt>
                <c:pt idx="4">
                  <c:v>15.57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429-C84F-849F-0EF021B10F03}"/>
            </c:ext>
          </c:extLst>
        </c:ser>
        <c:ser>
          <c:idx val="56"/>
          <c:order val="56"/>
          <c:tx>
            <c:strRef>
              <c:f>'data (2)'!$B$60</c:f>
              <c:strCache>
                <c:ptCount val="1"/>
                <c:pt idx="0">
                  <c:v>Uzbekistan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(2)'!$C$60:$G$60</c:f>
              <c:numCache>
                <c:formatCode>#,##0</c:formatCode>
                <c:ptCount val="5"/>
                <c:pt idx="0">
                  <c:v>2549.37</c:v>
                </c:pt>
                <c:pt idx="1">
                  <c:v>2961.46</c:v>
                </c:pt>
                <c:pt idx="2">
                  <c:v>3349.6</c:v>
                </c:pt>
                <c:pt idx="3">
                  <c:v>3549.4</c:v>
                </c:pt>
                <c:pt idx="4">
                  <c:v>3689.66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429-C84F-849F-0EF021B10F03}"/>
            </c:ext>
          </c:extLst>
        </c:ser>
        <c:ser>
          <c:idx val="57"/>
          <c:order val="57"/>
          <c:tx>
            <c:strRef>
              <c:f>data!$B$68</c:f>
              <c:strCache>
                <c:ptCount val="1"/>
                <c:pt idx="0">
                  <c:v>United Arab Emirates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data!$C$68:$G$68</c:f>
              <c:numCache>
                <c:formatCode>#,##0</c:formatCode>
                <c:ptCount val="5"/>
                <c:pt idx="0">
                  <c:v>245</c:v>
                </c:pt>
                <c:pt idx="1">
                  <c:v>309.43</c:v>
                </c:pt>
                <c:pt idx="2">
                  <c:v>317.3</c:v>
                </c:pt>
                <c:pt idx="3">
                  <c:v>317.3</c:v>
                </c:pt>
                <c:pt idx="4">
                  <c:v>317.3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429-C84F-849F-0EF021B10F03}"/>
            </c:ext>
          </c:extLst>
        </c:ser>
        <c:ser>
          <c:idx val="58"/>
          <c:order val="58"/>
          <c:tx>
            <c:strRef>
              <c:f>data!$B$69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data!$C$69:$G$69</c:f>
              <c:numCache>
                <c:formatCode>#,##0</c:formatCode>
                <c:ptCount val="5"/>
                <c:pt idx="0">
                  <c:v>2752.3</c:v>
                </c:pt>
                <c:pt idx="1">
                  <c:v>2760.6</c:v>
                </c:pt>
                <c:pt idx="2">
                  <c:v>2822.4</c:v>
                </c:pt>
                <c:pt idx="3">
                  <c:v>2822.4</c:v>
                </c:pt>
                <c:pt idx="4">
                  <c:v>2822.4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429-C84F-849F-0EF021B10F03}"/>
            </c:ext>
          </c:extLst>
        </c:ser>
        <c:ser>
          <c:idx val="59"/>
          <c:order val="59"/>
          <c:tx>
            <c:strRef>
              <c:f>data!$B$70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data!$C$70:$G$70</c:f>
              <c:numCache>
                <c:formatCode>#,##0</c:formatCode>
                <c:ptCount val="5"/>
                <c:pt idx="0">
                  <c:v>19361</c:v>
                </c:pt>
                <c:pt idx="1">
                  <c:v>18998</c:v>
                </c:pt>
                <c:pt idx="2">
                  <c:v>20073</c:v>
                </c:pt>
                <c:pt idx="3">
                  <c:v>20061</c:v>
                </c:pt>
                <c:pt idx="4">
                  <c:v>19873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429-C84F-849F-0EF021B10F03}"/>
            </c:ext>
          </c:extLst>
        </c:ser>
        <c:ser>
          <c:idx val="60"/>
          <c:order val="60"/>
          <c:tx>
            <c:strRef>
              <c:f>data!$B$71</c:f>
              <c:strCache>
                <c:ptCount val="1"/>
                <c:pt idx="0">
                  <c:v>Kyrgyzstan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data!$C$71:$G$71</c:f>
              <c:numCache>
                <c:formatCode>#,##0</c:formatCode>
                <c:ptCount val="5"/>
                <c:pt idx="0">
                  <c:v>1136.42</c:v>
                </c:pt>
                <c:pt idx="1">
                  <c:v>1180.9000000000001</c:v>
                </c:pt>
                <c:pt idx="2">
                  <c:v>1229.68</c:v>
                </c:pt>
                <c:pt idx="3">
                  <c:v>1251.81</c:v>
                </c:pt>
                <c:pt idx="4">
                  <c:v>1315.38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429-C84F-849F-0EF021B10F03}"/>
            </c:ext>
          </c:extLst>
        </c:ser>
        <c:ser>
          <c:idx val="61"/>
          <c:order val="61"/>
          <c:tx>
            <c:strRef>
              <c:f>data!$B$72</c:f>
              <c:strCache>
                <c:ptCount val="1"/>
                <c:pt idx="0">
                  <c:v>Syrian Arab Republic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data!$C$72:$G$72</c:f>
              <c:numCache>
                <c:formatCode>#,##0</c:formatCode>
                <c:ptCount val="5"/>
                <c:pt idx="0">
                  <c:v>372.08</c:v>
                </c:pt>
                <c:pt idx="1">
                  <c:v>432.08</c:v>
                </c:pt>
                <c:pt idx="2">
                  <c:v>492.08</c:v>
                </c:pt>
                <c:pt idx="3">
                  <c:v>522.08000000000004</c:v>
                </c:pt>
                <c:pt idx="4">
                  <c:v>522.08000000000004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429-C84F-849F-0EF021B10F03}"/>
            </c:ext>
          </c:extLst>
        </c:ser>
        <c:ser>
          <c:idx val="62"/>
          <c:order val="62"/>
          <c:tx>
            <c:strRef>
              <c:f>'data (2)'!$B$66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(2)'!$C$66:$G$66</c:f>
              <c:numCache>
                <c:formatCode>#,##0</c:formatCode>
                <c:ptCount val="5"/>
                <c:pt idx="0">
                  <c:v>6371</c:v>
                </c:pt>
                <c:pt idx="1">
                  <c:v>6366</c:v>
                </c:pt>
                <c:pt idx="2">
                  <c:v>6515</c:v>
                </c:pt>
                <c:pt idx="3">
                  <c:v>6900.96</c:v>
                </c:pt>
                <c:pt idx="4">
                  <c:v>6929.05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D429-C84F-849F-0EF021B10F03}"/>
            </c:ext>
          </c:extLst>
        </c:ser>
        <c:ser>
          <c:idx val="63"/>
          <c:order val="63"/>
          <c:tx>
            <c:strRef>
              <c:f>data!$B$74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data!$C$74:$G$74</c:f>
              <c:numCache>
                <c:formatCode>#,##0</c:formatCode>
                <c:ptCount val="5"/>
                <c:pt idx="0">
                  <c:v>9274</c:v>
                </c:pt>
                <c:pt idx="1">
                  <c:v>9510</c:v>
                </c:pt>
                <c:pt idx="2">
                  <c:v>9548</c:v>
                </c:pt>
                <c:pt idx="3">
                  <c:v>9657</c:v>
                </c:pt>
                <c:pt idx="4">
                  <c:v>9690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D429-C84F-849F-0EF021B10F03}"/>
            </c:ext>
          </c:extLst>
        </c:ser>
        <c:ser>
          <c:idx val="64"/>
          <c:order val="64"/>
          <c:tx>
            <c:strRef>
              <c:f>'data (2)'!$B$68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(2)'!$C$68:$G$68</c:f>
              <c:numCache>
                <c:formatCode>#,##0</c:formatCode>
                <c:ptCount val="5"/>
                <c:pt idx="0">
                  <c:v>9372.27</c:v>
                </c:pt>
                <c:pt idx="1">
                  <c:v>9850.44</c:v>
                </c:pt>
                <c:pt idx="2">
                  <c:v>9848.1200000000008</c:v>
                </c:pt>
                <c:pt idx="3">
                  <c:v>9846.61</c:v>
                </c:pt>
                <c:pt idx="4">
                  <c:v>9892.59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D429-C84F-849F-0EF021B10F03}"/>
            </c:ext>
          </c:extLst>
        </c:ser>
        <c:ser>
          <c:idx val="65"/>
          <c:order val="65"/>
          <c:tx>
            <c:strRef>
              <c:f>'data (2)'!$B$69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(2)'!$C$69:$G$69</c:f>
              <c:numCache>
                <c:formatCode>#,##0</c:formatCode>
                <c:ptCount val="5"/>
                <c:pt idx="0">
                  <c:v>8882</c:v>
                </c:pt>
                <c:pt idx="1">
                  <c:v>9059</c:v>
                </c:pt>
                <c:pt idx="2">
                  <c:v>9329</c:v>
                </c:pt>
                <c:pt idx="3">
                  <c:v>9420</c:v>
                </c:pt>
                <c:pt idx="4">
                  <c:v>9483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D429-C84F-849F-0EF021B10F03}"/>
            </c:ext>
          </c:extLst>
        </c:ser>
        <c:ser>
          <c:idx val="66"/>
          <c:order val="66"/>
          <c:tx>
            <c:strRef>
              <c:f>data!$B$77</c:f>
              <c:strCache>
                <c:ptCount val="1"/>
                <c:pt idx="0">
                  <c:v>Czechia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data!$C$77:$G$77</c:f>
              <c:numCache>
                <c:formatCode>#,##0</c:formatCode>
                <c:ptCount val="5"/>
                <c:pt idx="0">
                  <c:v>2629.42</c:v>
                </c:pt>
                <c:pt idx="1">
                  <c:v>2637.29</c:v>
                </c:pt>
                <c:pt idx="2">
                  <c:v>2657.38</c:v>
                </c:pt>
                <c:pt idx="3">
                  <c:v>2668.39</c:v>
                </c:pt>
                <c:pt idx="4">
                  <c:v>2677.09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D429-C84F-849F-0EF021B10F03}"/>
            </c:ext>
          </c:extLst>
        </c:ser>
        <c:ser>
          <c:idx val="67"/>
          <c:order val="67"/>
          <c:tx>
            <c:strRef>
              <c:f>'data (2)'!$B$71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(2)'!$C$71:$G$71</c:f>
              <c:numCache>
                <c:formatCode>#,##0</c:formatCode>
                <c:ptCount val="5"/>
                <c:pt idx="0">
                  <c:v>21875.33</c:v>
                </c:pt>
                <c:pt idx="1">
                  <c:v>22445.64</c:v>
                </c:pt>
                <c:pt idx="2">
                  <c:v>22242</c:v>
                </c:pt>
                <c:pt idx="3">
                  <c:v>22409</c:v>
                </c:pt>
                <c:pt idx="4">
                  <c:v>22409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D429-C84F-849F-0EF021B10F03}"/>
            </c:ext>
          </c:extLst>
        </c:ser>
        <c:ser>
          <c:idx val="68"/>
          <c:order val="68"/>
          <c:tx>
            <c:strRef>
              <c:f>'data (2)'!$B$72</c:f>
              <c:strCache>
                <c:ptCount val="1"/>
                <c:pt idx="0">
                  <c:v>Iran (Islamic Republic of)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(2)'!$C$72:$G$72</c:f>
              <c:numCache>
                <c:formatCode>#,##0</c:formatCode>
                <c:ptCount val="5"/>
                <c:pt idx="0">
                  <c:v>9076.06</c:v>
                </c:pt>
                <c:pt idx="1">
                  <c:v>9325.66</c:v>
                </c:pt>
                <c:pt idx="2">
                  <c:v>10691.98</c:v>
                </c:pt>
                <c:pt idx="3">
                  <c:v>10691.98</c:v>
                </c:pt>
                <c:pt idx="4">
                  <c:v>10751.87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D429-C84F-849F-0EF021B10F03}"/>
            </c:ext>
          </c:extLst>
        </c:ser>
        <c:ser>
          <c:idx val="69"/>
          <c:order val="69"/>
          <c:tx>
            <c:strRef>
              <c:f>'data (2)'!$B$73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(2)'!$C$73:$G$73</c:f>
              <c:numCache>
                <c:formatCode>#,##0</c:formatCode>
                <c:ptCount val="5"/>
                <c:pt idx="0">
                  <c:v>19361</c:v>
                </c:pt>
                <c:pt idx="1">
                  <c:v>18998</c:v>
                </c:pt>
                <c:pt idx="2">
                  <c:v>20073</c:v>
                </c:pt>
                <c:pt idx="3">
                  <c:v>20061</c:v>
                </c:pt>
                <c:pt idx="4">
                  <c:v>19873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D429-C84F-849F-0EF021B10F03}"/>
            </c:ext>
          </c:extLst>
        </c:ser>
        <c:ser>
          <c:idx val="70"/>
          <c:order val="70"/>
          <c:tx>
            <c:strRef>
              <c:f>data!$B$81</c:f>
              <c:strCache>
                <c:ptCount val="1"/>
                <c:pt idx="0">
                  <c:v>Russian Federation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data!$C$81:$G$81</c:f>
              <c:numCache>
                <c:formatCode>#,##0</c:formatCode>
                <c:ptCount val="5"/>
                <c:pt idx="0">
                  <c:v>808949.9</c:v>
                </c:pt>
                <c:pt idx="1">
                  <c:v>809268.5</c:v>
                </c:pt>
                <c:pt idx="2">
                  <c:v>815135.6</c:v>
                </c:pt>
                <c:pt idx="3">
                  <c:v>814930.46</c:v>
                </c:pt>
                <c:pt idx="4">
                  <c:v>815311.6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D429-C84F-849F-0EF021B10F03}"/>
            </c:ext>
          </c:extLst>
        </c:ser>
        <c:ser>
          <c:idx val="71"/>
          <c:order val="71"/>
          <c:tx>
            <c:strRef>
              <c:f>'data (2)'!$B$75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(2)'!$C$75:$G$75</c:f>
              <c:numCache>
                <c:formatCode>#,##0</c:formatCode>
                <c:ptCount val="5"/>
                <c:pt idx="0">
                  <c:v>302450</c:v>
                </c:pt>
                <c:pt idx="1">
                  <c:v>303536</c:v>
                </c:pt>
                <c:pt idx="2">
                  <c:v>308720</c:v>
                </c:pt>
                <c:pt idx="3">
                  <c:v>310095</c:v>
                </c:pt>
                <c:pt idx="4">
                  <c:v>309795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D429-C84F-849F-0EF021B10F03}"/>
            </c:ext>
          </c:extLst>
        </c:ser>
        <c:ser>
          <c:idx val="72"/>
          <c:order val="72"/>
          <c:tx>
            <c:strRef>
              <c:f>data!$B$83</c:f>
              <c:strCache>
                <c:ptCount val="1"/>
                <c:pt idx="0">
                  <c:v>New Caledonia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data!$C$83:$G$83</c:f>
              <c:numCache>
                <c:formatCode>General</c:formatCode>
                <c:ptCount val="5"/>
                <c:pt idx="0">
                  <c:v>831.13</c:v>
                </c:pt>
                <c:pt idx="1">
                  <c:v>837.85</c:v>
                </c:pt>
                <c:pt idx="2">
                  <c:v>839.02</c:v>
                </c:pt>
                <c:pt idx="3">
                  <c:v>838.52</c:v>
                </c:pt>
                <c:pt idx="4">
                  <c:v>838.02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D429-C84F-849F-0EF021B10F03}"/>
            </c:ext>
          </c:extLst>
        </c:ser>
        <c:ser>
          <c:idx val="73"/>
          <c:order val="73"/>
          <c:tx>
            <c:strRef>
              <c:f>data!$B$84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data!$C$84:$G$84</c:f>
              <c:numCache>
                <c:formatCode>General</c:formatCode>
                <c:ptCount val="5"/>
                <c:pt idx="0">
                  <c:v>132</c:v>
                </c:pt>
                <c:pt idx="1">
                  <c:v>153</c:v>
                </c:pt>
                <c:pt idx="2">
                  <c:v>154</c:v>
                </c:pt>
                <c:pt idx="3">
                  <c:v>165</c:v>
                </c:pt>
                <c:pt idx="4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D429-C84F-849F-0EF021B10F03}"/>
            </c:ext>
          </c:extLst>
        </c:ser>
        <c:ser>
          <c:idx val="74"/>
          <c:order val="74"/>
          <c:tx>
            <c:strRef>
              <c:f>data!$B$85</c:f>
              <c:strCache>
                <c:ptCount val="1"/>
                <c:pt idx="0">
                  <c:v>Lebanon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data!$C$85:$G$85</c:f>
              <c:numCache>
                <c:formatCode>General</c:formatCode>
                <c:ptCount val="5"/>
                <c:pt idx="0">
                  <c:v>139.69999999999999</c:v>
                </c:pt>
                <c:pt idx="1">
                  <c:v>138.18</c:v>
                </c:pt>
                <c:pt idx="2">
                  <c:v>137.35</c:v>
                </c:pt>
                <c:pt idx="3">
                  <c:v>140.33000000000001</c:v>
                </c:pt>
                <c:pt idx="4">
                  <c:v>143.33000000000001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D429-C84F-849F-0EF021B10F03}"/>
            </c:ext>
          </c:extLst>
        </c:ser>
        <c:ser>
          <c:idx val="75"/>
          <c:order val="75"/>
          <c:tx>
            <c:strRef>
              <c:f>data!$B$86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data!$C$86:$G$86</c:f>
              <c:numCache>
                <c:formatCode>General</c:formatCode>
                <c:ptCount val="5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D429-C84F-849F-0EF021B10F03}"/>
            </c:ext>
          </c:extLst>
        </c:ser>
        <c:ser>
          <c:idx val="76"/>
          <c:order val="76"/>
          <c:tx>
            <c:strRef>
              <c:f>data!$B$87</c:f>
              <c:strCache>
                <c:ptCount val="1"/>
                <c:pt idx="0">
                  <c:v>Iceland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data!$C$87:$G$87</c:f>
              <c:numCache>
                <c:formatCode>#,##0</c:formatCode>
                <c:ptCount val="5"/>
                <c:pt idx="0">
                  <c:v>17.07</c:v>
                </c:pt>
                <c:pt idx="1">
                  <c:v>29.83</c:v>
                </c:pt>
                <c:pt idx="2">
                  <c:v>44.67</c:v>
                </c:pt>
                <c:pt idx="3">
                  <c:v>48.16</c:v>
                </c:pt>
                <c:pt idx="4">
                  <c:v>51.35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D429-C84F-849F-0EF021B10F03}"/>
            </c:ext>
          </c:extLst>
        </c:ser>
        <c:ser>
          <c:idx val="77"/>
          <c:order val="77"/>
          <c:tx>
            <c:strRef>
              <c:f>data!$B$88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data!$C$88:$G$88</c:f>
              <c:numCache>
                <c:formatCode>#,##0</c:formatCode>
                <c:ptCount val="5"/>
                <c:pt idx="0">
                  <c:v>11300</c:v>
                </c:pt>
                <c:pt idx="1">
                  <c:v>11354</c:v>
                </c:pt>
                <c:pt idx="2">
                  <c:v>11409</c:v>
                </c:pt>
                <c:pt idx="3">
                  <c:v>11419</c:v>
                </c:pt>
                <c:pt idx="4">
                  <c:v>11419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D429-C84F-849F-0EF021B10F03}"/>
            </c:ext>
          </c:extLst>
        </c:ser>
        <c:ser>
          <c:idx val="78"/>
          <c:order val="78"/>
          <c:tx>
            <c:strRef>
              <c:f>data!$B$89</c:f>
              <c:strCache>
                <c:ptCount val="1"/>
                <c:pt idx="0">
                  <c:v>Wallis and Futuna Islands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data!$C$89:$G$89</c:f>
              <c:numCache>
                <c:formatCode>General</c:formatCode>
                <c:ptCount val="5"/>
                <c:pt idx="0">
                  <c:v>5.8</c:v>
                </c:pt>
                <c:pt idx="1">
                  <c:v>5.81</c:v>
                </c:pt>
                <c:pt idx="2">
                  <c:v>5.82</c:v>
                </c:pt>
                <c:pt idx="3">
                  <c:v>5.83</c:v>
                </c:pt>
                <c:pt idx="4">
                  <c:v>5.83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D429-C84F-849F-0EF021B10F03}"/>
            </c:ext>
          </c:extLst>
        </c:ser>
        <c:ser>
          <c:idx val="79"/>
          <c:order val="79"/>
          <c:tx>
            <c:strRef>
              <c:f>data!$B$90</c:f>
              <c:strCache>
                <c:ptCount val="1"/>
                <c:pt idx="0">
                  <c:v>State of Palestine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data!$C$90:$G$90</c:f>
              <c:numCache>
                <c:formatCode>General</c:formatCode>
                <c:ptCount val="5"/>
                <c:pt idx="0">
                  <c:v>9.08</c:v>
                </c:pt>
                <c:pt idx="1">
                  <c:v>9.08</c:v>
                </c:pt>
                <c:pt idx="2">
                  <c:v>9.9499999999999993</c:v>
                </c:pt>
                <c:pt idx="3">
                  <c:v>10.14</c:v>
                </c:pt>
                <c:pt idx="4">
                  <c:v>10.14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D429-C84F-849F-0EF021B10F03}"/>
            </c:ext>
          </c:extLst>
        </c:ser>
        <c:ser>
          <c:idx val="80"/>
          <c:order val="80"/>
          <c:tx>
            <c:strRef>
              <c:f>data!$B$91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data!$C$91:$G$91</c:f>
              <c:numCache>
                <c:formatCode>#,##0</c:formatCode>
                <c:ptCount val="5"/>
                <c:pt idx="0">
                  <c:v>12132</c:v>
                </c:pt>
                <c:pt idx="1">
                  <c:v>12113</c:v>
                </c:pt>
                <c:pt idx="2">
                  <c:v>12102</c:v>
                </c:pt>
                <c:pt idx="3">
                  <c:v>12141</c:v>
                </c:pt>
                <c:pt idx="4">
                  <c:v>12180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D429-C84F-849F-0EF021B10F03}"/>
            </c:ext>
          </c:extLst>
        </c:ser>
        <c:ser>
          <c:idx val="81"/>
          <c:order val="81"/>
          <c:tx>
            <c:strRef>
              <c:f>data!$B$92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data!$C$92:$G$92</c:f>
              <c:numCache>
                <c:formatCode>General</c:formatCode>
                <c:ptCount val="5"/>
                <c:pt idx="0">
                  <c:v>3.45</c:v>
                </c:pt>
                <c:pt idx="1">
                  <c:v>4.8499999999999996</c:v>
                </c:pt>
                <c:pt idx="2">
                  <c:v>6.25</c:v>
                </c:pt>
                <c:pt idx="3">
                  <c:v>6.25</c:v>
                </c:pt>
                <c:pt idx="4">
                  <c:v>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D429-C84F-849F-0EF021B10F03}"/>
            </c:ext>
          </c:extLst>
        </c:ser>
        <c:ser>
          <c:idx val="82"/>
          <c:order val="82"/>
          <c:tx>
            <c:strRef>
              <c:f>data!$B$93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data!$C$93:$G$93</c:f>
              <c:numCache>
                <c:formatCode>General</c:formatCode>
                <c:ptCount val="5"/>
                <c:pt idx="0">
                  <c:v>276.48</c:v>
                </c:pt>
                <c:pt idx="1">
                  <c:v>193.94</c:v>
                </c:pt>
                <c:pt idx="2">
                  <c:v>193.94</c:v>
                </c:pt>
                <c:pt idx="3">
                  <c:v>279.64</c:v>
                </c:pt>
                <c:pt idx="4">
                  <c:v>279.64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D429-C84F-849F-0EF021B10F03}"/>
            </c:ext>
          </c:extLst>
        </c:ser>
        <c:ser>
          <c:idx val="83"/>
          <c:order val="83"/>
          <c:tx>
            <c:strRef>
              <c:f>data!$B$94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data!$C$94:$G$94</c:f>
              <c:numCache>
                <c:formatCode>#,##0</c:formatCode>
                <c:ptCount val="5"/>
                <c:pt idx="0">
                  <c:v>1667</c:v>
                </c:pt>
                <c:pt idx="1">
                  <c:v>1579</c:v>
                </c:pt>
                <c:pt idx="2">
                  <c:v>1918</c:v>
                </c:pt>
                <c:pt idx="3">
                  <c:v>1956</c:v>
                </c:pt>
                <c:pt idx="4">
                  <c:v>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D429-C84F-849F-0EF021B10F03}"/>
            </c:ext>
          </c:extLst>
        </c:ser>
        <c:ser>
          <c:idx val="84"/>
          <c:order val="84"/>
          <c:tx>
            <c:strRef>
              <c:f>data!$B$95</c:f>
              <c:strCache>
                <c:ptCount val="1"/>
                <c:pt idx="0">
                  <c:v>Tajikistan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data!$C$95:$G$95</c:f>
              <c:numCache>
                <c:formatCode>#,##0</c:formatCode>
                <c:ptCount val="5"/>
                <c:pt idx="0">
                  <c:v>408</c:v>
                </c:pt>
                <c:pt idx="1">
                  <c:v>410</c:v>
                </c:pt>
                <c:pt idx="2">
                  <c:v>410</c:v>
                </c:pt>
                <c:pt idx="3">
                  <c:v>421.8</c:v>
                </c:pt>
                <c:pt idx="4">
                  <c:v>423.8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D429-C84F-849F-0EF021B10F03}"/>
            </c:ext>
          </c:extLst>
        </c:ser>
        <c:ser>
          <c:idx val="85"/>
          <c:order val="85"/>
          <c:tx>
            <c:strRef>
              <c:f>'data (2)'!$B$89</c:f>
              <c:strCache>
                <c:ptCount val="1"/>
                <c:pt idx="0">
                  <c:v>Russian Federation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(2)'!$C$89:$G$89</c:f>
              <c:numCache>
                <c:formatCode>#,##0</c:formatCode>
                <c:ptCount val="5"/>
                <c:pt idx="0">
                  <c:v>808949.9</c:v>
                </c:pt>
                <c:pt idx="1">
                  <c:v>809268.5</c:v>
                </c:pt>
                <c:pt idx="2">
                  <c:v>815135.6</c:v>
                </c:pt>
                <c:pt idx="3">
                  <c:v>814930.46</c:v>
                </c:pt>
                <c:pt idx="4">
                  <c:v>815311.6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D429-C84F-849F-0EF021B10F03}"/>
            </c:ext>
          </c:extLst>
        </c:ser>
        <c:ser>
          <c:idx val="86"/>
          <c:order val="86"/>
          <c:tx>
            <c:strRef>
              <c:f>'data (2)'!$B$90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(2)'!$C$90:$G$90</c:f>
              <c:numCache>
                <c:formatCode>0</c:formatCode>
                <c:ptCount val="5"/>
                <c:pt idx="0">
                  <c:v>35204</c:v>
                </c:pt>
                <c:pt idx="1">
                  <c:v>33378</c:v>
                </c:pt>
                <c:pt idx="2">
                  <c:v>30214</c:v>
                </c:pt>
                <c:pt idx="3">
                  <c:v>29097</c:v>
                </c:pt>
                <c:pt idx="4">
                  <c:v>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D429-C84F-849F-0EF021B10F03}"/>
            </c:ext>
          </c:extLst>
        </c:ser>
        <c:ser>
          <c:idx val="87"/>
          <c:order val="87"/>
          <c:tx>
            <c:strRef>
              <c:f>data!$B$98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data!$C$98:$G$98</c:f>
              <c:numCache>
                <c:formatCode>#,##0</c:formatCode>
                <c:ptCount val="5"/>
                <c:pt idx="0">
                  <c:v>133882.20000000001</c:v>
                </c:pt>
                <c:pt idx="1">
                  <c:v>131814.1</c:v>
                </c:pt>
                <c:pt idx="2">
                  <c:v>129546.1</c:v>
                </c:pt>
                <c:pt idx="3">
                  <c:v>133094.5</c:v>
                </c:pt>
                <c:pt idx="4">
                  <c:v>134005.1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429-C84F-849F-0EF021B10F03}"/>
            </c:ext>
          </c:extLst>
        </c:ser>
        <c:ser>
          <c:idx val="88"/>
          <c:order val="88"/>
          <c:tx>
            <c:strRef>
              <c:f>data!$B$99</c:f>
              <c:strCache>
                <c:ptCount val="1"/>
                <c:pt idx="0">
                  <c:v>Djibouti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data!$C$99:$G$99</c:f>
              <c:numCache>
                <c:formatCode>General</c:formatCode>
                <c:ptCount val="5"/>
                <c:pt idx="0">
                  <c:v>5.6</c:v>
                </c:pt>
                <c:pt idx="1">
                  <c:v>5.6</c:v>
                </c:pt>
                <c:pt idx="2">
                  <c:v>5.6</c:v>
                </c:pt>
                <c:pt idx="3">
                  <c:v>5.6</c:v>
                </c:pt>
                <c:pt idx="4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429-C84F-849F-0EF021B10F03}"/>
            </c:ext>
          </c:extLst>
        </c:ser>
        <c:ser>
          <c:idx val="89"/>
          <c:order val="89"/>
          <c:tx>
            <c:strRef>
              <c:f>data!$B$100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data!$C$100:$G$100</c:f>
              <c:numCache>
                <c:formatCode>General</c:formatCode>
                <c:ptCount val="5"/>
                <c:pt idx="0">
                  <c:v>788.8</c:v>
                </c:pt>
                <c:pt idx="1">
                  <c:v>769.3</c:v>
                </c:pt>
                <c:pt idx="2">
                  <c:v>782.07</c:v>
                </c:pt>
                <c:pt idx="3">
                  <c:v>789.19</c:v>
                </c:pt>
                <c:pt idx="4">
                  <c:v>788.9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429-C84F-849F-0EF021B10F03}"/>
            </c:ext>
          </c:extLst>
        </c:ser>
        <c:ser>
          <c:idx val="90"/>
          <c:order val="90"/>
          <c:tx>
            <c:strRef>
              <c:f>data!$B$101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data!$C$101:$G$101</c:f>
              <c:numCache>
                <c:formatCode>#,##0</c:formatCode>
                <c:ptCount val="5"/>
                <c:pt idx="0">
                  <c:v>43.81</c:v>
                </c:pt>
                <c:pt idx="1">
                  <c:v>59.21</c:v>
                </c:pt>
                <c:pt idx="2">
                  <c:v>65.64</c:v>
                </c:pt>
                <c:pt idx="3">
                  <c:v>48.42</c:v>
                </c:pt>
                <c:pt idx="4">
                  <c:v>44.98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D429-C84F-849F-0EF021B10F03}"/>
            </c:ext>
          </c:extLst>
        </c:ser>
        <c:ser>
          <c:idx val="91"/>
          <c:order val="91"/>
          <c:tx>
            <c:strRef>
              <c:f>data!$B$102</c:f>
              <c:strCache>
                <c:ptCount val="1"/>
                <c:pt idx="0">
                  <c:v>Saint Kitts and Nevis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data!$C$102:$G$102</c:f>
              <c:numCache>
                <c:formatCode>General</c:formatCode>
                <c:ptCount val="5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D429-C84F-849F-0EF021B10F03}"/>
            </c:ext>
          </c:extLst>
        </c:ser>
        <c:ser>
          <c:idx val="92"/>
          <c:order val="92"/>
          <c:tx>
            <c:strRef>
              <c:f>'data (2)'!$B$96</c:f>
              <c:strCache>
                <c:ptCount val="1"/>
                <c:pt idx="0">
                  <c:v>Sudan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(2)'!$C$96:$G$96</c:f>
              <c:numCache>
                <c:formatCode>0</c:formatCode>
                <c:ptCount val="5"/>
                <c:pt idx="0">
                  <c:v>23570.31</c:v>
                </c:pt>
                <c:pt idx="1">
                  <c:v>21826.16</c:v>
                </c:pt>
                <c:pt idx="2">
                  <c:v>20081.169999999998</c:v>
                </c:pt>
                <c:pt idx="3">
                  <c:v>19209.93</c:v>
                </c:pt>
                <c:pt idx="4">
                  <c:v>18359.55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D429-C84F-849F-0EF021B10F03}"/>
            </c:ext>
          </c:extLst>
        </c:ser>
        <c:ser>
          <c:idx val="93"/>
          <c:order val="93"/>
          <c:tx>
            <c:strRef>
              <c:f>data!$B$104</c:f>
              <c:strCache>
                <c:ptCount val="1"/>
                <c:pt idx="0">
                  <c:v>Andorra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data!$C$104:$G$104</c:f>
              <c:numCache>
                <c:formatCode>General</c:formatCode>
                <c:ptCount val="5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D429-C84F-849F-0EF021B10F03}"/>
            </c:ext>
          </c:extLst>
        </c:ser>
        <c:ser>
          <c:idx val="94"/>
          <c:order val="94"/>
          <c:tx>
            <c:strRef>
              <c:f>data!$B$105</c:f>
              <c:strCache>
                <c:ptCount val="1"/>
                <c:pt idx="0">
                  <c:v>Tuvalu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data!$C$105:$G$105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D429-C84F-849F-0EF021B10F03}"/>
            </c:ext>
          </c:extLst>
        </c:ser>
        <c:ser>
          <c:idx val="95"/>
          <c:order val="95"/>
          <c:tx>
            <c:strRef>
              <c:f>data!$B$106</c:f>
              <c:strCache>
                <c:ptCount val="1"/>
                <c:pt idx="0">
                  <c:v>Saint Martin (French Part)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data!$C$106:$G$106</c:f>
              <c:numCache>
                <c:formatCode>General</c:formatCode>
                <c:ptCount val="5"/>
                <c:pt idx="0">
                  <c:v>1.24</c:v>
                </c:pt>
                <c:pt idx="1">
                  <c:v>1.24</c:v>
                </c:pt>
                <c:pt idx="2">
                  <c:v>1.24</c:v>
                </c:pt>
                <c:pt idx="3">
                  <c:v>1.24</c:v>
                </c:pt>
                <c:pt idx="4">
                  <c:v>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D429-C84F-849F-0EF021B10F03}"/>
            </c:ext>
          </c:extLst>
        </c:ser>
        <c:ser>
          <c:idx val="96"/>
          <c:order val="96"/>
          <c:tx>
            <c:strRef>
              <c:f>data!$B$107</c:f>
              <c:strCache>
                <c:ptCount val="1"/>
                <c:pt idx="0">
                  <c:v>Bermuda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data!$C$107:$G$107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D429-C84F-849F-0EF021B10F03}"/>
            </c:ext>
          </c:extLst>
        </c:ser>
        <c:ser>
          <c:idx val="97"/>
          <c:order val="97"/>
          <c:tx>
            <c:strRef>
              <c:f>data!$B$108</c:f>
              <c:strCache>
                <c:ptCount val="1"/>
                <c:pt idx="0">
                  <c:v>San Marino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data!$C$108:$G$108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D429-C84F-849F-0EF021B10F03}"/>
            </c:ext>
          </c:extLst>
        </c:ser>
        <c:ser>
          <c:idx val="98"/>
          <c:order val="98"/>
          <c:tx>
            <c:strRef>
              <c:f>data!$B$109</c:f>
              <c:strCache>
                <c:ptCount val="1"/>
                <c:pt idx="0">
                  <c:v>Barbados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data!$C$109:$G$109</c:f>
              <c:numCache>
                <c:formatCode>General</c:formatCode>
                <c:ptCount val="5"/>
                <c:pt idx="0">
                  <c:v>6.3</c:v>
                </c:pt>
                <c:pt idx="1">
                  <c:v>6.3</c:v>
                </c:pt>
                <c:pt idx="2">
                  <c:v>6.3</c:v>
                </c:pt>
                <c:pt idx="3">
                  <c:v>6.3</c:v>
                </c:pt>
                <c:pt idx="4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D429-C84F-849F-0EF021B10F03}"/>
            </c:ext>
          </c:extLst>
        </c:ser>
        <c:ser>
          <c:idx val="99"/>
          <c:order val="99"/>
          <c:tx>
            <c:strRef>
              <c:f>data!$B$110</c:f>
              <c:strCache>
                <c:ptCount val="1"/>
                <c:pt idx="0">
                  <c:v>Tonga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data!$C$110:$G$110</c:f>
              <c:numCache>
                <c:formatCode>General</c:formatCode>
                <c:ptCount val="5"/>
                <c:pt idx="0">
                  <c:v>8.9499999999999993</c:v>
                </c:pt>
                <c:pt idx="1">
                  <c:v>8.9499999999999993</c:v>
                </c:pt>
                <c:pt idx="2">
                  <c:v>8.9499999999999993</c:v>
                </c:pt>
                <c:pt idx="3">
                  <c:v>8.9499999999999993</c:v>
                </c:pt>
                <c:pt idx="4">
                  <c:v>8.9499999999999993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D429-C84F-849F-0EF021B10F03}"/>
            </c:ext>
          </c:extLst>
        </c:ser>
        <c:ser>
          <c:idx val="100"/>
          <c:order val="100"/>
          <c:tx>
            <c:strRef>
              <c:f>data!$B$111</c:f>
              <c:strCache>
                <c:ptCount val="1"/>
                <c:pt idx="0">
                  <c:v>Norfolk Island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data!$C$111:$G$111</c:f>
              <c:numCache>
                <c:formatCode>General</c:formatCode>
                <c:ptCount val="5"/>
                <c:pt idx="0">
                  <c:v>0.49</c:v>
                </c:pt>
                <c:pt idx="1">
                  <c:v>0.49</c:v>
                </c:pt>
                <c:pt idx="2">
                  <c:v>0.49</c:v>
                </c:pt>
                <c:pt idx="3">
                  <c:v>0.49</c:v>
                </c:pt>
                <c:pt idx="4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D429-C84F-849F-0EF021B10F03}"/>
            </c:ext>
          </c:extLst>
        </c:ser>
        <c:ser>
          <c:idx val="101"/>
          <c:order val="101"/>
          <c:tx>
            <c:strRef>
              <c:f>data!$B$112</c:f>
              <c:strCache>
                <c:ptCount val="1"/>
                <c:pt idx="0">
                  <c:v>South Sudan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data!$C$112:$G$112</c:f>
              <c:numCache>
                <c:formatCode>#,##0</c:formatCode>
                <c:ptCount val="5"/>
                <c:pt idx="0">
                  <c:v>7157</c:v>
                </c:pt>
                <c:pt idx="1">
                  <c:v>7157</c:v>
                </c:pt>
                <c:pt idx="2">
                  <c:v>7157</c:v>
                </c:pt>
                <c:pt idx="3">
                  <c:v>7157</c:v>
                </c:pt>
                <c:pt idx="4">
                  <c:v>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D429-C84F-849F-0EF021B10F03}"/>
            </c:ext>
          </c:extLst>
        </c:ser>
        <c:ser>
          <c:idx val="102"/>
          <c:order val="102"/>
          <c:tx>
            <c:strRef>
              <c:f>data!$B$113</c:f>
              <c:strCache>
                <c:ptCount val="1"/>
                <c:pt idx="0">
                  <c:v>Turks and Caicos Islands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data!$C$113:$G$113</c:f>
              <c:numCache>
                <c:formatCode>General</c:formatCode>
                <c:ptCount val="5"/>
                <c:pt idx="0">
                  <c:v>10.52</c:v>
                </c:pt>
                <c:pt idx="1">
                  <c:v>10.52</c:v>
                </c:pt>
                <c:pt idx="2">
                  <c:v>10.52</c:v>
                </c:pt>
                <c:pt idx="3">
                  <c:v>10.52</c:v>
                </c:pt>
                <c:pt idx="4">
                  <c:v>10.52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D429-C84F-849F-0EF021B10F03}"/>
            </c:ext>
          </c:extLst>
        </c:ser>
        <c:ser>
          <c:idx val="103"/>
          <c:order val="103"/>
          <c:tx>
            <c:strRef>
              <c:f>data!$B$114</c:f>
              <c:strCache>
                <c:ptCount val="1"/>
                <c:pt idx="0">
                  <c:v>Bahamas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data!$C$114:$G$114</c:f>
              <c:numCache>
                <c:formatCode>General</c:formatCode>
                <c:ptCount val="5"/>
                <c:pt idx="0">
                  <c:v>509.86</c:v>
                </c:pt>
                <c:pt idx="1">
                  <c:v>509.86</c:v>
                </c:pt>
                <c:pt idx="2">
                  <c:v>509.86</c:v>
                </c:pt>
                <c:pt idx="3">
                  <c:v>509.86</c:v>
                </c:pt>
                <c:pt idx="4">
                  <c:v>509.86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D429-C84F-849F-0EF021B10F03}"/>
            </c:ext>
          </c:extLst>
        </c:ser>
        <c:ser>
          <c:idx val="104"/>
          <c:order val="104"/>
          <c:tx>
            <c:strRef>
              <c:f>data!$B$115</c:f>
              <c:strCache>
                <c:ptCount val="1"/>
                <c:pt idx="0">
                  <c:v>Grenada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data!$C$115:$G$115</c:f>
              <c:numCache>
                <c:formatCode>General</c:formatCode>
                <c:ptCount val="5"/>
                <c:pt idx="0">
                  <c:v>17.7</c:v>
                </c:pt>
                <c:pt idx="1">
                  <c:v>17.7</c:v>
                </c:pt>
                <c:pt idx="2">
                  <c:v>17.7</c:v>
                </c:pt>
                <c:pt idx="3">
                  <c:v>17.7</c:v>
                </c:pt>
                <c:pt idx="4">
                  <c:v>17.7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D429-C84F-849F-0EF021B10F03}"/>
            </c:ext>
          </c:extLst>
        </c:ser>
        <c:ser>
          <c:idx val="105"/>
          <c:order val="105"/>
          <c:tx>
            <c:strRef>
              <c:f>data!$B$116</c:f>
              <c:strCache>
                <c:ptCount val="1"/>
                <c:pt idx="0">
                  <c:v>Marshall Islands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data!$C$116:$G$116</c:f>
              <c:numCache>
                <c:formatCode>General</c:formatCode>
                <c:ptCount val="5"/>
                <c:pt idx="0">
                  <c:v>9.4</c:v>
                </c:pt>
                <c:pt idx="1">
                  <c:v>9.4</c:v>
                </c:pt>
                <c:pt idx="2">
                  <c:v>9.4</c:v>
                </c:pt>
                <c:pt idx="3">
                  <c:v>9.4</c:v>
                </c:pt>
                <c:pt idx="4">
                  <c:v>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D429-C84F-849F-0EF021B10F03}"/>
            </c:ext>
          </c:extLst>
        </c:ser>
        <c:ser>
          <c:idx val="106"/>
          <c:order val="106"/>
          <c:tx>
            <c:strRef>
              <c:f>data!$B$117</c:f>
              <c:strCache>
                <c:ptCount val="1"/>
                <c:pt idx="0">
                  <c:v>Anguilla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data!$C$117:$G$117</c:f>
              <c:numCache>
                <c:formatCode>General</c:formatCode>
                <c:ptCount val="5"/>
                <c:pt idx="0">
                  <c:v>5.5</c:v>
                </c:pt>
                <c:pt idx="1">
                  <c:v>5.5</c:v>
                </c:pt>
                <c:pt idx="2">
                  <c:v>5.5</c:v>
                </c:pt>
                <c:pt idx="3">
                  <c:v>5.5</c:v>
                </c:pt>
                <c:pt idx="4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D429-C84F-849F-0EF021B10F03}"/>
            </c:ext>
          </c:extLst>
        </c:ser>
        <c:ser>
          <c:idx val="107"/>
          <c:order val="107"/>
          <c:tx>
            <c:strRef>
              <c:f>data!$B$118</c:f>
              <c:strCache>
                <c:ptCount val="1"/>
                <c:pt idx="0">
                  <c:v>Pitcairn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data!$C$118:$G$118</c:f>
              <c:numCache>
                <c:formatCode>General</c:formatCode>
                <c:ptCount val="5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D429-C84F-849F-0EF021B10F03}"/>
            </c:ext>
          </c:extLst>
        </c:ser>
        <c:ser>
          <c:idx val="108"/>
          <c:order val="108"/>
          <c:tx>
            <c:strRef>
              <c:f>data!$B$119</c:f>
              <c:strCache>
                <c:ptCount val="1"/>
                <c:pt idx="0">
                  <c:v>Seychelles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data!$C$119:$G$119</c:f>
              <c:numCache>
                <c:formatCode>General</c:formatCode>
                <c:ptCount val="5"/>
                <c:pt idx="0">
                  <c:v>33.700000000000003</c:v>
                </c:pt>
                <c:pt idx="1">
                  <c:v>33.700000000000003</c:v>
                </c:pt>
                <c:pt idx="2">
                  <c:v>33.700000000000003</c:v>
                </c:pt>
                <c:pt idx="3">
                  <c:v>33.700000000000003</c:v>
                </c:pt>
                <c:pt idx="4">
                  <c:v>33.700000000000003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D429-C84F-849F-0EF021B10F03}"/>
            </c:ext>
          </c:extLst>
        </c:ser>
        <c:ser>
          <c:idx val="109"/>
          <c:order val="109"/>
          <c:tx>
            <c:strRef>
              <c:f>data!$B$120</c:f>
              <c:strCache>
                <c:ptCount val="1"/>
                <c:pt idx="0">
                  <c:v>Mali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data!$C$120:$G$120</c:f>
              <c:numCache>
                <c:formatCode>#,##0</c:formatCode>
                <c:ptCount val="5"/>
                <c:pt idx="0">
                  <c:v>13296</c:v>
                </c:pt>
                <c:pt idx="1">
                  <c:v>13296</c:v>
                </c:pt>
                <c:pt idx="2">
                  <c:v>13296</c:v>
                </c:pt>
                <c:pt idx="3">
                  <c:v>13296</c:v>
                </c:pt>
                <c:pt idx="4">
                  <c:v>13296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D429-C84F-849F-0EF021B10F03}"/>
            </c:ext>
          </c:extLst>
        </c:ser>
        <c:ser>
          <c:idx val="110"/>
          <c:order val="110"/>
          <c:tx>
            <c:strRef>
              <c:f>data!$B$121</c:f>
              <c:strCache>
                <c:ptCount val="1"/>
                <c:pt idx="0">
                  <c:v>Sint Maarten (Dutch part)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data!$C$121:$G$121</c:f>
              <c:numCache>
                <c:formatCode>General</c:formatCode>
                <c:ptCount val="5"/>
                <c:pt idx="0">
                  <c:v>0.37</c:v>
                </c:pt>
                <c:pt idx="1">
                  <c:v>0.37</c:v>
                </c:pt>
                <c:pt idx="2">
                  <c:v>0.37</c:v>
                </c:pt>
                <c:pt idx="3">
                  <c:v>0.37</c:v>
                </c:pt>
                <c:pt idx="4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D429-C84F-849F-0EF021B10F03}"/>
            </c:ext>
          </c:extLst>
        </c:ser>
        <c:ser>
          <c:idx val="111"/>
          <c:order val="111"/>
          <c:tx>
            <c:strRef>
              <c:f>data!$B$122</c:f>
              <c:strCache>
                <c:ptCount val="1"/>
                <c:pt idx="0">
                  <c:v>Turkmenistan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data!$C$122:$G$122</c:f>
              <c:numCache>
                <c:formatCode>#,##0</c:formatCode>
                <c:ptCount val="5"/>
                <c:pt idx="0">
                  <c:v>4127</c:v>
                </c:pt>
                <c:pt idx="1">
                  <c:v>4127</c:v>
                </c:pt>
                <c:pt idx="2">
                  <c:v>4127</c:v>
                </c:pt>
                <c:pt idx="3">
                  <c:v>4127</c:v>
                </c:pt>
                <c:pt idx="4">
                  <c:v>4127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D429-C84F-849F-0EF021B10F03}"/>
            </c:ext>
          </c:extLst>
        </c:ser>
        <c:ser>
          <c:idx val="112"/>
          <c:order val="112"/>
          <c:tx>
            <c:strRef>
              <c:f>data!$B$123</c:f>
              <c:strCache>
                <c:ptCount val="1"/>
                <c:pt idx="0">
                  <c:v>Saint Barthélemy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data!$C$123:$G$123</c:f>
              <c:numCache>
                <c:formatCode>General</c:formatCode>
                <c:ptCount val="5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  <c:pt idx="4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D429-C84F-849F-0EF021B10F03}"/>
            </c:ext>
          </c:extLst>
        </c:ser>
        <c:ser>
          <c:idx val="113"/>
          <c:order val="113"/>
          <c:tx>
            <c:strRef>
              <c:f>data!$B$124</c:f>
              <c:strCache>
                <c:ptCount val="1"/>
                <c:pt idx="0">
                  <c:v>Isle of Man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data!$C$124:$G$124</c:f>
              <c:numCache>
                <c:formatCode>General</c:formatCode>
                <c:ptCount val="5"/>
                <c:pt idx="0">
                  <c:v>3.46</c:v>
                </c:pt>
                <c:pt idx="1">
                  <c:v>3.46</c:v>
                </c:pt>
                <c:pt idx="2">
                  <c:v>3.46</c:v>
                </c:pt>
                <c:pt idx="3">
                  <c:v>3.46</c:v>
                </c:pt>
                <c:pt idx="4">
                  <c:v>3.46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D429-C84F-849F-0EF021B10F03}"/>
            </c:ext>
          </c:extLst>
        </c:ser>
        <c:ser>
          <c:idx val="114"/>
          <c:order val="114"/>
          <c:tx>
            <c:strRef>
              <c:f>data!$B$125</c:f>
              <c:strCache>
                <c:ptCount val="1"/>
                <c:pt idx="0">
                  <c:v>Bonaire, Sint Eustatius and Saba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data!$C$125:$G$125</c:f>
              <c:numCache>
                <c:formatCode>General</c:formatCode>
                <c:ptCount val="5"/>
                <c:pt idx="0">
                  <c:v>1.91</c:v>
                </c:pt>
                <c:pt idx="1">
                  <c:v>1.91</c:v>
                </c:pt>
                <c:pt idx="2">
                  <c:v>1.91</c:v>
                </c:pt>
                <c:pt idx="3">
                  <c:v>1.91</c:v>
                </c:pt>
                <c:pt idx="4">
                  <c:v>1.91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D429-C84F-849F-0EF021B10F03}"/>
            </c:ext>
          </c:extLst>
        </c:ser>
        <c:ser>
          <c:idx val="115"/>
          <c:order val="115"/>
          <c:tx>
            <c:strRef>
              <c:f>data!$B$126</c:f>
              <c:strCache>
                <c:ptCount val="1"/>
                <c:pt idx="0">
                  <c:v>Saint Helena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data!$C$126:$G$126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D429-C84F-849F-0EF021B10F03}"/>
            </c:ext>
          </c:extLst>
        </c:ser>
        <c:ser>
          <c:idx val="116"/>
          <c:order val="116"/>
          <c:tx>
            <c:strRef>
              <c:f>data!$B$127</c:f>
              <c:strCache>
                <c:ptCount val="1"/>
                <c:pt idx="0">
                  <c:v>Jersey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data!$C$127:$G$127</c:f>
              <c:numCache>
                <c:formatCode>General</c:formatCode>
                <c:ptCount val="5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D429-C84F-849F-0EF021B10F03}"/>
            </c:ext>
          </c:extLst>
        </c:ser>
        <c:ser>
          <c:idx val="117"/>
          <c:order val="117"/>
          <c:tx>
            <c:strRef>
              <c:f>data!$B$128</c:f>
              <c:strCache>
                <c:ptCount val="1"/>
                <c:pt idx="0">
                  <c:v>Maldives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data!$C$128:$G$128</c:f>
              <c:numCache>
                <c:formatCode>General</c:formatCode>
                <c:ptCount val="5"/>
                <c:pt idx="0">
                  <c:v>0.82</c:v>
                </c:pt>
                <c:pt idx="1">
                  <c:v>0.82</c:v>
                </c:pt>
                <c:pt idx="2">
                  <c:v>0.82</c:v>
                </c:pt>
                <c:pt idx="3">
                  <c:v>0.82</c:v>
                </c:pt>
                <c:pt idx="4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D429-C84F-849F-0EF021B10F03}"/>
            </c:ext>
          </c:extLst>
        </c:ser>
        <c:ser>
          <c:idx val="118"/>
          <c:order val="118"/>
          <c:tx>
            <c:strRef>
              <c:f>data!$B$129</c:f>
              <c:strCache>
                <c:ptCount val="1"/>
                <c:pt idx="0">
                  <c:v>Aruba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data!$C$129:$G$129</c:f>
              <c:numCache>
                <c:formatCode>General</c:formatCode>
                <c:ptCount val="5"/>
                <c:pt idx="0">
                  <c:v>0.42</c:v>
                </c:pt>
                <c:pt idx="1">
                  <c:v>0.42</c:v>
                </c:pt>
                <c:pt idx="2">
                  <c:v>0.42</c:v>
                </c:pt>
                <c:pt idx="3">
                  <c:v>0.42</c:v>
                </c:pt>
                <c:pt idx="4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D429-C84F-849F-0EF021B10F03}"/>
            </c:ext>
          </c:extLst>
        </c:ser>
        <c:ser>
          <c:idx val="119"/>
          <c:order val="119"/>
          <c:tx>
            <c:strRef>
              <c:f>data!$B$130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data!$C$130:$G$130</c:f>
              <c:numCache>
                <c:formatCode>#,##0</c:formatCode>
                <c:ptCount val="5"/>
                <c:pt idx="0">
                  <c:v>1208.44</c:v>
                </c:pt>
                <c:pt idx="1">
                  <c:v>1208.44</c:v>
                </c:pt>
                <c:pt idx="2">
                  <c:v>1208.44</c:v>
                </c:pt>
                <c:pt idx="3">
                  <c:v>1208.44</c:v>
                </c:pt>
                <c:pt idx="4">
                  <c:v>1208.44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D429-C84F-849F-0EF021B10F03}"/>
            </c:ext>
          </c:extLst>
        </c:ser>
        <c:ser>
          <c:idx val="120"/>
          <c:order val="120"/>
          <c:tx>
            <c:strRef>
              <c:f>data!$B$131</c:f>
              <c:strCache>
                <c:ptCount val="1"/>
                <c:pt idx="0">
                  <c:v>Kiribati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data!$C$131:$G$131</c:f>
              <c:numCache>
                <c:formatCode>General</c:formatCode>
                <c:ptCount val="5"/>
                <c:pt idx="0">
                  <c:v>1.18</c:v>
                </c:pt>
                <c:pt idx="1">
                  <c:v>1.18</c:v>
                </c:pt>
                <c:pt idx="2">
                  <c:v>1.18</c:v>
                </c:pt>
                <c:pt idx="3">
                  <c:v>1.18</c:v>
                </c:pt>
                <c:pt idx="4">
                  <c:v>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D429-C84F-849F-0EF021B10F03}"/>
            </c:ext>
          </c:extLst>
        </c:ser>
        <c:ser>
          <c:idx val="121"/>
          <c:order val="121"/>
          <c:tx>
            <c:strRef>
              <c:f>'data (2)'!$B$125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(2)'!$C$125:$G$125</c:f>
              <c:numCache>
                <c:formatCode>0</c:formatCode>
                <c:ptCount val="5"/>
                <c:pt idx="0">
                  <c:v>64958.14</c:v>
                </c:pt>
                <c:pt idx="1">
                  <c:v>62735.5</c:v>
                </c:pt>
                <c:pt idx="2">
                  <c:v>60807.79</c:v>
                </c:pt>
                <c:pt idx="3">
                  <c:v>60134.66</c:v>
                </c:pt>
                <c:pt idx="4">
                  <c:v>59141.91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D429-C84F-849F-0EF021B10F03}"/>
            </c:ext>
          </c:extLst>
        </c:ser>
        <c:ser>
          <c:idx val="122"/>
          <c:order val="122"/>
          <c:tx>
            <c:strRef>
              <c:f>data!$B$133</c:f>
              <c:strCache>
                <c:ptCount val="1"/>
                <c:pt idx="0">
                  <c:v>Jordan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data!$C$133:$G$133</c:f>
              <c:numCache>
                <c:formatCode>#,##0</c:formatCode>
                <c:ptCount val="5"/>
                <c:pt idx="0">
                  <c:v>97.5</c:v>
                </c:pt>
                <c:pt idx="1">
                  <c:v>97.5</c:v>
                </c:pt>
                <c:pt idx="2">
                  <c:v>97.5</c:v>
                </c:pt>
                <c:pt idx="3">
                  <c:v>97.5</c:v>
                </c:pt>
                <c:pt idx="4">
                  <c:v>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D429-C84F-849F-0EF021B10F03}"/>
            </c:ext>
          </c:extLst>
        </c:ser>
        <c:ser>
          <c:idx val="123"/>
          <c:order val="123"/>
          <c:tx>
            <c:strRef>
              <c:f>data!$B$134</c:f>
              <c:strCache>
                <c:ptCount val="1"/>
                <c:pt idx="0">
                  <c:v>Yemen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data!$C$134:$G$134</c:f>
              <c:numCache>
                <c:formatCode>#,##0</c:formatCode>
                <c:ptCount val="5"/>
                <c:pt idx="0">
                  <c:v>549</c:v>
                </c:pt>
                <c:pt idx="1">
                  <c:v>549</c:v>
                </c:pt>
                <c:pt idx="2">
                  <c:v>549</c:v>
                </c:pt>
                <c:pt idx="3">
                  <c:v>549</c:v>
                </c:pt>
                <c:pt idx="4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D429-C84F-849F-0EF021B10F03}"/>
            </c:ext>
          </c:extLst>
        </c:ser>
        <c:ser>
          <c:idx val="124"/>
          <c:order val="124"/>
          <c:tx>
            <c:strRef>
              <c:f>data!$B$135</c:f>
              <c:strCache>
                <c:ptCount val="1"/>
                <c:pt idx="0">
                  <c:v>Saudi Arabia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data!$C$135:$G$135</c:f>
              <c:numCache>
                <c:formatCode>#,##0</c:formatCode>
                <c:ptCount val="5"/>
                <c:pt idx="0">
                  <c:v>977</c:v>
                </c:pt>
                <c:pt idx="1">
                  <c:v>977</c:v>
                </c:pt>
                <c:pt idx="2">
                  <c:v>977</c:v>
                </c:pt>
                <c:pt idx="3">
                  <c:v>977</c:v>
                </c:pt>
                <c:pt idx="4">
                  <c:v>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D429-C84F-849F-0EF021B10F03}"/>
            </c:ext>
          </c:extLst>
        </c:ser>
        <c:ser>
          <c:idx val="125"/>
          <c:order val="125"/>
          <c:tx>
            <c:strRef>
              <c:f>data!$B$136</c:f>
              <c:strCache>
                <c:ptCount val="1"/>
                <c:pt idx="0">
                  <c:v>Curaçao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data!$C$136:$G$136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D429-C84F-849F-0EF021B10F03}"/>
            </c:ext>
          </c:extLst>
        </c:ser>
        <c:ser>
          <c:idx val="126"/>
          <c:order val="126"/>
          <c:tx>
            <c:strRef>
              <c:f>data!$B$137</c:f>
              <c:strCache>
                <c:ptCount val="1"/>
                <c:pt idx="0">
                  <c:v>Libya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data!$C$137:$G$137</c:f>
              <c:numCache>
                <c:formatCode>#,##0</c:formatCode>
                <c:ptCount val="5"/>
                <c:pt idx="0">
                  <c:v>217</c:v>
                </c:pt>
                <c:pt idx="1">
                  <c:v>217</c:v>
                </c:pt>
                <c:pt idx="2">
                  <c:v>217</c:v>
                </c:pt>
                <c:pt idx="3">
                  <c:v>217</c:v>
                </c:pt>
                <c:pt idx="4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D429-C84F-849F-0EF021B10F03}"/>
            </c:ext>
          </c:extLst>
        </c:ser>
        <c:ser>
          <c:idx val="127"/>
          <c:order val="127"/>
          <c:tx>
            <c:strRef>
              <c:f>data!$B$138</c:f>
              <c:strCache>
                <c:ptCount val="1"/>
                <c:pt idx="0">
                  <c:v>Faeroe Islands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data!$C$138:$G$138</c:f>
              <c:numCache>
                <c:formatCode>General</c:formatCode>
                <c:ptCount val="5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D429-C84F-849F-0EF021B10F03}"/>
            </c:ext>
          </c:extLst>
        </c:ser>
        <c:ser>
          <c:idx val="128"/>
          <c:order val="128"/>
          <c:tx>
            <c:strRef>
              <c:f>data!$B$139</c:f>
              <c:strCache>
                <c:ptCount val="1"/>
                <c:pt idx="0">
                  <c:v>Greenland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data!$C$139:$G$139</c:f>
              <c:numCache>
                <c:formatCode>#,##0</c:formatCode>
                <c:ptCount val="5"/>
                <c:pt idx="0">
                  <c:v>0.22</c:v>
                </c:pt>
                <c:pt idx="1">
                  <c:v>0.22</c:v>
                </c:pt>
                <c:pt idx="2">
                  <c:v>0.22</c:v>
                </c:pt>
                <c:pt idx="3">
                  <c:v>0.22</c:v>
                </c:pt>
                <c:pt idx="4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D429-C84F-849F-0EF021B10F03}"/>
            </c:ext>
          </c:extLst>
        </c:ser>
        <c:ser>
          <c:idx val="129"/>
          <c:order val="129"/>
          <c:tx>
            <c:strRef>
              <c:f>data!$B$140</c:f>
              <c:strCache>
                <c:ptCount val="1"/>
                <c:pt idx="0">
                  <c:v>Svalbard and Jan Mayen Islands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data!$C$140:$G$140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D429-C84F-849F-0EF021B10F03}"/>
            </c:ext>
          </c:extLst>
        </c:ser>
        <c:ser>
          <c:idx val="130"/>
          <c:order val="130"/>
          <c:tx>
            <c:strRef>
              <c:f>data!$B$141</c:f>
              <c:strCache>
                <c:ptCount val="1"/>
                <c:pt idx="0">
                  <c:v>Falkland Islands (Malvinas)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data!$C$141:$G$141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D429-C84F-849F-0EF021B10F03}"/>
            </c:ext>
          </c:extLst>
        </c:ser>
        <c:ser>
          <c:idx val="131"/>
          <c:order val="131"/>
          <c:tx>
            <c:strRef>
              <c:f>data!$B$142</c:f>
              <c:strCache>
                <c:ptCount val="1"/>
                <c:pt idx="0">
                  <c:v>Gibraltar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data!$C$142:$G$142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D429-C84F-849F-0EF021B10F03}"/>
            </c:ext>
          </c:extLst>
        </c:ser>
        <c:ser>
          <c:idx val="132"/>
          <c:order val="132"/>
          <c:tx>
            <c:strRef>
              <c:f>data!$B$143</c:f>
              <c:strCache>
                <c:ptCount val="1"/>
                <c:pt idx="0">
                  <c:v>Nauru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data!$C$143:$G$143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D429-C84F-849F-0EF021B10F03}"/>
            </c:ext>
          </c:extLst>
        </c:ser>
        <c:ser>
          <c:idx val="133"/>
          <c:order val="133"/>
          <c:tx>
            <c:strRef>
              <c:f>data!$B$144</c:f>
              <c:strCache>
                <c:ptCount val="1"/>
                <c:pt idx="0">
                  <c:v>Qatar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data!$C$144:$G$144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D429-C84F-849F-0EF021B10F03}"/>
            </c:ext>
          </c:extLst>
        </c:ser>
        <c:ser>
          <c:idx val="134"/>
          <c:order val="134"/>
          <c:tx>
            <c:strRef>
              <c:f>data!$B$145</c:f>
              <c:strCache>
                <c:ptCount val="1"/>
                <c:pt idx="0">
                  <c:v>Tokelau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data!$C$145:$G$145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D429-C84F-849F-0EF021B10F03}"/>
            </c:ext>
          </c:extLst>
        </c:ser>
        <c:ser>
          <c:idx val="135"/>
          <c:order val="135"/>
          <c:tx>
            <c:strRef>
              <c:f>data!$B$146</c:f>
              <c:strCache>
                <c:ptCount val="1"/>
                <c:pt idx="0">
                  <c:v>Holy See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data!$C$146:$G$146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D429-C84F-849F-0EF021B10F03}"/>
            </c:ext>
          </c:extLst>
        </c:ser>
        <c:ser>
          <c:idx val="136"/>
          <c:order val="136"/>
          <c:tx>
            <c:strRef>
              <c:f>data!$B$147</c:f>
              <c:strCache>
                <c:ptCount val="1"/>
                <c:pt idx="0">
                  <c:v>Monaco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data!$C$147:$G$147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D429-C84F-849F-0EF021B10F03}"/>
            </c:ext>
          </c:extLst>
        </c:ser>
        <c:ser>
          <c:idx val="137"/>
          <c:order val="137"/>
          <c:tx>
            <c:strRef>
              <c:f>data!$B$148</c:f>
              <c:strCache>
                <c:ptCount val="1"/>
                <c:pt idx="0">
                  <c:v>Western Sahara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data!$C$148:$G$148</c:f>
              <c:numCache>
                <c:formatCode>#,##0</c:formatCode>
                <c:ptCount val="5"/>
                <c:pt idx="0">
                  <c:v>665.1</c:v>
                </c:pt>
                <c:pt idx="1">
                  <c:v>669.31</c:v>
                </c:pt>
                <c:pt idx="2">
                  <c:v>665.11</c:v>
                </c:pt>
                <c:pt idx="3">
                  <c:v>664.7</c:v>
                </c:pt>
                <c:pt idx="4">
                  <c:v>665.07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D429-C84F-849F-0EF021B10F03}"/>
            </c:ext>
          </c:extLst>
        </c:ser>
        <c:ser>
          <c:idx val="138"/>
          <c:order val="138"/>
          <c:tx>
            <c:strRef>
              <c:f>data!$B$149</c:f>
              <c:strCache>
                <c:ptCount val="1"/>
                <c:pt idx="0">
                  <c:v>Oman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data!$C$149:$G$149</c:f>
              <c:numCache>
                <c:formatCode>#,##0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D429-C84F-849F-0EF021B10F03}"/>
            </c:ext>
          </c:extLst>
        </c:ser>
        <c:ser>
          <c:idx val="139"/>
          <c:order val="139"/>
          <c:tx>
            <c:strRef>
              <c:f>data!$B$150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data!$C$150:$G$150</c:f>
              <c:numCache>
                <c:formatCode>#,##0</c:formatCode>
                <c:ptCount val="5"/>
                <c:pt idx="0">
                  <c:v>24950</c:v>
                </c:pt>
                <c:pt idx="1">
                  <c:v>24876</c:v>
                </c:pt>
                <c:pt idx="2">
                  <c:v>24966</c:v>
                </c:pt>
                <c:pt idx="3">
                  <c:v>24944</c:v>
                </c:pt>
                <c:pt idx="4">
                  <c:v>24935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D429-C84F-849F-0EF021B10F03}"/>
            </c:ext>
          </c:extLst>
        </c:ser>
        <c:ser>
          <c:idx val="140"/>
          <c:order val="140"/>
          <c:tx>
            <c:strRef>
              <c:f>data!$B$151</c:f>
              <c:strCache>
                <c:ptCount val="1"/>
                <c:pt idx="0">
                  <c:v>Mongolia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data!$C$151:$G$151</c:f>
              <c:numCache>
                <c:formatCode>0</c:formatCode>
                <c:ptCount val="5"/>
                <c:pt idx="0">
                  <c:v>14352</c:v>
                </c:pt>
                <c:pt idx="1">
                  <c:v>14263.9</c:v>
                </c:pt>
                <c:pt idx="2">
                  <c:v>14183.9</c:v>
                </c:pt>
                <c:pt idx="3">
                  <c:v>14178.33</c:v>
                </c:pt>
                <c:pt idx="4">
                  <c:v>14172.78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D429-C84F-849F-0EF021B10F03}"/>
            </c:ext>
          </c:extLst>
        </c:ser>
        <c:ser>
          <c:idx val="141"/>
          <c:order val="141"/>
          <c:tx>
            <c:strRef>
              <c:f>'data (2)'!$B$145</c:f>
              <c:strCache>
                <c:ptCount val="1"/>
                <c:pt idx="0">
                  <c:v>Bolivia (Plurinational State of)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(2)'!$C$145:$G$145</c:f>
              <c:numCache>
                <c:formatCode>0</c:formatCode>
                <c:ptCount val="5"/>
                <c:pt idx="0">
                  <c:v>57804.72</c:v>
                </c:pt>
                <c:pt idx="1">
                  <c:v>55101.39</c:v>
                </c:pt>
                <c:pt idx="2">
                  <c:v>53086.01</c:v>
                </c:pt>
                <c:pt idx="3">
                  <c:v>52027.22</c:v>
                </c:pt>
                <c:pt idx="4">
                  <c:v>50833.760000000002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D429-C84F-849F-0EF021B10F03}"/>
            </c:ext>
          </c:extLst>
        </c:ser>
        <c:ser>
          <c:idx val="142"/>
          <c:order val="142"/>
          <c:tx>
            <c:strRef>
              <c:f>'data (2)'!$B$146</c:f>
              <c:strCache>
                <c:ptCount val="1"/>
                <c:pt idx="0">
                  <c:v>Venezuela (Bolivarian Republic of)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(2)'!$C$146:$G$146</c:f>
              <c:numCache>
                <c:formatCode>0</c:formatCode>
                <c:ptCount val="5"/>
                <c:pt idx="0">
                  <c:v>52026</c:v>
                </c:pt>
                <c:pt idx="1">
                  <c:v>49151</c:v>
                </c:pt>
                <c:pt idx="2">
                  <c:v>47505</c:v>
                </c:pt>
                <c:pt idx="3">
                  <c:v>46683</c:v>
                </c:pt>
                <c:pt idx="4">
                  <c:v>46230.9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D429-C84F-849F-0EF021B10F03}"/>
            </c:ext>
          </c:extLst>
        </c:ser>
        <c:ser>
          <c:idx val="143"/>
          <c:order val="143"/>
          <c:tx>
            <c:strRef>
              <c:f>data!$B$154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data!$C$154:$G$154</c:f>
              <c:numCache>
                <c:formatCode>#,##0</c:formatCode>
                <c:ptCount val="5"/>
                <c:pt idx="0">
                  <c:v>28063</c:v>
                </c:pt>
                <c:pt idx="1">
                  <c:v>28163</c:v>
                </c:pt>
                <c:pt idx="2">
                  <c:v>28073</c:v>
                </c:pt>
                <c:pt idx="3">
                  <c:v>27980</c:v>
                </c:pt>
                <c:pt idx="4">
                  <c:v>27980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D429-C84F-849F-0EF021B10F03}"/>
            </c:ext>
          </c:extLst>
        </c:ser>
        <c:ser>
          <c:idx val="144"/>
          <c:order val="144"/>
          <c:tx>
            <c:strRef>
              <c:f>data!$B$155</c:f>
              <c:strCache>
                <c:ptCount val="1"/>
                <c:pt idx="0">
                  <c:v>Armenia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data!$C$155:$G$155</c:f>
              <c:numCache>
                <c:formatCode>0</c:formatCode>
                <c:ptCount val="5"/>
                <c:pt idx="0">
                  <c:v>334.73</c:v>
                </c:pt>
                <c:pt idx="1">
                  <c:v>332.64</c:v>
                </c:pt>
                <c:pt idx="2">
                  <c:v>330.56</c:v>
                </c:pt>
                <c:pt idx="3">
                  <c:v>329.52</c:v>
                </c:pt>
                <c:pt idx="4">
                  <c:v>328.47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D429-C84F-849F-0EF021B10F03}"/>
            </c:ext>
          </c:extLst>
        </c:ser>
        <c:ser>
          <c:idx val="145"/>
          <c:order val="145"/>
          <c:tx>
            <c:strRef>
              <c:f>data!$B$156</c:f>
              <c:strCache>
                <c:ptCount val="1"/>
                <c:pt idx="0">
                  <c:v>Niue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data!$C$156:$G$156</c:f>
              <c:numCache>
                <c:formatCode>General</c:formatCode>
                <c:ptCount val="5"/>
                <c:pt idx="0">
                  <c:v>18.93</c:v>
                </c:pt>
                <c:pt idx="1">
                  <c:v>18.829999999999998</c:v>
                </c:pt>
                <c:pt idx="2">
                  <c:v>18.77</c:v>
                </c:pt>
                <c:pt idx="3">
                  <c:v>18.82</c:v>
                </c:pt>
                <c:pt idx="4">
                  <c:v>18.87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D429-C84F-849F-0EF021B10F03}"/>
            </c:ext>
          </c:extLst>
        </c:ser>
        <c:ser>
          <c:idx val="146"/>
          <c:order val="146"/>
          <c:tx>
            <c:strRef>
              <c:f>'data (2)'!$B$150</c:f>
              <c:strCache>
                <c:ptCount val="1"/>
                <c:pt idx="0">
                  <c:v>Mozambique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(2)'!$C$150:$G$150</c:f>
              <c:numCache>
                <c:formatCode>0</c:formatCode>
                <c:ptCount val="5"/>
                <c:pt idx="0">
                  <c:v>43378</c:v>
                </c:pt>
                <c:pt idx="1">
                  <c:v>41188</c:v>
                </c:pt>
                <c:pt idx="2">
                  <c:v>38972.14</c:v>
                </c:pt>
                <c:pt idx="3">
                  <c:v>37940</c:v>
                </c:pt>
                <c:pt idx="4">
                  <c:v>36743.760000000002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D429-C84F-849F-0EF021B10F03}"/>
            </c:ext>
          </c:extLst>
        </c:ser>
        <c:ser>
          <c:idx val="147"/>
          <c:order val="147"/>
          <c:tx>
            <c:strRef>
              <c:f>data!$B$158</c:f>
              <c:strCache>
                <c:ptCount val="1"/>
                <c:pt idx="0">
                  <c:v>Bosnia and Herzegovina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data!$C$158:$G$158</c:f>
              <c:numCache>
                <c:formatCode>#,##0</c:formatCode>
                <c:ptCount val="5"/>
                <c:pt idx="0">
                  <c:v>2210</c:v>
                </c:pt>
                <c:pt idx="1">
                  <c:v>2111.65</c:v>
                </c:pt>
                <c:pt idx="2">
                  <c:v>2102.66</c:v>
                </c:pt>
                <c:pt idx="3">
                  <c:v>2160.5</c:v>
                </c:pt>
                <c:pt idx="4">
                  <c:v>2187.91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D429-C84F-849F-0EF021B10F03}"/>
            </c:ext>
          </c:extLst>
        </c:ser>
        <c:ser>
          <c:idx val="148"/>
          <c:order val="148"/>
          <c:tx>
            <c:strRef>
              <c:f>'data (2)'!$B$152</c:f>
              <c:strCache>
                <c:ptCount val="1"/>
                <c:pt idx="0">
                  <c:v>Angola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(2)'!$C$152:$G$152</c:f>
              <c:numCache>
                <c:formatCode>0</c:formatCode>
                <c:ptCount val="5"/>
                <c:pt idx="0">
                  <c:v>79262.78</c:v>
                </c:pt>
                <c:pt idx="1">
                  <c:v>77708.61</c:v>
                </c:pt>
                <c:pt idx="2">
                  <c:v>72158</c:v>
                </c:pt>
                <c:pt idx="3">
                  <c:v>69382.69</c:v>
                </c:pt>
                <c:pt idx="4">
                  <c:v>66607.38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D429-C84F-849F-0EF021B10F03}"/>
            </c:ext>
          </c:extLst>
        </c:ser>
        <c:ser>
          <c:idx val="149"/>
          <c:order val="149"/>
          <c:tx>
            <c:strRef>
              <c:f>data!$B$160</c:f>
              <c:strCache>
                <c:ptCount val="1"/>
                <c:pt idx="0">
                  <c:v>British Virgin Islands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data!$C$160:$G$160</c:f>
              <c:numCache>
                <c:formatCode>General</c:formatCode>
                <c:ptCount val="5"/>
                <c:pt idx="0">
                  <c:v>3.71</c:v>
                </c:pt>
                <c:pt idx="1">
                  <c:v>3.67</c:v>
                </c:pt>
                <c:pt idx="2">
                  <c:v>3.64</c:v>
                </c:pt>
                <c:pt idx="3">
                  <c:v>3.62</c:v>
                </c:pt>
                <c:pt idx="4">
                  <c:v>3.62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D429-C84F-849F-0EF021B10F03}"/>
            </c:ext>
          </c:extLst>
        </c:ser>
        <c:ser>
          <c:idx val="150"/>
          <c:order val="150"/>
          <c:tx>
            <c:strRef>
              <c:f>data!$B$161</c:f>
              <c:strCache>
                <c:ptCount val="1"/>
                <c:pt idx="0">
                  <c:v>Niger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data!$C$161:$G$161</c:f>
              <c:numCache>
                <c:formatCode>0</c:formatCode>
                <c:ptCount val="5"/>
                <c:pt idx="0">
                  <c:v>1945</c:v>
                </c:pt>
                <c:pt idx="1">
                  <c:v>1328.1</c:v>
                </c:pt>
                <c:pt idx="2">
                  <c:v>1203.9000000000001</c:v>
                </c:pt>
                <c:pt idx="3">
                  <c:v>1141.8</c:v>
                </c:pt>
                <c:pt idx="4">
                  <c:v>1079.7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D429-C84F-849F-0EF021B10F03}"/>
            </c:ext>
          </c:extLst>
        </c:ser>
        <c:ser>
          <c:idx val="151"/>
          <c:order val="151"/>
          <c:tx>
            <c:strRef>
              <c:f>data!$B$162</c:f>
              <c:strCache>
                <c:ptCount val="1"/>
                <c:pt idx="0">
                  <c:v>Guadeloupe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data!$C$162:$G$162</c:f>
              <c:numCache>
                <c:formatCode>General</c:formatCode>
                <c:ptCount val="5"/>
                <c:pt idx="0">
                  <c:v>73.17</c:v>
                </c:pt>
                <c:pt idx="1">
                  <c:v>72.27</c:v>
                </c:pt>
                <c:pt idx="2">
                  <c:v>71.55</c:v>
                </c:pt>
                <c:pt idx="3">
                  <c:v>72.22</c:v>
                </c:pt>
                <c:pt idx="4">
                  <c:v>71.92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D429-C84F-849F-0EF021B10F03}"/>
            </c:ext>
          </c:extLst>
        </c:ser>
        <c:ser>
          <c:idx val="152"/>
          <c:order val="152"/>
          <c:tx>
            <c:strRef>
              <c:f>data!$B$163</c:f>
              <c:strCache>
                <c:ptCount val="1"/>
                <c:pt idx="0">
                  <c:v>Solomon Islands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data!$C$163:$G$163</c:f>
              <c:numCache>
                <c:formatCode>0</c:formatCode>
                <c:ptCount val="5"/>
                <c:pt idx="0">
                  <c:v>2544.91</c:v>
                </c:pt>
                <c:pt idx="1">
                  <c:v>2537.6</c:v>
                </c:pt>
                <c:pt idx="2">
                  <c:v>2530.2800000000002</c:v>
                </c:pt>
                <c:pt idx="3">
                  <c:v>2526.62</c:v>
                </c:pt>
                <c:pt idx="4">
                  <c:v>2522.9699999999998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D429-C84F-849F-0EF021B10F03}"/>
            </c:ext>
          </c:extLst>
        </c:ser>
        <c:ser>
          <c:idx val="153"/>
          <c:order val="153"/>
          <c:tx>
            <c:strRef>
              <c:f>data!$B$164</c:f>
              <c:strCache>
                <c:ptCount val="1"/>
                <c:pt idx="0">
                  <c:v>Saint Lucia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data!$C$164:$G$164</c:f>
              <c:numCache>
                <c:formatCode>General</c:formatCode>
                <c:ptCount val="5"/>
                <c:pt idx="0">
                  <c:v>21.27</c:v>
                </c:pt>
                <c:pt idx="1">
                  <c:v>21.01</c:v>
                </c:pt>
                <c:pt idx="2">
                  <c:v>20.77</c:v>
                </c:pt>
                <c:pt idx="3">
                  <c:v>20.77</c:v>
                </c:pt>
                <c:pt idx="4">
                  <c:v>20.77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D429-C84F-849F-0EF021B10F03}"/>
            </c:ext>
          </c:extLst>
        </c:ser>
        <c:ser>
          <c:idx val="154"/>
          <c:order val="154"/>
          <c:tx>
            <c:strRef>
              <c:f>data!$B$165</c:f>
              <c:strCache>
                <c:ptCount val="1"/>
                <c:pt idx="0">
                  <c:v>Gabon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data!$C$165:$G$165</c:f>
              <c:numCache>
                <c:formatCode>0</c:formatCode>
                <c:ptCount val="5"/>
                <c:pt idx="0">
                  <c:v>23761.62</c:v>
                </c:pt>
                <c:pt idx="1">
                  <c:v>23700</c:v>
                </c:pt>
                <c:pt idx="2">
                  <c:v>23649.41</c:v>
                </c:pt>
                <c:pt idx="3">
                  <c:v>23590</c:v>
                </c:pt>
                <c:pt idx="4">
                  <c:v>23530.6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D429-C84F-849F-0EF021B10F03}"/>
            </c:ext>
          </c:extLst>
        </c:ser>
        <c:ser>
          <c:idx val="155"/>
          <c:order val="155"/>
          <c:tx>
            <c:strRef>
              <c:f>data!$B$166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data!$C$166:$G$166</c:f>
              <c:numCache>
                <c:formatCode>0</c:formatCode>
                <c:ptCount val="5"/>
                <c:pt idx="0">
                  <c:v>18142.09</c:v>
                </c:pt>
                <c:pt idx="1">
                  <c:v>17778.09</c:v>
                </c:pt>
                <c:pt idx="2">
                  <c:v>17414.09</c:v>
                </c:pt>
                <c:pt idx="3">
                  <c:v>17232.09</c:v>
                </c:pt>
                <c:pt idx="4">
                  <c:v>17050.09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D429-C84F-849F-0EF021B10F03}"/>
            </c:ext>
          </c:extLst>
        </c:ser>
        <c:ser>
          <c:idx val="156"/>
          <c:order val="156"/>
          <c:tx>
            <c:strRef>
              <c:f>'data (2)'!$B$160</c:f>
              <c:strCache>
                <c:ptCount val="1"/>
                <c:pt idx="0">
                  <c:v>Democratic Republic of the Congo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(2)'!$C$160:$G$160</c:f>
              <c:numCache>
                <c:formatCode>0</c:formatCode>
                <c:ptCount val="5"/>
                <c:pt idx="0">
                  <c:v>150629</c:v>
                </c:pt>
                <c:pt idx="1">
                  <c:v>143899</c:v>
                </c:pt>
                <c:pt idx="2">
                  <c:v>137169</c:v>
                </c:pt>
                <c:pt idx="3">
                  <c:v>131662.12</c:v>
                </c:pt>
                <c:pt idx="4">
                  <c:v>126155.24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D429-C84F-849F-0EF021B10F03}"/>
            </c:ext>
          </c:extLst>
        </c:ser>
        <c:ser>
          <c:idx val="157"/>
          <c:order val="157"/>
          <c:tx>
            <c:strRef>
              <c:f>data!$B$168</c:f>
              <c:strCache>
                <c:ptCount val="1"/>
                <c:pt idx="0">
                  <c:v>Guyana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data!$C$168:$G$168</c:f>
              <c:numCache>
                <c:formatCode>0</c:formatCode>
                <c:ptCount val="5"/>
                <c:pt idx="0">
                  <c:v>18602.150000000001</c:v>
                </c:pt>
                <c:pt idx="1">
                  <c:v>18564.22</c:v>
                </c:pt>
                <c:pt idx="2">
                  <c:v>18519.810000000001</c:v>
                </c:pt>
                <c:pt idx="3">
                  <c:v>18461.36</c:v>
                </c:pt>
                <c:pt idx="4">
                  <c:v>18415.34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D429-C84F-849F-0EF021B10F03}"/>
            </c:ext>
          </c:extLst>
        </c:ser>
        <c:ser>
          <c:idx val="158"/>
          <c:order val="158"/>
          <c:tx>
            <c:strRef>
              <c:f>data!$B$169</c:f>
              <c:strCache>
                <c:ptCount val="1"/>
                <c:pt idx="0">
                  <c:v>Portugal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data!$C$169:$G$169</c:f>
              <c:numCache>
                <c:formatCode>#,##0</c:formatCode>
                <c:ptCount val="5"/>
                <c:pt idx="0">
                  <c:v>3399</c:v>
                </c:pt>
                <c:pt idx="1">
                  <c:v>3281</c:v>
                </c:pt>
                <c:pt idx="2">
                  <c:v>3252</c:v>
                </c:pt>
                <c:pt idx="3">
                  <c:v>3312</c:v>
                </c:pt>
                <c:pt idx="4">
                  <c:v>3312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D429-C84F-849F-0EF021B10F03}"/>
            </c:ext>
          </c:extLst>
        </c:ser>
        <c:ser>
          <c:idx val="159"/>
          <c:order val="159"/>
          <c:tx>
            <c:strRef>
              <c:f>data!$B$170</c:f>
              <c:strCache>
                <c:ptCount val="1"/>
                <c:pt idx="0">
                  <c:v>Congo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data!$C$170:$G$170</c:f>
              <c:numCache>
                <c:formatCode>0</c:formatCode>
                <c:ptCount val="5"/>
                <c:pt idx="0">
                  <c:v>22315</c:v>
                </c:pt>
                <c:pt idx="1">
                  <c:v>22195</c:v>
                </c:pt>
                <c:pt idx="2">
                  <c:v>22075</c:v>
                </c:pt>
                <c:pt idx="3">
                  <c:v>22015</c:v>
                </c:pt>
                <c:pt idx="4">
                  <c:v>21946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D429-C84F-849F-0EF021B10F03}"/>
            </c:ext>
          </c:extLst>
        </c:ser>
        <c:ser>
          <c:idx val="160"/>
          <c:order val="160"/>
          <c:tx>
            <c:strRef>
              <c:f>data!$B$171</c:f>
              <c:strCache>
                <c:ptCount val="1"/>
                <c:pt idx="0">
                  <c:v>Mauritius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data!$C$171:$G$171</c:f>
              <c:numCache>
                <c:formatCode>General</c:formatCode>
                <c:ptCount val="5"/>
                <c:pt idx="0">
                  <c:v>41.07</c:v>
                </c:pt>
                <c:pt idx="1">
                  <c:v>41.93</c:v>
                </c:pt>
                <c:pt idx="2">
                  <c:v>38.39</c:v>
                </c:pt>
                <c:pt idx="3">
                  <c:v>38.299999999999997</c:v>
                </c:pt>
                <c:pt idx="4">
                  <c:v>38.770000000000003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D429-C84F-849F-0EF021B10F03}"/>
            </c:ext>
          </c:extLst>
        </c:ser>
        <c:ser>
          <c:idx val="161"/>
          <c:order val="161"/>
          <c:tx>
            <c:strRef>
              <c:f>data!$B$172</c:f>
              <c:strCache>
                <c:ptCount val="1"/>
                <c:pt idx="0">
                  <c:v>Suriname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data!$C$172:$G$172</c:f>
              <c:numCache>
                <c:formatCode>0</c:formatCode>
                <c:ptCount val="5"/>
                <c:pt idx="0">
                  <c:v>15377.63</c:v>
                </c:pt>
                <c:pt idx="1">
                  <c:v>15340.87</c:v>
                </c:pt>
                <c:pt idx="2">
                  <c:v>15299.86</c:v>
                </c:pt>
                <c:pt idx="3">
                  <c:v>15251.67</c:v>
                </c:pt>
                <c:pt idx="4">
                  <c:v>15196.29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D429-C84F-849F-0EF021B10F03}"/>
            </c:ext>
          </c:extLst>
        </c:ser>
        <c:ser>
          <c:idx val="162"/>
          <c:order val="162"/>
          <c:tx>
            <c:strRef>
              <c:f>data!$B$173</c:f>
              <c:strCache>
                <c:ptCount val="1"/>
                <c:pt idx="0">
                  <c:v>Papua New Guinea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data!$C$173:$G$173</c:f>
              <c:numCache>
                <c:formatCode>0</c:formatCode>
                <c:ptCount val="5"/>
                <c:pt idx="0">
                  <c:v>36399.68</c:v>
                </c:pt>
                <c:pt idx="1">
                  <c:v>36277.97</c:v>
                </c:pt>
                <c:pt idx="2">
                  <c:v>36178.89</c:v>
                </c:pt>
                <c:pt idx="3">
                  <c:v>36024.42</c:v>
                </c:pt>
                <c:pt idx="4">
                  <c:v>35855.760000000002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D429-C84F-849F-0EF021B10F03}"/>
            </c:ext>
          </c:extLst>
        </c:ser>
        <c:ser>
          <c:idx val="163"/>
          <c:order val="163"/>
          <c:tx>
            <c:strRef>
              <c:f>data!$B$174</c:f>
              <c:strCache>
                <c:ptCount val="1"/>
                <c:pt idx="0">
                  <c:v>Haiti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data!$C$174:$G$174</c:f>
              <c:numCache>
                <c:formatCode>0</c:formatCode>
                <c:ptCount val="5"/>
                <c:pt idx="0">
                  <c:v>382.92</c:v>
                </c:pt>
                <c:pt idx="1">
                  <c:v>380.65</c:v>
                </c:pt>
                <c:pt idx="2">
                  <c:v>378.38</c:v>
                </c:pt>
                <c:pt idx="3">
                  <c:v>362.85</c:v>
                </c:pt>
                <c:pt idx="4">
                  <c:v>347.3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D429-C84F-849F-0EF021B10F03}"/>
            </c:ext>
          </c:extLst>
        </c:ser>
        <c:ser>
          <c:idx val="164"/>
          <c:order val="164"/>
          <c:tx>
            <c:strRef>
              <c:f>data!$B$175</c:f>
              <c:strCache>
                <c:ptCount val="1"/>
                <c:pt idx="0">
                  <c:v>Central African Republic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data!$C$175:$G$175</c:f>
              <c:numCache>
                <c:formatCode>0</c:formatCode>
                <c:ptCount val="5"/>
                <c:pt idx="0">
                  <c:v>23203</c:v>
                </c:pt>
                <c:pt idx="1">
                  <c:v>22903</c:v>
                </c:pt>
                <c:pt idx="2">
                  <c:v>22603</c:v>
                </c:pt>
                <c:pt idx="3">
                  <c:v>22453</c:v>
                </c:pt>
                <c:pt idx="4">
                  <c:v>22303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D429-C84F-849F-0EF021B10F03}"/>
            </c:ext>
          </c:extLst>
        </c:ser>
        <c:ser>
          <c:idx val="165"/>
          <c:order val="165"/>
          <c:tx>
            <c:strRef>
              <c:f>data!$B$176</c:f>
              <c:strCache>
                <c:ptCount val="1"/>
                <c:pt idx="0">
                  <c:v>French Guiana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data!$C$176:$G$176</c:f>
              <c:numCache>
                <c:formatCode>0</c:formatCode>
                <c:ptCount val="5"/>
                <c:pt idx="0">
                  <c:v>8125</c:v>
                </c:pt>
                <c:pt idx="1">
                  <c:v>8079.44</c:v>
                </c:pt>
                <c:pt idx="2">
                  <c:v>8036.5</c:v>
                </c:pt>
                <c:pt idx="3">
                  <c:v>8020</c:v>
                </c:pt>
                <c:pt idx="4">
                  <c:v>8002.85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D429-C84F-849F-0EF021B10F03}"/>
            </c:ext>
          </c:extLst>
        </c:ser>
        <c:ser>
          <c:idx val="166"/>
          <c:order val="166"/>
          <c:tx>
            <c:strRef>
              <c:f>data!$B$177</c:f>
              <c:strCache>
                <c:ptCount val="1"/>
                <c:pt idx="0">
                  <c:v>Pakistan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data!$C$177:$G$177</c:f>
              <c:numCache>
                <c:formatCode>0</c:formatCode>
                <c:ptCount val="5"/>
                <c:pt idx="0">
                  <c:v>4986.79</c:v>
                </c:pt>
                <c:pt idx="1">
                  <c:v>4511.26</c:v>
                </c:pt>
                <c:pt idx="2">
                  <c:v>4093.73</c:v>
                </c:pt>
                <c:pt idx="3">
                  <c:v>3932.6</c:v>
                </c:pt>
                <c:pt idx="4">
                  <c:v>3725.9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D429-C84F-849F-0EF021B10F03}"/>
            </c:ext>
          </c:extLst>
        </c:ser>
        <c:ser>
          <c:idx val="167"/>
          <c:order val="167"/>
          <c:tx>
            <c:strRef>
              <c:f>data!$B$178</c:f>
              <c:strCache>
                <c:ptCount val="1"/>
                <c:pt idx="0">
                  <c:v>Rwanda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data!$C$178:$G$178</c:f>
              <c:numCache>
                <c:formatCode>General</c:formatCode>
                <c:ptCount val="5"/>
                <c:pt idx="0">
                  <c:v>317</c:v>
                </c:pt>
                <c:pt idx="1">
                  <c:v>287</c:v>
                </c:pt>
                <c:pt idx="2">
                  <c:v>265</c:v>
                </c:pt>
                <c:pt idx="3">
                  <c:v>270</c:v>
                </c:pt>
                <c:pt idx="4">
                  <c:v>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D429-C84F-849F-0EF021B10F03}"/>
            </c:ext>
          </c:extLst>
        </c:ser>
        <c:ser>
          <c:idx val="168"/>
          <c:order val="168"/>
          <c:tx>
            <c:strRef>
              <c:f>data!$B$179</c:f>
              <c:strCache>
                <c:ptCount val="1"/>
                <c:pt idx="0">
                  <c:v>Cayman Islands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data!$C$179:$G$179</c:f>
              <c:numCache>
                <c:formatCode>General</c:formatCode>
                <c:ptCount val="5"/>
                <c:pt idx="0">
                  <c:v>13.13</c:v>
                </c:pt>
                <c:pt idx="1">
                  <c:v>12.93</c:v>
                </c:pt>
                <c:pt idx="2">
                  <c:v>12.72</c:v>
                </c:pt>
                <c:pt idx="3">
                  <c:v>12.72</c:v>
                </c:pt>
                <c:pt idx="4">
                  <c:v>12.72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D429-C84F-849F-0EF021B10F03}"/>
            </c:ext>
          </c:extLst>
        </c:ser>
        <c:ser>
          <c:idx val="169"/>
          <c:order val="169"/>
          <c:tx>
            <c:strRef>
              <c:f>data!$B$180</c:f>
              <c:strCache>
                <c:ptCount val="1"/>
                <c:pt idx="0">
                  <c:v>Chad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data!$C$180:$G$180</c:f>
              <c:numCache>
                <c:formatCode>0</c:formatCode>
                <c:ptCount val="5"/>
                <c:pt idx="0">
                  <c:v>6730</c:v>
                </c:pt>
                <c:pt idx="1">
                  <c:v>6353</c:v>
                </c:pt>
                <c:pt idx="2">
                  <c:v>5530</c:v>
                </c:pt>
                <c:pt idx="3">
                  <c:v>4890</c:v>
                </c:pt>
                <c:pt idx="4">
                  <c:v>4313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D429-C84F-849F-0EF021B10F03}"/>
            </c:ext>
          </c:extLst>
        </c:ser>
        <c:ser>
          <c:idx val="170"/>
          <c:order val="170"/>
          <c:tx>
            <c:strRef>
              <c:f>data!$B$181</c:f>
              <c:strCache>
                <c:ptCount val="1"/>
                <c:pt idx="0">
                  <c:v>Ethiopia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data!$C$181:$G$181</c:f>
              <c:numCache>
                <c:formatCode>0</c:formatCode>
                <c:ptCount val="5"/>
                <c:pt idx="0">
                  <c:v>19258.5</c:v>
                </c:pt>
                <c:pt idx="1">
                  <c:v>18528.5</c:v>
                </c:pt>
                <c:pt idx="2">
                  <c:v>17798.5</c:v>
                </c:pt>
                <c:pt idx="3">
                  <c:v>17433.5</c:v>
                </c:pt>
                <c:pt idx="4">
                  <c:v>17068.5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D429-C84F-849F-0EF021B10F03}"/>
            </c:ext>
          </c:extLst>
        </c:ser>
        <c:ser>
          <c:idx val="171"/>
          <c:order val="171"/>
          <c:tx>
            <c:strRef>
              <c:f>data!$B$182</c:f>
              <c:strCache>
                <c:ptCount val="1"/>
                <c:pt idx="0">
                  <c:v>Philippines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data!$C$182:$G$182</c:f>
              <c:numCache>
                <c:formatCode>#,##0</c:formatCode>
                <c:ptCount val="5"/>
                <c:pt idx="0">
                  <c:v>7778.81</c:v>
                </c:pt>
                <c:pt idx="1">
                  <c:v>7309.26</c:v>
                </c:pt>
                <c:pt idx="2">
                  <c:v>6839.72</c:v>
                </c:pt>
                <c:pt idx="3">
                  <c:v>7014.15</c:v>
                </c:pt>
                <c:pt idx="4">
                  <c:v>7188.59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D429-C84F-849F-0EF021B10F03}"/>
            </c:ext>
          </c:extLst>
        </c:ser>
        <c:ser>
          <c:idx val="172"/>
          <c:order val="172"/>
          <c:tx>
            <c:strRef>
              <c:f>data!$B$183</c:f>
              <c:strCache>
                <c:ptCount val="1"/>
                <c:pt idx="0">
                  <c:v>Madagascar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data!$C$183:$G$183</c:f>
              <c:numCache>
                <c:formatCode>0</c:formatCode>
                <c:ptCount val="5"/>
                <c:pt idx="0">
                  <c:v>13693.45</c:v>
                </c:pt>
                <c:pt idx="1">
                  <c:v>13030.67</c:v>
                </c:pt>
                <c:pt idx="2">
                  <c:v>12561.98</c:v>
                </c:pt>
                <c:pt idx="3">
                  <c:v>12495.89</c:v>
                </c:pt>
                <c:pt idx="4">
                  <c:v>12429.81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D429-C84F-849F-0EF021B10F03}"/>
            </c:ext>
          </c:extLst>
        </c:ser>
        <c:ser>
          <c:idx val="173"/>
          <c:order val="173"/>
          <c:tx>
            <c:strRef>
              <c:f>data!$B$184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data!$C$184:$G$184</c:f>
              <c:numCache>
                <c:formatCode>0</c:formatCode>
                <c:ptCount val="5"/>
                <c:pt idx="0">
                  <c:v>35204</c:v>
                </c:pt>
                <c:pt idx="1">
                  <c:v>33378</c:v>
                </c:pt>
                <c:pt idx="2">
                  <c:v>30214</c:v>
                </c:pt>
                <c:pt idx="3">
                  <c:v>29097</c:v>
                </c:pt>
                <c:pt idx="4">
                  <c:v>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D429-C84F-849F-0EF021B10F03}"/>
            </c:ext>
          </c:extLst>
        </c:ser>
        <c:ser>
          <c:idx val="174"/>
          <c:order val="174"/>
          <c:tx>
            <c:strRef>
              <c:f>data!$B$185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data!$C$185:$G$185</c:f>
              <c:numCache>
                <c:formatCode>0</c:formatCode>
                <c:ptCount val="5"/>
                <c:pt idx="0">
                  <c:v>70591.649999999994</c:v>
                </c:pt>
                <c:pt idx="1">
                  <c:v>68381.350000000006</c:v>
                </c:pt>
                <c:pt idx="2">
                  <c:v>66943.31</c:v>
                </c:pt>
                <c:pt idx="3">
                  <c:v>66330.91</c:v>
                </c:pt>
                <c:pt idx="4">
                  <c:v>65692.08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D429-C84F-849F-0EF021B10F03}"/>
            </c:ext>
          </c:extLst>
        </c:ser>
        <c:ser>
          <c:idx val="175"/>
          <c:order val="175"/>
          <c:tx>
            <c:strRef>
              <c:f>data!$B$186</c:f>
              <c:strCache>
                <c:ptCount val="1"/>
                <c:pt idx="0">
                  <c:v>Namibia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data!$C$186:$G$186</c:f>
              <c:numCache>
                <c:formatCode>0</c:formatCode>
                <c:ptCount val="5"/>
                <c:pt idx="0">
                  <c:v>8769.17</c:v>
                </c:pt>
                <c:pt idx="1">
                  <c:v>8059.08</c:v>
                </c:pt>
                <c:pt idx="2">
                  <c:v>7348.99</c:v>
                </c:pt>
                <c:pt idx="3">
                  <c:v>6993.95</c:v>
                </c:pt>
                <c:pt idx="4">
                  <c:v>6638.9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D429-C84F-849F-0EF021B10F03}"/>
            </c:ext>
          </c:extLst>
        </c:ser>
        <c:ser>
          <c:idx val="176"/>
          <c:order val="176"/>
          <c:tx>
            <c:strRef>
              <c:f>data!$B$187</c:f>
              <c:strCache>
                <c:ptCount val="1"/>
                <c:pt idx="0">
                  <c:v>Trinidad and Tobago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data!$C$187:$G$187</c:f>
              <c:numCache>
                <c:formatCode>0</c:formatCode>
                <c:ptCount val="5"/>
                <c:pt idx="0">
                  <c:v>242.06</c:v>
                </c:pt>
                <c:pt idx="1">
                  <c:v>236.65</c:v>
                </c:pt>
                <c:pt idx="2">
                  <c:v>232.41</c:v>
                </c:pt>
                <c:pt idx="3">
                  <c:v>230.29</c:v>
                </c:pt>
                <c:pt idx="4">
                  <c:v>228.19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D429-C84F-849F-0EF021B10F03}"/>
            </c:ext>
          </c:extLst>
        </c:ser>
        <c:ser>
          <c:idx val="177"/>
          <c:order val="177"/>
          <c:tx>
            <c:strRef>
              <c:f>data!$B$188</c:f>
              <c:strCache>
                <c:ptCount val="1"/>
                <c:pt idx="0">
                  <c:v>Republic of Korea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data!$C$188:$G$188</c:f>
              <c:numCache>
                <c:formatCode>0</c:formatCode>
                <c:ptCount val="5"/>
                <c:pt idx="0">
                  <c:v>6551</c:v>
                </c:pt>
                <c:pt idx="1">
                  <c:v>6476</c:v>
                </c:pt>
                <c:pt idx="2">
                  <c:v>6387</c:v>
                </c:pt>
                <c:pt idx="3">
                  <c:v>6337</c:v>
                </c:pt>
                <c:pt idx="4">
                  <c:v>6287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D429-C84F-849F-0EF021B10F03}"/>
            </c:ext>
          </c:extLst>
        </c:ser>
        <c:ser>
          <c:idx val="178"/>
          <c:order val="178"/>
          <c:tx>
            <c:strRef>
              <c:f>data!$B$189</c:f>
              <c:strCache>
                <c:ptCount val="1"/>
                <c:pt idx="0">
                  <c:v>Sudan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data!$C$189:$G$189</c:f>
              <c:numCache>
                <c:formatCode>0</c:formatCode>
                <c:ptCount val="5"/>
                <c:pt idx="0">
                  <c:v>23570.31</c:v>
                </c:pt>
                <c:pt idx="1">
                  <c:v>21826.16</c:v>
                </c:pt>
                <c:pt idx="2">
                  <c:v>20081.169999999998</c:v>
                </c:pt>
                <c:pt idx="3">
                  <c:v>19209.93</c:v>
                </c:pt>
                <c:pt idx="4">
                  <c:v>18359.55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D429-C84F-849F-0EF021B10F03}"/>
            </c:ext>
          </c:extLst>
        </c:ser>
        <c:ser>
          <c:idx val="179"/>
          <c:order val="179"/>
          <c:tx>
            <c:strRef>
              <c:f>data!$B$190</c:f>
              <c:strCache>
                <c:ptCount val="1"/>
                <c:pt idx="0">
                  <c:v>Togo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data!$C$190:$G$190</c:f>
              <c:numCache>
                <c:formatCode>0</c:formatCode>
                <c:ptCount val="5"/>
                <c:pt idx="0">
                  <c:v>1361.66</c:v>
                </c:pt>
                <c:pt idx="1">
                  <c:v>1268.46</c:v>
                </c:pt>
                <c:pt idx="2">
                  <c:v>1238.8699999999999</c:v>
                </c:pt>
                <c:pt idx="3">
                  <c:v>1224.07</c:v>
                </c:pt>
                <c:pt idx="4">
                  <c:v>1209.27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D429-C84F-849F-0EF021B10F03}"/>
            </c:ext>
          </c:extLst>
        </c:ser>
        <c:ser>
          <c:idx val="180"/>
          <c:order val="180"/>
          <c:tx>
            <c:strRef>
              <c:f>data!$B$191</c:f>
              <c:strCache>
                <c:ptCount val="1"/>
                <c:pt idx="0">
                  <c:v>Timor-Leste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data!$C$191:$G$191</c:f>
              <c:numCache>
                <c:formatCode>0</c:formatCode>
                <c:ptCount val="5"/>
                <c:pt idx="0">
                  <c:v>963.1</c:v>
                </c:pt>
                <c:pt idx="1">
                  <c:v>949.1</c:v>
                </c:pt>
                <c:pt idx="2">
                  <c:v>935.1</c:v>
                </c:pt>
                <c:pt idx="3">
                  <c:v>928.1</c:v>
                </c:pt>
                <c:pt idx="4">
                  <c:v>921.1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D429-C84F-849F-0EF021B10F03}"/>
            </c:ext>
          </c:extLst>
        </c:ser>
        <c:ser>
          <c:idx val="181"/>
          <c:order val="181"/>
          <c:tx>
            <c:strRef>
              <c:f>data!$B$192</c:f>
              <c:strCache>
                <c:ptCount val="1"/>
                <c:pt idx="0">
                  <c:v>Saint Pierre and Miquelon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data!$C$192:$G$192</c:f>
              <c:numCache>
                <c:formatCode>0</c:formatCode>
                <c:ptCount val="5"/>
                <c:pt idx="0">
                  <c:v>1.9</c:v>
                </c:pt>
                <c:pt idx="1">
                  <c:v>1.67</c:v>
                </c:pt>
                <c:pt idx="2">
                  <c:v>1.44</c:v>
                </c:pt>
                <c:pt idx="3">
                  <c:v>1.33</c:v>
                </c:pt>
                <c:pt idx="4">
                  <c:v>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D429-C84F-849F-0EF021B10F03}"/>
            </c:ext>
          </c:extLst>
        </c:ser>
        <c:ser>
          <c:idx val="182"/>
          <c:order val="182"/>
          <c:tx>
            <c:strRef>
              <c:f>data!$B$193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data!$C$193:$G$193</c:f>
              <c:numCache>
                <c:formatCode>0</c:formatCode>
                <c:ptCount val="5"/>
                <c:pt idx="0">
                  <c:v>76448.539999999994</c:v>
                </c:pt>
                <c:pt idx="1">
                  <c:v>75297.83</c:v>
                </c:pt>
                <c:pt idx="2">
                  <c:v>74049.8</c:v>
                </c:pt>
                <c:pt idx="3">
                  <c:v>73194.53</c:v>
                </c:pt>
                <c:pt idx="4">
                  <c:v>72330.37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D429-C84F-849F-0EF021B10F03}"/>
            </c:ext>
          </c:extLst>
        </c:ser>
        <c:ser>
          <c:idx val="183"/>
          <c:order val="183"/>
          <c:tx>
            <c:strRef>
              <c:f>data!$B$194</c:f>
              <c:strCache>
                <c:ptCount val="1"/>
                <c:pt idx="0">
                  <c:v>Dominica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data!$C$194:$G$194</c:f>
              <c:numCache>
                <c:formatCode>General</c:formatCode>
                <c:ptCount val="5"/>
                <c:pt idx="0">
                  <c:v>50.31</c:v>
                </c:pt>
                <c:pt idx="1">
                  <c:v>47.87</c:v>
                </c:pt>
                <c:pt idx="2">
                  <c:v>47.87</c:v>
                </c:pt>
                <c:pt idx="3">
                  <c:v>47.87</c:v>
                </c:pt>
                <c:pt idx="4">
                  <c:v>47.87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D429-C84F-849F-0EF021B10F03}"/>
            </c:ext>
          </c:extLst>
        </c:ser>
        <c:ser>
          <c:idx val="184"/>
          <c:order val="184"/>
          <c:tx>
            <c:strRef>
              <c:f>data!$B$195</c:f>
              <c:strCache>
                <c:ptCount val="1"/>
                <c:pt idx="0">
                  <c:v>Zambia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data!$C$195:$G$195</c:f>
              <c:numCache>
                <c:formatCode>0</c:formatCode>
                <c:ptCount val="5"/>
                <c:pt idx="0">
                  <c:v>47412</c:v>
                </c:pt>
                <c:pt idx="1">
                  <c:v>47054</c:v>
                </c:pt>
                <c:pt idx="2">
                  <c:v>46696</c:v>
                </c:pt>
                <c:pt idx="3">
                  <c:v>45755.1</c:v>
                </c:pt>
                <c:pt idx="4">
                  <c:v>44814.03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D429-C84F-849F-0EF021B10F03}"/>
            </c:ext>
          </c:extLst>
        </c:ser>
        <c:ser>
          <c:idx val="185"/>
          <c:order val="185"/>
          <c:tx>
            <c:strRef>
              <c:f>data!$B$196</c:f>
              <c:strCache>
                <c:ptCount val="1"/>
                <c:pt idx="0">
                  <c:v>Zimbabwe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data!$C$196:$G$196</c:f>
              <c:numCache>
                <c:formatCode>0</c:formatCode>
                <c:ptCount val="5"/>
                <c:pt idx="0">
                  <c:v>18826.68</c:v>
                </c:pt>
                <c:pt idx="1">
                  <c:v>18365.98</c:v>
                </c:pt>
                <c:pt idx="2">
                  <c:v>17905.28</c:v>
                </c:pt>
                <c:pt idx="3">
                  <c:v>17674.93</c:v>
                </c:pt>
                <c:pt idx="4">
                  <c:v>17444.580000000002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D429-C84F-849F-0EF021B10F03}"/>
            </c:ext>
          </c:extLst>
        </c:ser>
        <c:ser>
          <c:idx val="186"/>
          <c:order val="186"/>
          <c:tx>
            <c:strRef>
              <c:f>data!$B$197</c:f>
              <c:strCache>
                <c:ptCount val="1"/>
                <c:pt idx="0">
                  <c:v>Somalia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data!$C$197:$G$197</c:f>
              <c:numCache>
                <c:formatCode>0</c:formatCode>
                <c:ptCount val="5"/>
                <c:pt idx="0">
                  <c:v>8282.5</c:v>
                </c:pt>
                <c:pt idx="1">
                  <c:v>7515</c:v>
                </c:pt>
                <c:pt idx="2">
                  <c:v>6747.5</c:v>
                </c:pt>
                <c:pt idx="3">
                  <c:v>6363.75</c:v>
                </c:pt>
                <c:pt idx="4">
                  <c:v>5980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D429-C84F-849F-0EF021B10F03}"/>
            </c:ext>
          </c:extLst>
        </c:ser>
        <c:ser>
          <c:idx val="187"/>
          <c:order val="187"/>
          <c:tx>
            <c:strRef>
              <c:f>data!$B$198</c:f>
              <c:strCache>
                <c:ptCount val="1"/>
                <c:pt idx="0">
                  <c:v>Sri Lanka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data!$C$198:$G$198</c:f>
              <c:numCache>
                <c:formatCode>#,##0</c:formatCode>
                <c:ptCount val="5"/>
                <c:pt idx="0">
                  <c:v>2350.33</c:v>
                </c:pt>
                <c:pt idx="1">
                  <c:v>2166.42</c:v>
                </c:pt>
                <c:pt idx="2">
                  <c:v>2103.62</c:v>
                </c:pt>
                <c:pt idx="3">
                  <c:v>2128.8200000000002</c:v>
                </c:pt>
                <c:pt idx="4">
                  <c:v>2113.02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D429-C84F-849F-0EF021B10F03}"/>
            </c:ext>
          </c:extLst>
        </c:ser>
        <c:ser>
          <c:idx val="188"/>
          <c:order val="188"/>
          <c:tx>
            <c:strRef>
              <c:f>data!$B$199</c:f>
              <c:strCache>
                <c:ptCount val="1"/>
                <c:pt idx="0">
                  <c:v>Guinea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data!$C$199:$G$199</c:f>
              <c:numCache>
                <c:formatCode>0</c:formatCode>
                <c:ptCount val="5"/>
                <c:pt idx="0">
                  <c:v>7276</c:v>
                </c:pt>
                <c:pt idx="1">
                  <c:v>6929</c:v>
                </c:pt>
                <c:pt idx="2">
                  <c:v>6569</c:v>
                </c:pt>
                <c:pt idx="3">
                  <c:v>6389</c:v>
                </c:pt>
                <c:pt idx="4">
                  <c:v>6189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D429-C84F-849F-0EF021B10F03}"/>
            </c:ext>
          </c:extLst>
        </c:ser>
        <c:ser>
          <c:idx val="189"/>
          <c:order val="189"/>
          <c:tx>
            <c:strRef>
              <c:f>data!$B$200</c:f>
              <c:strCache>
                <c:ptCount val="1"/>
                <c:pt idx="0">
                  <c:v>Antigua and Barbuda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data!$C$200:$G$200</c:f>
              <c:numCache>
                <c:formatCode>0</c:formatCode>
                <c:ptCount val="5"/>
                <c:pt idx="0">
                  <c:v>10.11</c:v>
                </c:pt>
                <c:pt idx="1">
                  <c:v>9.4499999999999993</c:v>
                </c:pt>
                <c:pt idx="2">
                  <c:v>8.7799999999999994</c:v>
                </c:pt>
                <c:pt idx="3">
                  <c:v>8.4499999999999993</c:v>
                </c:pt>
                <c:pt idx="4">
                  <c:v>8.1199999999999992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D429-C84F-849F-0EF021B10F03}"/>
            </c:ext>
          </c:extLst>
        </c:ser>
        <c:ser>
          <c:idx val="190"/>
          <c:order val="190"/>
          <c:tx>
            <c:strRef>
              <c:f>data!$B$201</c:f>
              <c:strCache>
                <c:ptCount val="1"/>
                <c:pt idx="0">
                  <c:v>Cameroon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data!$C$201:$G$201</c:f>
              <c:numCache>
                <c:formatCode>0</c:formatCode>
                <c:ptCount val="5"/>
                <c:pt idx="0">
                  <c:v>22500</c:v>
                </c:pt>
                <c:pt idx="1">
                  <c:v>21597.49</c:v>
                </c:pt>
                <c:pt idx="2">
                  <c:v>20900.48</c:v>
                </c:pt>
                <c:pt idx="3">
                  <c:v>20620.48</c:v>
                </c:pt>
                <c:pt idx="4">
                  <c:v>20340.48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D429-C84F-849F-0EF021B10F03}"/>
            </c:ext>
          </c:extLst>
        </c:ser>
        <c:ser>
          <c:idx val="191"/>
          <c:order val="191"/>
          <c:tx>
            <c:strRef>
              <c:f>data!$B$202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data!$C$202:$G$202</c:f>
              <c:numCache>
                <c:formatCode>#,##0</c:formatCode>
                <c:ptCount val="5"/>
                <c:pt idx="0">
                  <c:v>20618.5</c:v>
                </c:pt>
                <c:pt idx="1">
                  <c:v>19691.349999999999</c:v>
                </c:pt>
                <c:pt idx="2">
                  <c:v>18947.650000000001</c:v>
                </c:pt>
                <c:pt idx="3">
                  <c:v>19464.22</c:v>
                </c:pt>
                <c:pt idx="4">
                  <c:v>19114.04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D429-C84F-849F-0EF021B10F03}"/>
            </c:ext>
          </c:extLst>
        </c:ser>
        <c:ser>
          <c:idx val="192"/>
          <c:order val="192"/>
          <c:tx>
            <c:strRef>
              <c:f>data!$B$203</c:f>
              <c:strCache>
                <c:ptCount val="1"/>
                <c:pt idx="0">
                  <c:v>American Samoa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data!$C$203:$G$203</c:f>
              <c:numCache>
                <c:formatCode>0</c:formatCode>
                <c:ptCount val="5"/>
                <c:pt idx="0">
                  <c:v>18.07</c:v>
                </c:pt>
                <c:pt idx="1">
                  <c:v>17.73</c:v>
                </c:pt>
                <c:pt idx="2">
                  <c:v>17.43</c:v>
                </c:pt>
                <c:pt idx="3">
                  <c:v>17.28</c:v>
                </c:pt>
                <c:pt idx="4">
                  <c:v>17.13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D429-C84F-849F-0EF021B10F03}"/>
            </c:ext>
          </c:extLst>
        </c:ser>
        <c:ser>
          <c:idx val="193"/>
          <c:order val="193"/>
          <c:tx>
            <c:strRef>
              <c:f>data!$B$204</c:f>
              <c:strCache>
                <c:ptCount val="1"/>
                <c:pt idx="0">
                  <c:v>Samoa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data!$C$204:$G$204</c:f>
              <c:numCache>
                <c:formatCode>0</c:formatCode>
                <c:ptCount val="5"/>
                <c:pt idx="0">
                  <c:v>176.13</c:v>
                </c:pt>
                <c:pt idx="1">
                  <c:v>171.31</c:v>
                </c:pt>
                <c:pt idx="2">
                  <c:v>166.49</c:v>
                </c:pt>
                <c:pt idx="3">
                  <c:v>164.07</c:v>
                </c:pt>
                <c:pt idx="4">
                  <c:v>161.66999999999999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D429-C84F-849F-0EF021B10F03}"/>
            </c:ext>
          </c:extLst>
        </c:ser>
        <c:ser>
          <c:idx val="194"/>
          <c:order val="194"/>
          <c:tx>
            <c:strRef>
              <c:f>data!$B$205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data!$C$205:$G$205</c:f>
              <c:numCache>
                <c:formatCode>0</c:formatCode>
                <c:ptCount val="5"/>
                <c:pt idx="0">
                  <c:v>64958.14</c:v>
                </c:pt>
                <c:pt idx="1">
                  <c:v>62735.5</c:v>
                </c:pt>
                <c:pt idx="2">
                  <c:v>60807.79</c:v>
                </c:pt>
                <c:pt idx="3">
                  <c:v>60134.66</c:v>
                </c:pt>
                <c:pt idx="4">
                  <c:v>59141.91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D429-C84F-849F-0EF021B10F03}"/>
            </c:ext>
          </c:extLst>
        </c:ser>
        <c:ser>
          <c:idx val="195"/>
          <c:order val="195"/>
          <c:tx>
            <c:strRef>
              <c:f>data!$B$206</c:f>
              <c:strCache>
                <c:ptCount val="1"/>
                <c:pt idx="0">
                  <c:v>Panama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data!$C$206:$G$206</c:f>
              <c:numCache>
                <c:formatCode>0</c:formatCode>
                <c:ptCount val="5"/>
                <c:pt idx="0">
                  <c:v>4607.3999999999996</c:v>
                </c:pt>
                <c:pt idx="1">
                  <c:v>4442.1400000000003</c:v>
                </c:pt>
                <c:pt idx="2">
                  <c:v>4327.99</c:v>
                </c:pt>
                <c:pt idx="3">
                  <c:v>4270.91</c:v>
                </c:pt>
                <c:pt idx="4">
                  <c:v>4213.84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D429-C84F-849F-0EF021B10F03}"/>
            </c:ext>
          </c:extLst>
        </c:ser>
        <c:ser>
          <c:idx val="196"/>
          <c:order val="196"/>
          <c:tx>
            <c:strRef>
              <c:f>data!$B$207</c:f>
              <c:strCache>
                <c:ptCount val="1"/>
                <c:pt idx="0">
                  <c:v>Nigeria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data!$C$207:$G$207</c:f>
              <c:numCache>
                <c:formatCode>0</c:formatCode>
                <c:ptCount val="5"/>
                <c:pt idx="0">
                  <c:v>26526.09</c:v>
                </c:pt>
                <c:pt idx="1">
                  <c:v>24893.040000000001</c:v>
                </c:pt>
                <c:pt idx="2">
                  <c:v>23259.98</c:v>
                </c:pt>
                <c:pt idx="3">
                  <c:v>22443.45</c:v>
                </c:pt>
                <c:pt idx="4">
                  <c:v>21626.95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D429-C84F-849F-0EF021B10F03}"/>
            </c:ext>
          </c:extLst>
        </c:ser>
        <c:ser>
          <c:idx val="197"/>
          <c:order val="197"/>
          <c:tx>
            <c:strRef>
              <c:f>data!$B$208</c:f>
              <c:strCache>
                <c:ptCount val="1"/>
                <c:pt idx="0">
                  <c:v>Lao People's Democratic Republic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data!$C$208:$G$208</c:f>
              <c:numCache>
                <c:formatCode>0</c:formatCode>
                <c:ptCount val="5"/>
                <c:pt idx="0">
                  <c:v>17843</c:v>
                </c:pt>
                <c:pt idx="1">
                  <c:v>17425</c:v>
                </c:pt>
                <c:pt idx="2">
                  <c:v>16940.5</c:v>
                </c:pt>
                <c:pt idx="3">
                  <c:v>16768</c:v>
                </c:pt>
                <c:pt idx="4">
                  <c:v>16595.5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D429-C84F-849F-0EF021B10F03}"/>
            </c:ext>
          </c:extLst>
        </c:ser>
        <c:ser>
          <c:idx val="198"/>
          <c:order val="198"/>
          <c:tx>
            <c:strRef>
              <c:f>data!$B$209</c:f>
              <c:strCache>
                <c:ptCount val="1"/>
                <c:pt idx="0">
                  <c:v>Burkina Faso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data!$C$209:$G$209</c:f>
              <c:numCache>
                <c:formatCode>0</c:formatCode>
                <c:ptCount val="5"/>
                <c:pt idx="0">
                  <c:v>7716.6</c:v>
                </c:pt>
                <c:pt idx="1">
                  <c:v>7216.5</c:v>
                </c:pt>
                <c:pt idx="2">
                  <c:v>6716.5</c:v>
                </c:pt>
                <c:pt idx="3">
                  <c:v>6466.4</c:v>
                </c:pt>
                <c:pt idx="4">
                  <c:v>6216.4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D429-C84F-849F-0EF021B10F03}"/>
            </c:ext>
          </c:extLst>
        </c:ser>
        <c:ser>
          <c:idx val="199"/>
          <c:order val="199"/>
          <c:tx>
            <c:strRef>
              <c:f>data!$B$210</c:f>
              <c:strCache>
                <c:ptCount val="1"/>
                <c:pt idx="0">
                  <c:v>Honduras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data!$C$210:$G$210</c:f>
              <c:numCache>
                <c:formatCode>0</c:formatCode>
                <c:ptCount val="5"/>
                <c:pt idx="0">
                  <c:v>6987.78</c:v>
                </c:pt>
                <c:pt idx="1">
                  <c:v>6778.27</c:v>
                </c:pt>
                <c:pt idx="2">
                  <c:v>6575.47</c:v>
                </c:pt>
                <c:pt idx="3">
                  <c:v>6463.83</c:v>
                </c:pt>
                <c:pt idx="4">
                  <c:v>6359.26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D429-C84F-849F-0EF021B10F03}"/>
            </c:ext>
          </c:extLst>
        </c:ser>
        <c:ser>
          <c:idx val="200"/>
          <c:order val="200"/>
          <c:tx>
            <c:strRef>
              <c:f>data!$B$211</c:f>
              <c:strCache>
                <c:ptCount val="1"/>
                <c:pt idx="0">
                  <c:v>Uganda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data!$C$211:$G$211</c:f>
              <c:numCache>
                <c:formatCode>0</c:formatCode>
                <c:ptCount val="5"/>
                <c:pt idx="0">
                  <c:v>3575.47</c:v>
                </c:pt>
                <c:pt idx="1">
                  <c:v>3162.95</c:v>
                </c:pt>
                <c:pt idx="2">
                  <c:v>2750.42</c:v>
                </c:pt>
                <c:pt idx="3">
                  <c:v>2544.16</c:v>
                </c:pt>
                <c:pt idx="4">
                  <c:v>2337.9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D429-C84F-849F-0EF021B10F03}"/>
            </c:ext>
          </c:extLst>
        </c:ser>
        <c:ser>
          <c:idx val="201"/>
          <c:order val="201"/>
          <c:tx>
            <c:strRef>
              <c:f>data!$B$212</c:f>
              <c:strCache>
                <c:ptCount val="1"/>
                <c:pt idx="0">
                  <c:v>Brunei Darussalam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data!$C$212:$G$212</c:f>
              <c:numCache>
                <c:formatCode>General</c:formatCode>
                <c:ptCount val="5"/>
                <c:pt idx="0">
                  <c:v>413</c:v>
                </c:pt>
                <c:pt idx="1">
                  <c:v>397</c:v>
                </c:pt>
                <c:pt idx="2">
                  <c:v>380</c:v>
                </c:pt>
                <c:pt idx="3">
                  <c:v>380</c:v>
                </c:pt>
                <c:pt idx="4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D429-C84F-849F-0EF021B10F03}"/>
            </c:ext>
          </c:extLst>
        </c:ser>
        <c:ser>
          <c:idx val="202"/>
          <c:order val="202"/>
          <c:tx>
            <c:strRef>
              <c:f>data!$B$213</c:f>
              <c:strCache>
                <c:ptCount val="1"/>
                <c:pt idx="0">
                  <c:v>Botswana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data!$C$213:$G$213</c:f>
              <c:numCache>
                <c:formatCode>0</c:formatCode>
                <c:ptCount val="5"/>
                <c:pt idx="0">
                  <c:v>18803.7</c:v>
                </c:pt>
                <c:pt idx="1">
                  <c:v>17620.7</c:v>
                </c:pt>
                <c:pt idx="2">
                  <c:v>16437.7</c:v>
                </c:pt>
                <c:pt idx="3">
                  <c:v>15846.2</c:v>
                </c:pt>
                <c:pt idx="4">
                  <c:v>15254.7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D429-C84F-849F-0EF021B10F03}"/>
            </c:ext>
          </c:extLst>
        </c:ser>
        <c:ser>
          <c:idx val="203"/>
          <c:order val="203"/>
          <c:tx>
            <c:strRef>
              <c:f>data!$B$214</c:f>
              <c:strCache>
                <c:ptCount val="1"/>
                <c:pt idx="0">
                  <c:v>Senegal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data!$C$214:$G$214</c:f>
              <c:numCache>
                <c:formatCode>0</c:formatCode>
                <c:ptCount val="5"/>
                <c:pt idx="0">
                  <c:v>9303.16</c:v>
                </c:pt>
                <c:pt idx="1">
                  <c:v>8853.16</c:v>
                </c:pt>
                <c:pt idx="2">
                  <c:v>8468.16</c:v>
                </c:pt>
                <c:pt idx="3">
                  <c:v>8268.16</c:v>
                </c:pt>
                <c:pt idx="4">
                  <c:v>8068.16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D429-C84F-849F-0EF021B10F03}"/>
            </c:ext>
          </c:extLst>
        </c:ser>
        <c:ser>
          <c:idx val="204"/>
          <c:order val="204"/>
          <c:tx>
            <c:strRef>
              <c:f>data!$B$215</c:f>
              <c:strCache>
                <c:ptCount val="1"/>
                <c:pt idx="0">
                  <c:v>Bolivia (Plurinational State of)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data!$C$215:$G$215</c:f>
              <c:numCache>
                <c:formatCode>0</c:formatCode>
                <c:ptCount val="5"/>
                <c:pt idx="0">
                  <c:v>57804.72</c:v>
                </c:pt>
                <c:pt idx="1">
                  <c:v>55101.39</c:v>
                </c:pt>
                <c:pt idx="2">
                  <c:v>53086.01</c:v>
                </c:pt>
                <c:pt idx="3">
                  <c:v>52027.22</c:v>
                </c:pt>
                <c:pt idx="4">
                  <c:v>50833.760000000002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D429-C84F-849F-0EF021B10F03}"/>
            </c:ext>
          </c:extLst>
        </c:ser>
        <c:ser>
          <c:idx val="205"/>
          <c:order val="205"/>
          <c:tx>
            <c:strRef>
              <c:f>data!$B$216</c:f>
              <c:strCache>
                <c:ptCount val="1"/>
                <c:pt idx="0">
                  <c:v>El Salvador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data!$C$216:$G$216</c:f>
              <c:numCache>
                <c:formatCode>0</c:formatCode>
                <c:ptCount val="5"/>
                <c:pt idx="0">
                  <c:v>718.88</c:v>
                </c:pt>
                <c:pt idx="1">
                  <c:v>673.88</c:v>
                </c:pt>
                <c:pt idx="2">
                  <c:v>628.88</c:v>
                </c:pt>
                <c:pt idx="3">
                  <c:v>606.38</c:v>
                </c:pt>
                <c:pt idx="4">
                  <c:v>583.88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D429-C84F-849F-0EF021B10F03}"/>
            </c:ext>
          </c:extLst>
        </c:ser>
        <c:ser>
          <c:idx val="206"/>
          <c:order val="206"/>
          <c:tx>
            <c:strRef>
              <c:f>data!$B$217</c:f>
              <c:strCache>
                <c:ptCount val="1"/>
                <c:pt idx="0">
                  <c:v>Venezuela (Bolivarian Republic of)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data!$C$217:$G$217</c:f>
              <c:numCache>
                <c:formatCode>0</c:formatCode>
                <c:ptCount val="5"/>
                <c:pt idx="0">
                  <c:v>52026</c:v>
                </c:pt>
                <c:pt idx="1">
                  <c:v>49151</c:v>
                </c:pt>
                <c:pt idx="2">
                  <c:v>47505</c:v>
                </c:pt>
                <c:pt idx="3">
                  <c:v>46683</c:v>
                </c:pt>
                <c:pt idx="4">
                  <c:v>46230.9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D429-C84F-849F-0EF021B10F03}"/>
            </c:ext>
          </c:extLst>
        </c:ser>
        <c:ser>
          <c:idx val="207"/>
          <c:order val="207"/>
          <c:tx>
            <c:strRef>
              <c:f>data!$B$218</c:f>
              <c:strCache>
                <c:ptCount val="1"/>
                <c:pt idx="0">
                  <c:v>Sao Tome and Principe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data!$C$218:$G$218</c:f>
              <c:numCache>
                <c:formatCode>0</c:formatCode>
                <c:ptCount val="5"/>
                <c:pt idx="0">
                  <c:v>58.62</c:v>
                </c:pt>
                <c:pt idx="1">
                  <c:v>58.36</c:v>
                </c:pt>
                <c:pt idx="2">
                  <c:v>58.1</c:v>
                </c:pt>
                <c:pt idx="3">
                  <c:v>55</c:v>
                </c:pt>
                <c:pt idx="4">
                  <c:v>51.9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F-D429-C84F-849F-0EF021B10F03}"/>
            </c:ext>
          </c:extLst>
        </c:ser>
        <c:ser>
          <c:idx val="208"/>
          <c:order val="208"/>
          <c:tx>
            <c:strRef>
              <c:f>data!$B$219</c:f>
              <c:strCache>
                <c:ptCount val="1"/>
                <c:pt idx="0">
                  <c:v>Comoros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data!$C$219:$G$219</c:f>
              <c:numCache>
                <c:formatCode>0</c:formatCode>
                <c:ptCount val="5"/>
                <c:pt idx="0">
                  <c:v>46.06</c:v>
                </c:pt>
                <c:pt idx="1">
                  <c:v>41.68</c:v>
                </c:pt>
                <c:pt idx="2">
                  <c:v>37.299999999999997</c:v>
                </c:pt>
                <c:pt idx="3">
                  <c:v>35.11</c:v>
                </c:pt>
                <c:pt idx="4">
                  <c:v>32.92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D429-C84F-849F-0EF021B10F03}"/>
            </c:ext>
          </c:extLst>
        </c:ser>
        <c:ser>
          <c:idx val="209"/>
          <c:order val="209"/>
          <c:tx>
            <c:strRef>
              <c:f>data!$B$220</c:f>
              <c:strCache>
                <c:ptCount val="1"/>
                <c:pt idx="0">
                  <c:v>Democratic People's Republic of Korea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data!$C$220:$G$220</c:f>
              <c:numCache>
                <c:formatCode>0</c:formatCode>
                <c:ptCount val="5"/>
                <c:pt idx="0">
                  <c:v>6912.03</c:v>
                </c:pt>
                <c:pt idx="1">
                  <c:v>6454.69</c:v>
                </c:pt>
                <c:pt idx="2">
                  <c:v>6242.39</c:v>
                </c:pt>
                <c:pt idx="3">
                  <c:v>6136.24</c:v>
                </c:pt>
                <c:pt idx="4">
                  <c:v>6030.09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D429-C84F-849F-0EF021B10F03}"/>
            </c:ext>
          </c:extLst>
        </c:ser>
        <c:ser>
          <c:idx val="210"/>
          <c:order val="210"/>
          <c:tx>
            <c:strRef>
              <c:f>data!$B$221</c:f>
              <c:strCache>
                <c:ptCount val="1"/>
                <c:pt idx="0">
                  <c:v>Sierra Leone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data!$C$221:$G$221</c:f>
              <c:numCache>
                <c:formatCode>0</c:formatCode>
                <c:ptCount val="5"/>
                <c:pt idx="0">
                  <c:v>3126.7</c:v>
                </c:pt>
                <c:pt idx="1">
                  <c:v>2929.43</c:v>
                </c:pt>
                <c:pt idx="2">
                  <c:v>2732.16</c:v>
                </c:pt>
                <c:pt idx="3">
                  <c:v>2633.53</c:v>
                </c:pt>
                <c:pt idx="4">
                  <c:v>2534.88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2-D429-C84F-849F-0EF021B10F03}"/>
            </c:ext>
          </c:extLst>
        </c:ser>
        <c:ser>
          <c:idx val="211"/>
          <c:order val="211"/>
          <c:tx>
            <c:strRef>
              <c:f>data!$B$222</c:f>
              <c:strCache>
                <c:ptCount val="1"/>
                <c:pt idx="0">
                  <c:v>Mozambique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data!$C$222:$G$222</c:f>
              <c:numCache>
                <c:formatCode>0</c:formatCode>
                <c:ptCount val="5"/>
                <c:pt idx="0">
                  <c:v>43378</c:v>
                </c:pt>
                <c:pt idx="1">
                  <c:v>41188</c:v>
                </c:pt>
                <c:pt idx="2">
                  <c:v>38972.14</c:v>
                </c:pt>
                <c:pt idx="3">
                  <c:v>37940</c:v>
                </c:pt>
                <c:pt idx="4">
                  <c:v>36743.760000000002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3-D429-C84F-849F-0EF021B10F03}"/>
            </c:ext>
          </c:extLst>
        </c:ser>
        <c:ser>
          <c:idx val="212"/>
          <c:order val="212"/>
          <c:tx>
            <c:strRef>
              <c:f>data!$B$223</c:f>
              <c:strCache>
                <c:ptCount val="1"/>
                <c:pt idx="0">
                  <c:v>Ghana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data!$C$223:$G$223</c:f>
              <c:numCache>
                <c:formatCode>#,##0</c:formatCode>
                <c:ptCount val="5"/>
                <c:pt idx="0">
                  <c:v>9924.26</c:v>
                </c:pt>
                <c:pt idx="1">
                  <c:v>8848.61</c:v>
                </c:pt>
                <c:pt idx="2">
                  <c:v>7942.93</c:v>
                </c:pt>
                <c:pt idx="3">
                  <c:v>7880.44</c:v>
                </c:pt>
                <c:pt idx="4">
                  <c:v>7985.71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D429-C84F-849F-0EF021B10F03}"/>
            </c:ext>
          </c:extLst>
        </c:ser>
        <c:ser>
          <c:idx val="213"/>
          <c:order val="213"/>
          <c:tx>
            <c:strRef>
              <c:f>data!$B$224</c:f>
              <c:strCache>
                <c:ptCount val="1"/>
                <c:pt idx="0">
                  <c:v>Ecuador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data!$C$224:$G$224</c:f>
              <c:numCache>
                <c:formatCode>0</c:formatCode>
                <c:ptCount val="5"/>
                <c:pt idx="0">
                  <c:v>14632.21</c:v>
                </c:pt>
                <c:pt idx="1">
                  <c:v>13730.5</c:v>
                </c:pt>
                <c:pt idx="2">
                  <c:v>13028.19</c:v>
                </c:pt>
                <c:pt idx="3">
                  <c:v>12819.18</c:v>
                </c:pt>
                <c:pt idx="4">
                  <c:v>12497.83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5-D429-C84F-849F-0EF021B10F03}"/>
            </c:ext>
          </c:extLst>
        </c:ser>
        <c:ser>
          <c:idx val="214"/>
          <c:order val="214"/>
          <c:tx>
            <c:strRef>
              <c:f>data!$B$225</c:f>
              <c:strCache>
                <c:ptCount val="1"/>
                <c:pt idx="0">
                  <c:v>Equatorial Guinea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data!$C$225:$G$225</c:f>
              <c:numCache>
                <c:formatCode>0</c:formatCode>
                <c:ptCount val="5"/>
                <c:pt idx="0">
                  <c:v>2699.15</c:v>
                </c:pt>
                <c:pt idx="1">
                  <c:v>2615.58</c:v>
                </c:pt>
                <c:pt idx="2">
                  <c:v>2532.0100000000002</c:v>
                </c:pt>
                <c:pt idx="3">
                  <c:v>2490.2199999999998</c:v>
                </c:pt>
                <c:pt idx="4">
                  <c:v>2448.42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D429-C84F-849F-0EF021B10F03}"/>
            </c:ext>
          </c:extLst>
        </c:ser>
        <c:ser>
          <c:idx val="215"/>
          <c:order val="215"/>
          <c:tx>
            <c:strRef>
              <c:f>data!$B$226</c:f>
              <c:strCache>
                <c:ptCount val="1"/>
                <c:pt idx="0">
                  <c:v>Guinea-Bissau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data!$C$226:$G$226</c:f>
              <c:numCache>
                <c:formatCode>0</c:formatCode>
                <c:ptCount val="5"/>
                <c:pt idx="0">
                  <c:v>2233.33</c:v>
                </c:pt>
                <c:pt idx="1">
                  <c:v>2148.88</c:v>
                </c:pt>
                <c:pt idx="2">
                  <c:v>2064.4299999999998</c:v>
                </c:pt>
                <c:pt idx="3">
                  <c:v>2022.21</c:v>
                </c:pt>
                <c:pt idx="4">
                  <c:v>1980.01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7-D429-C84F-849F-0EF021B10F03}"/>
            </c:ext>
          </c:extLst>
        </c:ser>
        <c:ser>
          <c:idx val="216"/>
          <c:order val="216"/>
          <c:tx>
            <c:strRef>
              <c:f>data!$B$227</c:f>
              <c:strCache>
                <c:ptCount val="1"/>
                <c:pt idx="0">
                  <c:v>Liberia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data!$C$227:$G$227</c:f>
              <c:numCache>
                <c:formatCode>0</c:formatCode>
                <c:ptCount val="5"/>
                <c:pt idx="0">
                  <c:v>8525.24</c:v>
                </c:pt>
                <c:pt idx="1">
                  <c:v>8222.64</c:v>
                </c:pt>
                <c:pt idx="2">
                  <c:v>7920.04</c:v>
                </c:pt>
                <c:pt idx="3">
                  <c:v>7768.74</c:v>
                </c:pt>
                <c:pt idx="4">
                  <c:v>7617.44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D429-C84F-849F-0EF021B10F03}"/>
            </c:ext>
          </c:extLst>
        </c:ser>
        <c:ser>
          <c:idx val="217"/>
          <c:order val="217"/>
          <c:tx>
            <c:strRef>
              <c:f>data!$B$228</c:f>
              <c:strCache>
                <c:ptCount val="1"/>
                <c:pt idx="0">
                  <c:v>Montserrat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data!$C$228:$G$228</c:f>
              <c:numCache>
                <c:formatCode>General</c:formatCode>
                <c:ptCount val="5"/>
                <c:pt idx="0">
                  <c:v>3.5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9-D429-C84F-849F-0EF021B10F03}"/>
            </c:ext>
          </c:extLst>
        </c:ser>
        <c:ser>
          <c:idx val="218"/>
          <c:order val="218"/>
          <c:tx>
            <c:strRef>
              <c:f>data!$B$229</c:f>
              <c:strCache>
                <c:ptCount val="1"/>
                <c:pt idx="0">
                  <c:v>Angola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data!$C$229:$G$229</c:f>
              <c:numCache>
                <c:formatCode>0</c:formatCode>
                <c:ptCount val="5"/>
                <c:pt idx="0">
                  <c:v>79262.78</c:v>
                </c:pt>
                <c:pt idx="1">
                  <c:v>77708.61</c:v>
                </c:pt>
                <c:pt idx="2">
                  <c:v>72158</c:v>
                </c:pt>
                <c:pt idx="3">
                  <c:v>69382.69</c:v>
                </c:pt>
                <c:pt idx="4">
                  <c:v>66607.38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A-D429-C84F-849F-0EF021B10F03}"/>
            </c:ext>
          </c:extLst>
        </c:ser>
        <c:ser>
          <c:idx val="219"/>
          <c:order val="219"/>
          <c:tx>
            <c:strRef>
              <c:f>data!$B$230</c:f>
              <c:strCache>
                <c:ptCount val="1"/>
                <c:pt idx="0">
                  <c:v>Democratic Republic of the Congo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data!$C$230:$G$230</c:f>
              <c:numCache>
                <c:formatCode>0</c:formatCode>
                <c:ptCount val="5"/>
                <c:pt idx="0">
                  <c:v>150629</c:v>
                </c:pt>
                <c:pt idx="1">
                  <c:v>143899</c:v>
                </c:pt>
                <c:pt idx="2">
                  <c:v>137169</c:v>
                </c:pt>
                <c:pt idx="3">
                  <c:v>131662.12</c:v>
                </c:pt>
                <c:pt idx="4">
                  <c:v>126155.24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B-D429-C84F-849F-0EF021B10F03}"/>
            </c:ext>
          </c:extLst>
        </c:ser>
        <c:ser>
          <c:idx val="220"/>
          <c:order val="220"/>
          <c:tx>
            <c:strRef>
              <c:f>data!$B$231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data!$C$231:$G$231</c:f>
              <c:numCache>
                <c:formatCode>0</c:formatCode>
                <c:ptCount val="5"/>
                <c:pt idx="0">
                  <c:v>588898</c:v>
                </c:pt>
                <c:pt idx="1">
                  <c:v>551088.6</c:v>
                </c:pt>
                <c:pt idx="2">
                  <c:v>511580.7</c:v>
                </c:pt>
                <c:pt idx="3">
                  <c:v>503884.79999999999</c:v>
                </c:pt>
                <c:pt idx="4">
                  <c:v>496619.6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C-D429-C84F-849F-0EF021B10F03}"/>
            </c:ext>
          </c:extLst>
        </c:ser>
        <c:ser>
          <c:idx val="221"/>
          <c:order val="221"/>
          <c:tx>
            <c:strRef>
              <c:f>data!$B$232</c:f>
              <c:strCache>
                <c:ptCount val="1"/>
                <c:pt idx="0">
                  <c:v>Guatemala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data!$C$232:$G$232</c:f>
              <c:numCache>
                <c:formatCode>0</c:formatCode>
                <c:ptCount val="5"/>
                <c:pt idx="0">
                  <c:v>4781.2</c:v>
                </c:pt>
                <c:pt idx="1">
                  <c:v>4209.2</c:v>
                </c:pt>
                <c:pt idx="2">
                  <c:v>3722.6</c:v>
                </c:pt>
                <c:pt idx="3">
                  <c:v>3585.8</c:v>
                </c:pt>
                <c:pt idx="4">
                  <c:v>3527.8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D-D429-C84F-849F-0EF021B10F03}"/>
            </c:ext>
          </c:extLst>
        </c:ser>
        <c:ser>
          <c:idx val="222"/>
          <c:order val="222"/>
          <c:tx>
            <c:strRef>
              <c:f>data!$B$233</c:f>
              <c:strCache>
                <c:ptCount val="1"/>
                <c:pt idx="0">
                  <c:v>United Republic of Tanzania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data!$C$233:$G$233</c:f>
              <c:numCache>
                <c:formatCode>0</c:formatCode>
                <c:ptCount val="5"/>
                <c:pt idx="0">
                  <c:v>57390.01</c:v>
                </c:pt>
                <c:pt idx="1">
                  <c:v>53670.01</c:v>
                </c:pt>
                <c:pt idx="2">
                  <c:v>49950.01</c:v>
                </c:pt>
                <c:pt idx="3">
                  <c:v>48090</c:v>
                </c:pt>
                <c:pt idx="4">
                  <c:v>45745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E-D429-C84F-849F-0EF021B10F03}"/>
            </c:ext>
          </c:extLst>
        </c:ser>
        <c:ser>
          <c:idx val="223"/>
          <c:order val="223"/>
          <c:tx>
            <c:strRef>
              <c:f>data!$B$234</c:f>
              <c:strCache>
                <c:ptCount val="1"/>
                <c:pt idx="0">
                  <c:v>United States Virgin Islands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data!$C$234:$G$234</c:f>
              <c:numCache>
                <c:formatCode>General</c:formatCode>
                <c:ptCount val="5"/>
                <c:pt idx="0">
                  <c:v>24.54</c:v>
                </c:pt>
                <c:pt idx="1">
                  <c:v>20.47</c:v>
                </c:pt>
                <c:pt idx="2">
                  <c:v>18.43</c:v>
                </c:pt>
                <c:pt idx="3">
                  <c:v>19.16</c:v>
                </c:pt>
                <c:pt idx="4">
                  <c:v>19.91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F-D429-C84F-849F-0EF021B10F03}"/>
            </c:ext>
          </c:extLst>
        </c:ser>
        <c:ser>
          <c:idx val="224"/>
          <c:order val="224"/>
          <c:tx>
            <c:strRef>
              <c:f>'data (2)'!$B$228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(2)'!$C$228:$G$228</c:f>
              <c:numCache>
                <c:formatCode>0</c:formatCode>
                <c:ptCount val="5"/>
                <c:pt idx="0">
                  <c:v>588898</c:v>
                </c:pt>
                <c:pt idx="1">
                  <c:v>551088.6</c:v>
                </c:pt>
                <c:pt idx="2">
                  <c:v>511580.7</c:v>
                </c:pt>
                <c:pt idx="3">
                  <c:v>503884.79999999999</c:v>
                </c:pt>
                <c:pt idx="4">
                  <c:v>496619.6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0-D429-C84F-849F-0EF021B10F03}"/>
            </c:ext>
          </c:extLst>
        </c:ser>
        <c:ser>
          <c:idx val="225"/>
          <c:order val="225"/>
          <c:tx>
            <c:strRef>
              <c:f>'data (2)'!$B$229</c:f>
              <c:strCache>
                <c:ptCount val="1"/>
                <c:pt idx="0">
                  <c:v>United Republic of Tanzania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(2)'!$C$229:$G$229</c:f>
              <c:numCache>
                <c:formatCode>0</c:formatCode>
                <c:ptCount val="5"/>
                <c:pt idx="0">
                  <c:v>57390.01</c:v>
                </c:pt>
                <c:pt idx="1">
                  <c:v>53670.01</c:v>
                </c:pt>
                <c:pt idx="2">
                  <c:v>49950.01</c:v>
                </c:pt>
                <c:pt idx="3">
                  <c:v>48090</c:v>
                </c:pt>
                <c:pt idx="4">
                  <c:v>45745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1-D429-C84F-849F-0EF021B10F03}"/>
            </c:ext>
          </c:extLst>
        </c:ser>
        <c:ser>
          <c:idx val="226"/>
          <c:order val="226"/>
          <c:tx>
            <c:strRef>
              <c:f>data!$B$237</c:f>
              <c:strCache>
                <c:ptCount val="1"/>
                <c:pt idx="0">
                  <c:v>Mayotte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data!$C$237:$G$237</c:f>
              <c:numCache>
                <c:formatCode>0</c:formatCode>
                <c:ptCount val="5"/>
                <c:pt idx="0">
                  <c:v>19.100000000000001</c:v>
                </c:pt>
                <c:pt idx="1">
                  <c:v>15.67</c:v>
                </c:pt>
                <c:pt idx="2">
                  <c:v>14.41</c:v>
                </c:pt>
                <c:pt idx="3">
                  <c:v>14.14</c:v>
                </c:pt>
                <c:pt idx="4">
                  <c:v>13.89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2-D429-C84F-849F-0EF021B10F03}"/>
            </c:ext>
          </c:extLst>
        </c:ser>
        <c:ser>
          <c:idx val="227"/>
          <c:order val="227"/>
          <c:tx>
            <c:strRef>
              <c:f>data!$B$238</c:f>
              <c:strCache>
                <c:ptCount val="1"/>
                <c:pt idx="0">
                  <c:v>Belize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data!$C$238:$G$238</c:f>
              <c:numCache>
                <c:formatCode>0</c:formatCode>
                <c:ptCount val="5"/>
                <c:pt idx="0">
                  <c:v>1600.03</c:v>
                </c:pt>
                <c:pt idx="1">
                  <c:v>1459.3</c:v>
                </c:pt>
                <c:pt idx="2">
                  <c:v>1391.39</c:v>
                </c:pt>
                <c:pt idx="3">
                  <c:v>1332.83</c:v>
                </c:pt>
                <c:pt idx="4">
                  <c:v>1277.05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3-D429-C84F-849F-0EF021B10F03}"/>
            </c:ext>
          </c:extLst>
        </c:ser>
        <c:ser>
          <c:idx val="228"/>
          <c:order val="228"/>
          <c:tx>
            <c:strRef>
              <c:f>data!$B$239</c:f>
              <c:strCache>
                <c:ptCount val="1"/>
                <c:pt idx="0">
                  <c:v>Benin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data!$C$239:$G$239</c:f>
              <c:numCache>
                <c:formatCode>0</c:formatCode>
                <c:ptCount val="5"/>
                <c:pt idx="0">
                  <c:v>4835.1499999999996</c:v>
                </c:pt>
                <c:pt idx="1">
                  <c:v>4135.1499999999996</c:v>
                </c:pt>
                <c:pt idx="2">
                  <c:v>3635.15</c:v>
                </c:pt>
                <c:pt idx="3">
                  <c:v>3385.15</c:v>
                </c:pt>
                <c:pt idx="4">
                  <c:v>3135.15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4-D429-C84F-849F-0EF021B10F03}"/>
            </c:ext>
          </c:extLst>
        </c:ser>
        <c:ser>
          <c:idx val="229"/>
          <c:order val="229"/>
          <c:tx>
            <c:strRef>
              <c:f>data!$B$240</c:f>
              <c:strCache>
                <c:ptCount val="1"/>
                <c:pt idx="0">
                  <c:v>Côte d’Ivoire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data!$C$240:$G$240</c:f>
              <c:numCache>
                <c:formatCode>0</c:formatCode>
                <c:ptCount val="5"/>
                <c:pt idx="0">
                  <c:v>7850.86</c:v>
                </c:pt>
                <c:pt idx="1">
                  <c:v>5094.45</c:v>
                </c:pt>
                <c:pt idx="2">
                  <c:v>3965.58</c:v>
                </c:pt>
                <c:pt idx="3">
                  <c:v>3401.15</c:v>
                </c:pt>
                <c:pt idx="4">
                  <c:v>2836.71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5-D429-C84F-849F-0EF021B10F03}"/>
            </c:ext>
          </c:extLst>
        </c:ser>
        <c:ser>
          <c:idx val="230"/>
          <c:order val="230"/>
          <c:tx>
            <c:strRef>
              <c:f>data!$B$241</c:f>
              <c:strCache>
                <c:ptCount val="1"/>
                <c:pt idx="0">
                  <c:v>Myanmar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data!$C$241:$G$241</c:f>
              <c:numCache>
                <c:formatCode>0</c:formatCode>
                <c:ptCount val="5"/>
                <c:pt idx="0">
                  <c:v>39218.480000000003</c:v>
                </c:pt>
                <c:pt idx="1">
                  <c:v>34868.11</c:v>
                </c:pt>
                <c:pt idx="2">
                  <c:v>31441</c:v>
                </c:pt>
                <c:pt idx="3">
                  <c:v>29992.44</c:v>
                </c:pt>
                <c:pt idx="4">
                  <c:v>28543.89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6-D429-C84F-849F-0EF021B10F03}"/>
            </c:ext>
          </c:extLst>
        </c:ser>
        <c:ser>
          <c:idx val="231"/>
          <c:order val="231"/>
          <c:tx>
            <c:strRef>
              <c:f>'data (2)'!$B$235</c:f>
              <c:strCache>
                <c:ptCount val="1"/>
                <c:pt idx="0">
                  <c:v>Indonesia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(2)'!$C$235:$G$235</c:f>
              <c:numCache>
                <c:formatCode>0</c:formatCode>
                <c:ptCount val="5"/>
                <c:pt idx="0">
                  <c:v>118545</c:v>
                </c:pt>
                <c:pt idx="1">
                  <c:v>101280</c:v>
                </c:pt>
                <c:pt idx="2">
                  <c:v>99659.199999999997</c:v>
                </c:pt>
                <c:pt idx="3">
                  <c:v>95027.9</c:v>
                </c:pt>
                <c:pt idx="4">
                  <c:v>92133.2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7-D429-C84F-849F-0EF021B10F03}"/>
            </c:ext>
          </c:extLst>
        </c:ser>
        <c:ser>
          <c:idx val="232"/>
          <c:order val="232"/>
          <c:tx>
            <c:strRef>
              <c:f>'data (2)'!$B$236</c:f>
              <c:strCache>
                <c:ptCount val="1"/>
                <c:pt idx="0">
                  <c:v>Côte d’Ivoire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(2)'!$C$236:$G$236</c:f>
              <c:numCache>
                <c:formatCode>0</c:formatCode>
                <c:ptCount val="5"/>
                <c:pt idx="0">
                  <c:v>7850.86</c:v>
                </c:pt>
                <c:pt idx="1">
                  <c:v>5094.45</c:v>
                </c:pt>
                <c:pt idx="2">
                  <c:v>3965.58</c:v>
                </c:pt>
                <c:pt idx="3">
                  <c:v>3401.15</c:v>
                </c:pt>
                <c:pt idx="4">
                  <c:v>2836.71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8-D429-C84F-849F-0EF021B10F03}"/>
            </c:ext>
          </c:extLst>
        </c:ser>
        <c:ser>
          <c:idx val="233"/>
          <c:order val="233"/>
          <c:tx>
            <c:strRef>
              <c:f>'data (2)'!$B$237</c:f>
              <c:strCache>
                <c:ptCount val="1"/>
                <c:pt idx="0">
                  <c:v>Myanmar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(2)'!$C$237:$G$237</c:f>
              <c:numCache>
                <c:formatCode>0</c:formatCode>
                <c:ptCount val="5"/>
                <c:pt idx="0">
                  <c:v>39218.480000000003</c:v>
                </c:pt>
                <c:pt idx="1">
                  <c:v>34868.11</c:v>
                </c:pt>
                <c:pt idx="2">
                  <c:v>31441</c:v>
                </c:pt>
                <c:pt idx="3">
                  <c:v>29992.44</c:v>
                </c:pt>
                <c:pt idx="4">
                  <c:v>28543.89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9-D429-C84F-849F-0EF021B10F03}"/>
            </c:ext>
          </c:extLst>
        </c:ser>
        <c:ser>
          <c:idx val="234"/>
          <c:order val="234"/>
          <c:tx>
            <c:strRef>
              <c:f>data!$B$245</c:f>
              <c:strCache>
                <c:ptCount val="1"/>
                <c:pt idx="0">
                  <c:v>Paraguay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data!$C$253:$G$253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data!$C$245:$G$245</c:f>
              <c:numCache>
                <c:formatCode>0</c:formatCode>
                <c:ptCount val="5"/>
                <c:pt idx="0">
                  <c:v>25545.86</c:v>
                </c:pt>
                <c:pt idx="1">
                  <c:v>22991.65</c:v>
                </c:pt>
                <c:pt idx="2">
                  <c:v>19570.21</c:v>
                </c:pt>
                <c:pt idx="3">
                  <c:v>17498.939999999999</c:v>
                </c:pt>
                <c:pt idx="4">
                  <c:v>16102.26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A-D429-C84F-849F-0EF021B10F03}"/>
            </c:ext>
          </c:extLst>
        </c:ser>
        <c:ser>
          <c:idx val="235"/>
          <c:order val="235"/>
          <c:tx>
            <c:strRef>
              <c:f>'data (2)'!$B$239</c:f>
              <c:strCache>
                <c:ptCount val="1"/>
                <c:pt idx="0">
                  <c:v>Paraguay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(2)'!$C$246:$G$246</c:f>
              <c:numCache>
                <c:formatCode>0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</c:numCache>
            </c:numRef>
          </c:cat>
          <c:val>
            <c:numRef>
              <c:f>'data (2)'!$C$239:$G$239</c:f>
              <c:numCache>
                <c:formatCode>0</c:formatCode>
                <c:ptCount val="5"/>
                <c:pt idx="0">
                  <c:v>25545.86</c:v>
                </c:pt>
                <c:pt idx="1">
                  <c:v>22991.65</c:v>
                </c:pt>
                <c:pt idx="2">
                  <c:v>19570.21</c:v>
                </c:pt>
                <c:pt idx="3">
                  <c:v>17498.939999999999</c:v>
                </c:pt>
                <c:pt idx="4">
                  <c:v>16102.26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B-D429-C84F-849F-0EF021B10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044112"/>
        <c:axId val="2005093264"/>
      </c:lineChart>
      <c:catAx>
        <c:axId val="200504411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2005093264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2005093264"/>
        <c:scaling>
          <c:logBase val="2"/>
          <c:orientation val="minMax"/>
          <c:max val="20000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Forest Area</a:t>
                </a:r>
                <a:r>
                  <a:rPr lang="en-GB" baseline="0"/>
                  <a:t> [1000 ha]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200504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</a:t>
            </a:r>
            <a:r>
              <a:rPr lang="en-GB" baseline="0"/>
              <a:t>ef</a:t>
            </a:r>
            <a:r>
              <a:rPr lang="en-GB"/>
              <a:t>orestation tradjetories</a:t>
            </a:r>
            <a:r>
              <a:rPr lang="en-GB" baseline="0"/>
              <a:t> for highest achieving nations </a:t>
            </a:r>
            <a:r>
              <a:rPr lang="en-GB"/>
              <a:t>(ranked by net area growth</a:t>
            </a:r>
            <a:r>
              <a:rPr lang="en-GB" baseline="0"/>
              <a:t> 1990-2020)</a:t>
            </a:r>
            <a:br>
              <a:rPr lang="en-GB" baseline="0"/>
            </a:br>
            <a:r>
              <a:rPr lang="en-GB" baseline="0"/>
              <a:t>Data normalised to annual growth average of (four) 5/10 yr sample periods</a:t>
            </a:r>
            <a:br>
              <a:rPr lang="en-GB" baseline="0"/>
            </a:br>
            <a:r>
              <a:rPr lang="en-GB" baseline="0"/>
              <a:t>[1000 ha/year]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(2)'!$B$4</c:f>
              <c:strCache>
                <c:ptCount val="1"/>
                <c:pt idx="0">
                  <c:v>Viet 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(2)'!$AC$4:$AF$4</c:f>
              <c:numCache>
                <c:formatCode>#,##0</c:formatCode>
                <c:ptCount val="4"/>
                <c:pt idx="0">
                  <c:v>240.81400000000014</c:v>
                </c:pt>
                <c:pt idx="1">
                  <c:v>160.3959999999999</c:v>
                </c:pt>
                <c:pt idx="2">
                  <c:v>134.76000000000022</c:v>
                </c:pt>
                <c:pt idx="3">
                  <c:v>116.24599999999991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66-1C4C-9E65-4C8B8A3DDC4B}"/>
            </c:ext>
          </c:extLst>
        </c:ser>
        <c:ser>
          <c:idx val="1"/>
          <c:order val="1"/>
          <c:tx>
            <c:strRef>
              <c:f>data!$B$12</c:f>
              <c:strCache>
                <c:ptCount val="1"/>
                <c:pt idx="0">
                  <c:v>Viet Nam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data!$AD$12:$AG$12</c:f>
              <c:numCache>
                <c:formatCode>#,##0</c:formatCode>
                <c:ptCount val="4"/>
                <c:pt idx="0">
                  <c:v>240.81400000000014</c:v>
                </c:pt>
                <c:pt idx="1">
                  <c:v>160.3959999999999</c:v>
                </c:pt>
                <c:pt idx="2">
                  <c:v>134.76000000000022</c:v>
                </c:pt>
                <c:pt idx="3">
                  <c:v>116.24599999999991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66-1C4C-9E65-4C8B8A3DDC4B}"/>
            </c:ext>
          </c:extLst>
        </c:ser>
        <c:ser>
          <c:idx val="2"/>
          <c:order val="2"/>
          <c:tx>
            <c:strRef>
              <c:f>'data (2)'!$B$6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(2)'!$AC$6:$AF$6</c:f>
              <c:numCache>
                <c:formatCode>#,##0</c:formatCode>
                <c:ptCount val="4"/>
                <c:pt idx="0">
                  <c:v>37.700000000000003</c:v>
                </c:pt>
                <c:pt idx="1">
                  <c:v>49.7</c:v>
                </c:pt>
                <c:pt idx="2">
                  <c:v>50.4</c:v>
                </c:pt>
                <c:pt idx="3">
                  <c:v>11.6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66-1C4C-9E65-4C8B8A3DDC4B}"/>
            </c:ext>
          </c:extLst>
        </c:ser>
        <c:ser>
          <c:idx val="3"/>
          <c:order val="3"/>
          <c:tx>
            <c:strRef>
              <c:f>data!$B$14</c:f>
              <c:strCache>
                <c:ptCount val="1"/>
                <c:pt idx="0">
                  <c:v>Cuba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data!$AD$14:$AG$14</c:f>
              <c:numCache>
                <c:formatCode>#,##0</c:formatCode>
                <c:ptCount val="4"/>
                <c:pt idx="0">
                  <c:v>37.700000000000003</c:v>
                </c:pt>
                <c:pt idx="1">
                  <c:v>49.7</c:v>
                </c:pt>
                <c:pt idx="2">
                  <c:v>50.4</c:v>
                </c:pt>
                <c:pt idx="3">
                  <c:v>11.6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66-1C4C-9E65-4C8B8A3DDC4B}"/>
            </c:ext>
          </c:extLst>
        </c:ser>
        <c:ser>
          <c:idx val="4"/>
          <c:order val="4"/>
          <c:tx>
            <c:strRef>
              <c:f>'data (2)'!$B$8</c:f>
              <c:strCache>
                <c:ptCount val="1"/>
                <c:pt idx="0">
                  <c:v>Dominican Republic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(2)'!$AC$8:$AF$8</c:f>
              <c:numCache>
                <c:formatCode>#,##0</c:formatCode>
                <c:ptCount val="4"/>
                <c:pt idx="0">
                  <c:v>37.757999999999996</c:v>
                </c:pt>
                <c:pt idx="1">
                  <c:v>10.064999999999987</c:v>
                </c:pt>
                <c:pt idx="2">
                  <c:v>6.1060000000000398</c:v>
                </c:pt>
                <c:pt idx="3">
                  <c:v>8.0899999999999643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66-1C4C-9E65-4C8B8A3DDC4B}"/>
            </c:ext>
          </c:extLst>
        </c:ser>
        <c:ser>
          <c:idx val="5"/>
          <c:order val="5"/>
          <c:tx>
            <c:strRef>
              <c:f>'data (2)'!$B$9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(2)'!$AC$9:$AF$9</c:f>
              <c:numCache>
                <c:formatCode>#,##0</c:formatCode>
                <c:ptCount val="4"/>
                <c:pt idx="0">
                  <c:v>318.92700000000002</c:v>
                </c:pt>
                <c:pt idx="1">
                  <c:v>145.14099999999999</c:v>
                </c:pt>
                <c:pt idx="2">
                  <c:v>1.168000000000029</c:v>
                </c:pt>
                <c:pt idx="3">
                  <c:v>4.1979999999995927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66-1C4C-9E65-4C8B8A3DDC4B}"/>
            </c:ext>
          </c:extLst>
        </c:ser>
        <c:ser>
          <c:idx val="6"/>
          <c:order val="6"/>
          <c:tx>
            <c:strRef>
              <c:f>'data (2)'!$B$10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(2)'!$AC$10:$AF$10</c:f>
              <c:numCache>
                <c:formatCode>#,##0</c:formatCode>
                <c:ptCount val="4"/>
                <c:pt idx="0">
                  <c:v>57.1</c:v>
                </c:pt>
                <c:pt idx="1">
                  <c:v>36.229999999999997</c:v>
                </c:pt>
                <c:pt idx="2">
                  <c:v>37.740000000000009</c:v>
                </c:pt>
                <c:pt idx="3">
                  <c:v>22.2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66-1C4C-9E65-4C8B8A3DDC4B}"/>
            </c:ext>
          </c:extLst>
        </c:ser>
        <c:ser>
          <c:idx val="7"/>
          <c:order val="7"/>
          <c:tx>
            <c:strRef>
              <c:f>data!$B$18</c:f>
              <c:strCache>
                <c:ptCount val="1"/>
                <c:pt idx="0">
                  <c:v>Cabo Verde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data!$AD$18:$AG$18</c:f>
              <c:numCache>
                <c:formatCode>#,##0</c:formatCode>
                <c:ptCount val="4"/>
                <c:pt idx="0">
                  <c:v>2.4339999999999997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66-1C4C-9E65-4C8B8A3DDC4B}"/>
            </c:ext>
          </c:extLst>
        </c:ser>
        <c:ser>
          <c:idx val="8"/>
          <c:order val="8"/>
          <c:tx>
            <c:strRef>
              <c:f>data!$B$19</c:f>
              <c:strCache>
                <c:ptCount val="1"/>
                <c:pt idx="0">
                  <c:v>Guam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data!$AD$19:$AG$19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966-1C4C-9E65-4C8B8A3DDC4B}"/>
            </c:ext>
          </c:extLst>
        </c:ser>
        <c:ser>
          <c:idx val="9"/>
          <c:order val="9"/>
          <c:tx>
            <c:strRef>
              <c:f>data!$B$20</c:f>
              <c:strCache>
                <c:ptCount val="1"/>
                <c:pt idx="0">
                  <c:v>Palau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data!$AD$20:$AG$20</c:f>
              <c:numCache>
                <c:formatCode>#,##0</c:formatCode>
                <c:ptCount val="4"/>
                <c:pt idx="0">
                  <c:v>0.14299999999999996</c:v>
                </c:pt>
                <c:pt idx="1">
                  <c:v>9.8000000000000392E-2</c:v>
                </c:pt>
                <c:pt idx="2">
                  <c:v>8.5999999999999938E-2</c:v>
                </c:pt>
                <c:pt idx="3">
                  <c:v>8.3999999999998923E-2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966-1C4C-9E65-4C8B8A3DDC4B}"/>
            </c:ext>
          </c:extLst>
        </c:ser>
        <c:ser>
          <c:idx val="10"/>
          <c:order val="10"/>
          <c:tx>
            <c:strRef>
              <c:f>data!$B$21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data!$AD$21:$AG$21</c:f>
              <c:numCache>
                <c:formatCode>#,##0</c:formatCode>
                <c:ptCount val="4"/>
                <c:pt idx="0">
                  <c:v>57.1</c:v>
                </c:pt>
                <c:pt idx="1">
                  <c:v>36.229999999999997</c:v>
                </c:pt>
                <c:pt idx="2">
                  <c:v>37.740000000000009</c:v>
                </c:pt>
                <c:pt idx="3">
                  <c:v>22.2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966-1C4C-9E65-4C8B8A3DDC4B}"/>
            </c:ext>
          </c:extLst>
        </c:ser>
        <c:ser>
          <c:idx val="11"/>
          <c:order val="11"/>
          <c:tx>
            <c:strRef>
              <c:f>'data (2)'!$B$15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(2)'!$AC$15:$AF$15</c:f>
              <c:numCache>
                <c:formatCode>#,##0</c:formatCode>
                <c:ptCount val="4"/>
                <c:pt idx="0">
                  <c:v>77.95</c:v>
                </c:pt>
                <c:pt idx="1">
                  <c:v>65.87900000000009</c:v>
                </c:pt>
                <c:pt idx="2">
                  <c:v>53.807999999999808</c:v>
                </c:pt>
                <c:pt idx="3">
                  <c:v>53.809999999999853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966-1C4C-9E65-4C8B8A3DDC4B}"/>
            </c:ext>
          </c:extLst>
        </c:ser>
        <c:ser>
          <c:idx val="12"/>
          <c:order val="12"/>
          <c:tx>
            <c:strRef>
              <c:f>'data (2)'!$B$16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(2)'!$AC$16:$AF$16</c:f>
              <c:numCache>
                <c:formatCode>#,##0</c:formatCode>
                <c:ptCount val="4"/>
                <c:pt idx="0">
                  <c:v>1985.9959999999992</c:v>
                </c:pt>
                <c:pt idx="1">
                  <c:v>2360.9830000000015</c:v>
                </c:pt>
                <c:pt idx="2">
                  <c:v>1936.773999999999</c:v>
                </c:pt>
                <c:pt idx="3">
                  <c:v>1936.7859999999987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966-1C4C-9E65-4C8B8A3DDC4B}"/>
            </c:ext>
          </c:extLst>
        </c:ser>
        <c:ser>
          <c:idx val="13"/>
          <c:order val="13"/>
          <c:tx>
            <c:strRef>
              <c:f>'data (2)'!$B$17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(2)'!$AC$17:$AF$17</c:f>
              <c:numCache>
                <c:formatCode>#,##0</c:formatCode>
                <c:ptCount val="4"/>
                <c:pt idx="0">
                  <c:v>4.8</c:v>
                </c:pt>
                <c:pt idx="1">
                  <c:v>36.200000000000003</c:v>
                </c:pt>
                <c:pt idx="2">
                  <c:v>19.2</c:v>
                </c:pt>
                <c:pt idx="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966-1C4C-9E65-4C8B8A3DDC4B}"/>
            </c:ext>
          </c:extLst>
        </c:ser>
        <c:ser>
          <c:idx val="14"/>
          <c:order val="14"/>
          <c:tx>
            <c:strRef>
              <c:f>data!$B$25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data!$AD$25:$AG$25</c:f>
              <c:numCache>
                <c:formatCode>#,##0</c:formatCode>
                <c:ptCount val="4"/>
                <c:pt idx="0">
                  <c:v>9.9280000000000204</c:v>
                </c:pt>
                <c:pt idx="1">
                  <c:v>9.9289999999999967</c:v>
                </c:pt>
                <c:pt idx="2">
                  <c:v>1.9779999999999744</c:v>
                </c:pt>
                <c:pt idx="3">
                  <c:v>1.9800000000000182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966-1C4C-9E65-4C8B8A3DDC4B}"/>
            </c:ext>
          </c:extLst>
        </c:ser>
        <c:ser>
          <c:idx val="15"/>
          <c:order val="15"/>
          <c:tx>
            <c:strRef>
              <c:f>data!$B$26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data!$AD$26:$AG$26</c:f>
              <c:numCache>
                <c:formatCode>#,##0</c:formatCode>
                <c:ptCount val="4"/>
                <c:pt idx="0">
                  <c:v>3.2989999999999782</c:v>
                </c:pt>
                <c:pt idx="1">
                  <c:v>9.7130000000000116</c:v>
                </c:pt>
                <c:pt idx="2">
                  <c:v>16.998000000000047</c:v>
                </c:pt>
                <c:pt idx="3">
                  <c:v>3.4779999999999744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966-1C4C-9E65-4C8B8A3DDC4B}"/>
            </c:ext>
          </c:extLst>
        </c:ser>
        <c:ser>
          <c:idx val="16"/>
          <c:order val="16"/>
          <c:tx>
            <c:strRef>
              <c:f>data!$B$27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data!$AD$27:$AG$27</c:f>
              <c:numCache>
                <c:formatCode>#,##0</c:formatCode>
                <c:ptCount val="4"/>
                <c:pt idx="0">
                  <c:v>4.8</c:v>
                </c:pt>
                <c:pt idx="1">
                  <c:v>36.200000000000003</c:v>
                </c:pt>
                <c:pt idx="2">
                  <c:v>19.2</c:v>
                </c:pt>
                <c:pt idx="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966-1C4C-9E65-4C8B8A3DDC4B}"/>
            </c:ext>
          </c:extLst>
        </c:ser>
        <c:ser>
          <c:idx val="17"/>
          <c:order val="17"/>
          <c:tx>
            <c:strRef>
              <c:f>data!$B$28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data!$AD$28:$AG$28</c:f>
              <c:numCache>
                <c:formatCode>#,##0</c:formatCode>
                <c:ptCount val="4"/>
                <c:pt idx="0">
                  <c:v>85.2</c:v>
                </c:pt>
                <c:pt idx="1">
                  <c:v>113.1</c:v>
                </c:pt>
                <c:pt idx="2">
                  <c:v>83.4</c:v>
                </c:pt>
                <c:pt idx="3">
                  <c:v>83.4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966-1C4C-9E65-4C8B8A3DDC4B}"/>
            </c:ext>
          </c:extLst>
        </c:ser>
        <c:ser>
          <c:idx val="18"/>
          <c:order val="18"/>
          <c:tx>
            <c:strRef>
              <c:f>data!$B$29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data!$AD$29:$AG$29</c:f>
              <c:numCache>
                <c:formatCode>#,##0</c:formatCode>
                <c:ptCount val="4"/>
                <c:pt idx="0">
                  <c:v>49.3</c:v>
                </c:pt>
                <c:pt idx="1">
                  <c:v>35.700000000000003</c:v>
                </c:pt>
                <c:pt idx="2">
                  <c:v>0.7</c:v>
                </c:pt>
                <c:pt idx="3">
                  <c:v>26.820000000000071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966-1C4C-9E65-4C8B8A3DDC4B}"/>
            </c:ext>
          </c:extLst>
        </c:ser>
        <c:ser>
          <c:idx val="19"/>
          <c:order val="19"/>
          <c:tx>
            <c:strRef>
              <c:f>data!$B$30</c:f>
              <c:strCache>
                <c:ptCount val="1"/>
                <c:pt idx="0">
                  <c:v>Serbia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data!$AD$30:$AG$30</c:f>
              <c:numCache>
                <c:formatCode>#,##0</c:formatCode>
                <c:ptCount val="4"/>
                <c:pt idx="0">
                  <c:v>14.7</c:v>
                </c:pt>
                <c:pt idx="1">
                  <c:v>25.3</c:v>
                </c:pt>
                <c:pt idx="2">
                  <c:v>1.30600000000004</c:v>
                </c:pt>
                <c:pt idx="3">
                  <c:v>0.62399999999997813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966-1C4C-9E65-4C8B8A3DDC4B}"/>
            </c:ext>
          </c:extLst>
        </c:ser>
        <c:ser>
          <c:idx val="20"/>
          <c:order val="20"/>
          <c:tx>
            <c:strRef>
              <c:f>'data (2)'!$B$24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(2)'!$AC$24:$AF$24</c:f>
              <c:numCache>
                <c:formatCode>#,##0</c:formatCode>
                <c:ptCount val="4"/>
                <c:pt idx="0">
                  <c:v>85.2</c:v>
                </c:pt>
                <c:pt idx="1">
                  <c:v>113.1</c:v>
                </c:pt>
                <c:pt idx="2">
                  <c:v>83.4</c:v>
                </c:pt>
                <c:pt idx="3">
                  <c:v>83.4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966-1C4C-9E65-4C8B8A3DDC4B}"/>
            </c:ext>
          </c:extLst>
        </c:ser>
        <c:ser>
          <c:idx val="21"/>
          <c:order val="21"/>
          <c:tx>
            <c:strRef>
              <c:f>data!$B$32</c:f>
              <c:strCache>
                <c:ptCount val="1"/>
                <c:pt idx="0">
                  <c:v>Ireland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data!$AD$32:$AG$32</c:f>
              <c:numCache>
                <c:formatCode>#,##0</c:formatCode>
                <c:ptCount val="4"/>
                <c:pt idx="0">
                  <c:v>16.872000000000003</c:v>
                </c:pt>
                <c:pt idx="1">
                  <c:v>9.0019999999999989</c:v>
                </c:pt>
                <c:pt idx="2">
                  <c:v>6.8579999999999925</c:v>
                </c:pt>
                <c:pt idx="3">
                  <c:v>5.4700000000000042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966-1C4C-9E65-4C8B8A3DDC4B}"/>
            </c:ext>
          </c:extLst>
        </c:ser>
        <c:ser>
          <c:idx val="22"/>
          <c:order val="22"/>
          <c:tx>
            <c:strRef>
              <c:f>data!$B$33</c:f>
              <c:strCache>
                <c:ptCount val="1"/>
                <c:pt idx="0">
                  <c:v>Martinique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data!$AD$33:$AG$33</c:f>
              <c:numCache>
                <c:formatCode>#,##0</c:formatCode>
                <c:ptCount val="4"/>
                <c:pt idx="0">
                  <c:v>8.9999999999999858E-2</c:v>
                </c:pt>
                <c:pt idx="1">
                  <c:v>0.15499999999999972</c:v>
                </c:pt>
                <c:pt idx="2">
                  <c:v>0.2</c:v>
                </c:pt>
                <c:pt idx="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966-1C4C-9E65-4C8B8A3DDC4B}"/>
            </c:ext>
          </c:extLst>
        </c:ser>
        <c:ser>
          <c:idx val="23"/>
          <c:order val="23"/>
          <c:tx>
            <c:strRef>
              <c:f>data!$B$34</c:f>
              <c:strCache>
                <c:ptCount val="1"/>
                <c:pt idx="0">
                  <c:v>Réunion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data!$AD$34:$AG$34</c:f>
              <c:numCache>
                <c:formatCode>#,##0</c:formatCode>
                <c:ptCount val="4"/>
                <c:pt idx="0">
                  <c:v>0.3019999999999996</c:v>
                </c:pt>
                <c:pt idx="1">
                  <c:v>0.3019999999999996</c:v>
                </c:pt>
                <c:pt idx="2">
                  <c:v>0.41000000000000225</c:v>
                </c:pt>
                <c:pt idx="3">
                  <c:v>0.47999999999999832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966-1C4C-9E65-4C8B8A3DDC4B}"/>
            </c:ext>
          </c:extLst>
        </c:ser>
        <c:ser>
          <c:idx val="24"/>
          <c:order val="24"/>
          <c:tx>
            <c:strRef>
              <c:f>data!$B$35</c:f>
              <c:strCache>
                <c:ptCount val="1"/>
                <c:pt idx="0">
                  <c:v>Lithuania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data!$AD$35:$AG$35</c:f>
              <c:numCache>
                <c:formatCode>#,##0</c:formatCode>
                <c:ptCount val="4"/>
                <c:pt idx="0">
                  <c:v>7.5</c:v>
                </c:pt>
                <c:pt idx="1">
                  <c:v>15</c:v>
                </c:pt>
                <c:pt idx="2">
                  <c:v>3.4</c:v>
                </c:pt>
                <c:pt idx="3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966-1C4C-9E65-4C8B8A3DDC4B}"/>
            </c:ext>
          </c:extLst>
        </c:ser>
        <c:ser>
          <c:idx val="25"/>
          <c:order val="25"/>
          <c:tx>
            <c:strRef>
              <c:f>'data (2)'!$B$29</c:f>
              <c:strCache>
                <c:ptCount val="1"/>
                <c:pt idx="0">
                  <c:v>Belarus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(2)'!$AC$29:$AF$29</c:f>
              <c:numCache>
                <c:formatCode>#,##0</c:formatCode>
                <c:ptCount val="4"/>
                <c:pt idx="0">
                  <c:v>49.3</c:v>
                </c:pt>
                <c:pt idx="1">
                  <c:v>35.700000000000003</c:v>
                </c:pt>
                <c:pt idx="2">
                  <c:v>0.7</c:v>
                </c:pt>
                <c:pt idx="3">
                  <c:v>26.820000000000071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966-1C4C-9E65-4C8B8A3DDC4B}"/>
            </c:ext>
          </c:extLst>
        </c:ser>
        <c:ser>
          <c:idx val="26"/>
          <c:order val="26"/>
          <c:tx>
            <c:strRef>
              <c:f>data!$B$37</c:f>
              <c:strCache>
                <c:ptCount val="1"/>
                <c:pt idx="0">
                  <c:v>Latvia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data!$AD$37:$AG$37</c:f>
              <c:numCache>
                <c:formatCode>#,##0</c:formatCode>
                <c:ptCount val="4"/>
                <c:pt idx="0">
                  <c:v>6.8</c:v>
                </c:pt>
                <c:pt idx="1">
                  <c:v>13.111999999999989</c:v>
                </c:pt>
                <c:pt idx="2">
                  <c:v>3.8640000000000327</c:v>
                </c:pt>
                <c:pt idx="3">
                  <c:v>3.8699999999999819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966-1C4C-9E65-4C8B8A3DDC4B}"/>
            </c:ext>
          </c:extLst>
        </c:ser>
        <c:ser>
          <c:idx val="27"/>
          <c:order val="27"/>
          <c:tx>
            <c:strRef>
              <c:f>data!$B$38</c:f>
              <c:strCache>
                <c:ptCount val="1"/>
                <c:pt idx="0">
                  <c:v>North Macedonia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data!$AD$38:$AG$38</c:f>
              <c:numCache>
                <c:formatCode>#,##0</c:formatCode>
                <c:ptCount val="4"/>
                <c:pt idx="0">
                  <c:v>4.5549999999999953</c:v>
                </c:pt>
                <c:pt idx="1">
                  <c:v>0.28799999999999953</c:v>
                </c:pt>
                <c:pt idx="2">
                  <c:v>6.7940000000000058</c:v>
                </c:pt>
                <c:pt idx="3">
                  <c:v>1.4180000000000064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966-1C4C-9E65-4C8B8A3DDC4B}"/>
            </c:ext>
          </c:extLst>
        </c:ser>
        <c:ser>
          <c:idx val="28"/>
          <c:order val="28"/>
          <c:tx>
            <c:strRef>
              <c:f>data!$B$39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data!$AD$39:$AG$39</c:f>
              <c:numCache>
                <c:formatCode>#,##0</c:formatCode>
                <c:ptCount val="4"/>
                <c:pt idx="0">
                  <c:v>36.486999999999895</c:v>
                </c:pt>
                <c:pt idx="1">
                  <c:v>93.473000000000326</c:v>
                </c:pt>
                <c:pt idx="2">
                  <c:v>109.44399999999951</c:v>
                </c:pt>
                <c:pt idx="3">
                  <c:v>118.01200000000026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966-1C4C-9E65-4C8B8A3DDC4B}"/>
            </c:ext>
          </c:extLst>
        </c:ser>
        <c:ser>
          <c:idx val="29"/>
          <c:order val="29"/>
          <c:tx>
            <c:strRef>
              <c:f>data!$B$40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data!$AD$40:$AG$40</c:f>
              <c:numCache>
                <c:formatCode>#,##0</c:formatCode>
                <c:ptCount val="4"/>
                <c:pt idx="0">
                  <c:v>4.268000000000006</c:v>
                </c:pt>
                <c:pt idx="1">
                  <c:v>3.8539999999999965</c:v>
                </c:pt>
                <c:pt idx="2">
                  <c:v>3.4380000000000108</c:v>
                </c:pt>
                <c:pt idx="3">
                  <c:v>3.4399999999999635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966-1C4C-9E65-4C8B8A3DDC4B}"/>
            </c:ext>
          </c:extLst>
        </c:ser>
        <c:ser>
          <c:idx val="30"/>
          <c:order val="30"/>
          <c:tx>
            <c:strRef>
              <c:f>'data (2)'!$B$34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(2)'!$AC$34:$AF$34</c:f>
              <c:numCache>
                <c:formatCode>#,##0</c:formatCode>
                <c:ptCount val="4"/>
                <c:pt idx="0">
                  <c:v>30.167999999999985</c:v>
                </c:pt>
                <c:pt idx="1">
                  <c:v>30.157000000000018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966-1C4C-9E65-4C8B8A3DDC4B}"/>
            </c:ext>
          </c:extLst>
        </c:ser>
        <c:ser>
          <c:idx val="31"/>
          <c:order val="31"/>
          <c:tx>
            <c:strRef>
              <c:f>data!$B$42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data!$AD$42:$AG$42</c:f>
              <c:numCache>
                <c:formatCode>#,##0</c:formatCode>
                <c:ptCount val="4"/>
                <c:pt idx="0">
                  <c:v>365.3</c:v>
                </c:pt>
                <c:pt idx="1">
                  <c:v>190.5</c:v>
                </c:pt>
                <c:pt idx="2">
                  <c:v>266.39999999999998</c:v>
                </c:pt>
                <c:pt idx="3">
                  <c:v>266.39999999999998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966-1C4C-9E65-4C8B8A3DDC4B}"/>
            </c:ext>
          </c:extLst>
        </c:ser>
        <c:ser>
          <c:idx val="32"/>
          <c:order val="32"/>
          <c:tx>
            <c:strRef>
              <c:f>'data (2)'!$B$36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(2)'!$AC$36:$AF$36</c:f>
              <c:numCache>
                <c:formatCode>#,##0</c:formatCode>
                <c:ptCount val="4"/>
                <c:pt idx="0">
                  <c:v>57.10100000000002</c:v>
                </c:pt>
                <c:pt idx="1">
                  <c:v>90.819999999999894</c:v>
                </c:pt>
                <c:pt idx="2">
                  <c:v>174.16400000000067</c:v>
                </c:pt>
                <c:pt idx="3">
                  <c:v>122.92399999999979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966-1C4C-9E65-4C8B8A3DDC4B}"/>
            </c:ext>
          </c:extLst>
        </c:ser>
        <c:ser>
          <c:idx val="33"/>
          <c:order val="33"/>
          <c:tx>
            <c:strRef>
              <c:f>data!$B$44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data!$AD$44:$AG$44</c:f>
              <c:numCache>
                <c:formatCode>#,##0</c:formatCode>
                <c:ptCount val="4"/>
                <c:pt idx="0">
                  <c:v>10.726999999999999</c:v>
                </c:pt>
                <c:pt idx="1">
                  <c:v>12.522000000000002</c:v>
                </c:pt>
                <c:pt idx="2">
                  <c:v>2.8860000000000126</c:v>
                </c:pt>
                <c:pt idx="3">
                  <c:v>-1.5619999999999892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966-1C4C-9E65-4C8B8A3DDC4B}"/>
            </c:ext>
          </c:extLst>
        </c:ser>
        <c:ser>
          <c:idx val="34"/>
          <c:order val="34"/>
          <c:tx>
            <c:strRef>
              <c:f>data!$B$45</c:f>
              <c:strCache>
                <c:ptCount val="1"/>
                <c:pt idx="0">
                  <c:v>Saint Vincent and the Grenadines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data!$AD$45:$AG$45</c:f>
              <c:numCache>
                <c:formatCode>#,##0</c:formatCode>
                <c:ptCount val="4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966-1C4C-9E65-4C8B8A3DDC4B}"/>
            </c:ext>
          </c:extLst>
        </c:ser>
        <c:ser>
          <c:idx val="35"/>
          <c:order val="35"/>
          <c:tx>
            <c:strRef>
              <c:f>data!$B$46</c:f>
              <c:strCache>
                <c:ptCount val="1"/>
                <c:pt idx="0">
                  <c:v>Costa Rica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data!$AD$46:$AG$46</c:f>
              <c:numCache>
                <c:formatCode>#,##0</c:formatCode>
                <c:ptCount val="4"/>
                <c:pt idx="0">
                  <c:v>-5.0180000000000291</c:v>
                </c:pt>
                <c:pt idx="1">
                  <c:v>1.3980000000000019</c:v>
                </c:pt>
                <c:pt idx="2">
                  <c:v>16.366000000000078</c:v>
                </c:pt>
                <c:pt idx="3">
                  <c:v>16.367999999999938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966-1C4C-9E65-4C8B8A3DDC4B}"/>
            </c:ext>
          </c:extLst>
        </c:ser>
        <c:ser>
          <c:idx val="36"/>
          <c:order val="36"/>
          <c:tx>
            <c:strRef>
              <c:f>data!$B$47</c:f>
              <c:strCache>
                <c:ptCount val="1"/>
                <c:pt idx="0">
                  <c:v>Slovenia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data!$AD$47:$AG$47</c:f>
              <c:numCache>
                <c:formatCode>#,##0</c:formatCode>
                <c:ptCount val="4"/>
                <c:pt idx="0">
                  <c:v>4.5</c:v>
                </c:pt>
                <c:pt idx="1">
                  <c:v>1.4</c:v>
                </c:pt>
                <c:pt idx="2">
                  <c:v>0.2</c:v>
                </c:pt>
                <c:pt idx="3">
                  <c:v>-2.0340000000000145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966-1C4C-9E65-4C8B8A3DDC4B}"/>
            </c:ext>
          </c:extLst>
        </c:ser>
        <c:ser>
          <c:idx val="37"/>
          <c:order val="37"/>
          <c:tx>
            <c:strRef>
              <c:f>data!$B$48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data!$AD$48:$AG$48</c:f>
              <c:numCache>
                <c:formatCode>#,##0</c:formatCode>
                <c:ptCount val="4"/>
                <c:pt idx="0">
                  <c:v>-0.5</c:v>
                </c:pt>
                <c:pt idx="1">
                  <c:v>14.9</c:v>
                </c:pt>
                <c:pt idx="2">
                  <c:v>77.192000000000007</c:v>
                </c:pt>
                <c:pt idx="3">
                  <c:v>5.6180000000000287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966-1C4C-9E65-4C8B8A3DDC4B}"/>
            </c:ext>
          </c:extLst>
        </c:ser>
        <c:ser>
          <c:idx val="38"/>
          <c:order val="38"/>
          <c:tx>
            <c:strRef>
              <c:f>data!$B$49</c:f>
              <c:strCache>
                <c:ptCount val="1"/>
                <c:pt idx="0">
                  <c:v>Guernsey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data!$AD$49:$AG$49</c:f>
              <c:numCache>
                <c:formatCode>#,##0</c:formatCode>
                <c:ptCount val="4"/>
                <c:pt idx="0">
                  <c:v>0</c:v>
                </c:pt>
                <c:pt idx="1">
                  <c:v>1.8999999999999996E-2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966-1C4C-9E65-4C8B8A3DDC4B}"/>
            </c:ext>
          </c:extLst>
        </c:ser>
        <c:ser>
          <c:idx val="39"/>
          <c:order val="39"/>
          <c:tx>
            <c:strRef>
              <c:f>'data (2)'!$B$43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(2)'!$AC$43:$AF$43</c:f>
              <c:numCache>
                <c:formatCode>#,##0</c:formatCode>
                <c:ptCount val="4"/>
                <c:pt idx="0">
                  <c:v>36.486999999999895</c:v>
                </c:pt>
                <c:pt idx="1">
                  <c:v>93.473000000000326</c:v>
                </c:pt>
                <c:pt idx="2">
                  <c:v>109.44399999999951</c:v>
                </c:pt>
                <c:pt idx="3">
                  <c:v>118.01200000000026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966-1C4C-9E65-4C8B8A3DDC4B}"/>
            </c:ext>
          </c:extLst>
        </c:ser>
        <c:ser>
          <c:idx val="40"/>
          <c:order val="40"/>
          <c:tx>
            <c:strRef>
              <c:f>data!$B$51</c:f>
              <c:strCache>
                <c:ptCount val="1"/>
                <c:pt idx="0">
                  <c:v>Azerbaijan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data!$AD$51:$AG$51</c:f>
              <c:numCache>
                <c:formatCode>#,##0</c:formatCode>
                <c:ptCount val="4"/>
                <c:pt idx="0">
                  <c:v>4.248000000000002</c:v>
                </c:pt>
                <c:pt idx="1">
                  <c:v>4.5269999999999984</c:v>
                </c:pt>
                <c:pt idx="2">
                  <c:v>9.0800000000000178</c:v>
                </c:pt>
                <c:pt idx="3">
                  <c:v>10.775999999999977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966-1C4C-9E65-4C8B8A3DDC4B}"/>
            </c:ext>
          </c:extLst>
        </c:ser>
        <c:ser>
          <c:idx val="41"/>
          <c:order val="41"/>
          <c:tx>
            <c:strRef>
              <c:f>data!$B$52</c:f>
              <c:strCache>
                <c:ptCount val="1"/>
                <c:pt idx="0">
                  <c:v>Eswatini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data!$AD$52:$AG$52</c:f>
              <c:numCache>
                <c:formatCode>#,##0</c:formatCode>
                <c:ptCount val="4"/>
                <c:pt idx="0">
                  <c:v>1.2139999999999986</c:v>
                </c:pt>
                <c:pt idx="1">
                  <c:v>1.2150000000000034</c:v>
                </c:pt>
                <c:pt idx="2">
                  <c:v>1.2139999999999986</c:v>
                </c:pt>
                <c:pt idx="3">
                  <c:v>1.2120000000000004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966-1C4C-9E65-4C8B8A3DDC4B}"/>
            </c:ext>
          </c:extLst>
        </c:ser>
        <c:ser>
          <c:idx val="42"/>
          <c:order val="42"/>
          <c:tx>
            <c:strRef>
              <c:f>data!$B$53</c:f>
              <c:strCache>
                <c:ptCount val="1"/>
                <c:pt idx="0">
                  <c:v>Nepal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data!$AD$53:$AG$53</c:f>
              <c:numCache>
                <c:formatCode>#,##0</c:formatCode>
                <c:ptCount val="4"/>
                <c:pt idx="0">
                  <c:v>10.876000000000023</c:v>
                </c:pt>
                <c:pt idx="1">
                  <c:v>18.126999999999953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966-1C4C-9E65-4C8B8A3DDC4B}"/>
            </c:ext>
          </c:extLst>
        </c:ser>
        <c:ser>
          <c:idx val="43"/>
          <c:order val="43"/>
          <c:tx>
            <c:strRef>
              <c:f>data!$B$54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data!$AD$54:$AG$54</c:f>
              <c:numCache>
                <c:formatCode>#,##0</c:formatCode>
                <c:ptCount val="4"/>
                <c:pt idx="0">
                  <c:v>47.817000000000007</c:v>
                </c:pt>
                <c:pt idx="1">
                  <c:v>-0.2319999999999709</c:v>
                </c:pt>
                <c:pt idx="2">
                  <c:v>-0.30200000000004368</c:v>
                </c:pt>
                <c:pt idx="3">
                  <c:v>9.1959999999999127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966-1C4C-9E65-4C8B8A3DDC4B}"/>
            </c:ext>
          </c:extLst>
        </c:ser>
        <c:ser>
          <c:idx val="44"/>
          <c:order val="44"/>
          <c:tx>
            <c:strRef>
              <c:f>data!$B$55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data!$AD$55:$AG$55</c:f>
              <c:numCache>
                <c:formatCode>#,##0</c:formatCode>
                <c:ptCount val="4"/>
                <c:pt idx="0">
                  <c:v>17.7</c:v>
                </c:pt>
                <c:pt idx="1">
                  <c:v>27</c:v>
                </c:pt>
                <c:pt idx="2">
                  <c:v>18.2</c:v>
                </c:pt>
                <c:pt idx="3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966-1C4C-9E65-4C8B8A3DDC4B}"/>
            </c:ext>
          </c:extLst>
        </c:ser>
        <c:ser>
          <c:idx val="45"/>
          <c:order val="45"/>
          <c:tx>
            <c:strRef>
              <c:f>'data (2)'!$B$49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(2)'!$AC$49:$AF$49</c:f>
              <c:numCache>
                <c:formatCode>#,##0</c:formatCode>
                <c:ptCount val="4"/>
                <c:pt idx="0">
                  <c:v>365.3</c:v>
                </c:pt>
                <c:pt idx="1">
                  <c:v>190.5</c:v>
                </c:pt>
                <c:pt idx="2">
                  <c:v>266.39999999999998</c:v>
                </c:pt>
                <c:pt idx="3">
                  <c:v>266.39999999999998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966-1C4C-9E65-4C8B8A3DDC4B}"/>
            </c:ext>
          </c:extLst>
        </c:ser>
        <c:ser>
          <c:idx val="46"/>
          <c:order val="46"/>
          <c:tx>
            <c:strRef>
              <c:f>data!$B$57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data!$AD$57:$AG$57</c:f>
              <c:numCache>
                <c:formatCode>#,##0</c:formatCode>
                <c:ptCount val="4"/>
                <c:pt idx="0">
                  <c:v>57.030999999999764</c:v>
                </c:pt>
                <c:pt idx="1">
                  <c:v>-20.36399999999994</c:v>
                </c:pt>
                <c:pt idx="2">
                  <c:v>33.4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966-1C4C-9E65-4C8B8A3DDC4B}"/>
            </c:ext>
          </c:extLst>
        </c:ser>
        <c:ser>
          <c:idx val="47"/>
          <c:order val="47"/>
          <c:tx>
            <c:strRef>
              <c:f>data!$B$58</c:f>
              <c:strCache>
                <c:ptCount val="1"/>
                <c:pt idx="0">
                  <c:v>United Kingdom of Great Britain and Northern Ireland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data!$AD$58:$AG$58</c:f>
              <c:numCache>
                <c:formatCode>#,##0</c:formatCode>
                <c:ptCount val="4"/>
                <c:pt idx="0">
                  <c:v>17.600000000000001</c:v>
                </c:pt>
                <c:pt idx="1">
                  <c:v>10.5</c:v>
                </c:pt>
                <c:pt idx="2">
                  <c:v>19.2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966-1C4C-9E65-4C8B8A3DDC4B}"/>
            </c:ext>
          </c:extLst>
        </c:ser>
        <c:ser>
          <c:idx val="48"/>
          <c:order val="48"/>
          <c:tx>
            <c:strRef>
              <c:f>data!$B$59</c:f>
              <c:strCache>
                <c:ptCount val="1"/>
                <c:pt idx="0">
                  <c:v>Croatia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data!$AD$59:$AG$59</c:f>
              <c:numCache>
                <c:formatCode>#,##0</c:formatCode>
                <c:ptCount val="4"/>
                <c:pt idx="0">
                  <c:v>3.5</c:v>
                </c:pt>
                <c:pt idx="1">
                  <c:v>3.5</c:v>
                </c:pt>
                <c:pt idx="2">
                  <c:v>0.4</c:v>
                </c:pt>
                <c:pt idx="3">
                  <c:v>3.4219999999999802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966-1C4C-9E65-4C8B8A3DDC4B}"/>
            </c:ext>
          </c:extLst>
        </c:ser>
        <c:ser>
          <c:idx val="49"/>
          <c:order val="49"/>
          <c:tx>
            <c:strRef>
              <c:f>data!$B$60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data!$AD$60:$AG$60</c:f>
              <c:numCache>
                <c:formatCode>#,##0</c:formatCode>
                <c:ptCount val="4"/>
                <c:pt idx="0">
                  <c:v>6.2469999999999803</c:v>
                </c:pt>
                <c:pt idx="1">
                  <c:v>2.5059999999999945</c:v>
                </c:pt>
                <c:pt idx="2">
                  <c:v>3.5980000000000474</c:v>
                </c:pt>
                <c:pt idx="3">
                  <c:v>3.5920000000000072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966-1C4C-9E65-4C8B8A3DDC4B}"/>
            </c:ext>
          </c:extLst>
        </c:ser>
        <c:ser>
          <c:idx val="50"/>
          <c:order val="50"/>
          <c:tx>
            <c:strRef>
              <c:f>data!$B$61</c:f>
              <c:strCache>
                <c:ptCount val="1"/>
                <c:pt idx="0">
                  <c:v>French Polynesia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data!$AD$61:$AG$61</c:f>
              <c:numCache>
                <c:formatCode>#,##0</c:formatCode>
                <c:ptCount val="4"/>
                <c:pt idx="0">
                  <c:v>0.41200000000000048</c:v>
                </c:pt>
                <c:pt idx="1">
                  <c:v>9.0999999999999664E-2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966-1C4C-9E65-4C8B8A3DDC4B}"/>
            </c:ext>
          </c:extLst>
        </c:ser>
        <c:ser>
          <c:idx val="51"/>
          <c:order val="51"/>
          <c:tx>
            <c:strRef>
              <c:f>data!$B$62</c:f>
              <c:strCache>
                <c:ptCount val="1"/>
                <c:pt idx="0">
                  <c:v>Liechtenstein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data!$AD$62:$AG$62</c:f>
              <c:numCache>
                <c:formatCode>#,##0</c:formatCode>
                <c:ptCount val="4"/>
                <c:pt idx="0">
                  <c:v>2.0000000000000018E-2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966-1C4C-9E65-4C8B8A3DDC4B}"/>
            </c:ext>
          </c:extLst>
        </c:ser>
        <c:ser>
          <c:idx val="52"/>
          <c:order val="52"/>
          <c:tx>
            <c:strRef>
              <c:f>data!$B$63</c:f>
              <c:strCache>
                <c:ptCount val="1"/>
                <c:pt idx="0">
                  <c:v>Cyprus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data!$AD$63:$AG$63</c:f>
              <c:numCache>
                <c:formatCode>#,##0</c:formatCode>
                <c:ptCount val="4"/>
                <c:pt idx="0">
                  <c:v>1.05</c:v>
                </c:pt>
                <c:pt idx="1">
                  <c:v>0.12299999999999897</c:v>
                </c:pt>
                <c:pt idx="2">
                  <c:v>-2.599999999999909E-2</c:v>
                </c:pt>
                <c:pt idx="3">
                  <c:v>-3.6000000000001364E-2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966-1C4C-9E65-4C8B8A3DDC4B}"/>
            </c:ext>
          </c:extLst>
        </c:ser>
        <c:ser>
          <c:idx val="53"/>
          <c:order val="53"/>
          <c:tx>
            <c:strRef>
              <c:f>data!$B$64</c:f>
              <c:strCache>
                <c:ptCount val="1"/>
                <c:pt idx="0">
                  <c:v>Micronesia (Federated States of)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data!$AD$64:$AG$64</c:f>
              <c:numCache>
                <c:formatCode>#,##0</c:formatCode>
                <c:ptCount val="4"/>
                <c:pt idx="0">
                  <c:v>2.8000000000000115E-2</c:v>
                </c:pt>
                <c:pt idx="1">
                  <c:v>2.6999999999999601E-2</c:v>
                </c:pt>
                <c:pt idx="2">
                  <c:v>2.8000000000000115E-2</c:v>
                </c:pt>
                <c:pt idx="3">
                  <c:v>3.0000000000001137E-2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966-1C4C-9E65-4C8B8A3DDC4B}"/>
            </c:ext>
          </c:extLst>
        </c:ser>
        <c:ser>
          <c:idx val="54"/>
          <c:order val="54"/>
          <c:tx>
            <c:strRef>
              <c:f>data!$B$65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data!$AD$65:$AG$65</c:f>
              <c:numCache>
                <c:formatCode>#,##0</c:formatCode>
                <c:ptCount val="4"/>
                <c:pt idx="0">
                  <c:v>9.0000000000000566E-2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8966-1C4C-9E65-4C8B8A3DDC4B}"/>
            </c:ext>
          </c:extLst>
        </c:ser>
        <c:ser>
          <c:idx val="55"/>
          <c:order val="55"/>
          <c:tx>
            <c:strRef>
              <c:f>data!$B$66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data!$AD$66:$AG$66</c:f>
              <c:numCache>
                <c:formatCode>#,##0</c:formatCode>
                <c:ptCount val="4"/>
                <c:pt idx="0">
                  <c:v>0.21800000000000014</c:v>
                </c:pt>
                <c:pt idx="1">
                  <c:v>7.299999999999969E-2</c:v>
                </c:pt>
                <c:pt idx="2">
                  <c:v>-0.25399999999999989</c:v>
                </c:pt>
                <c:pt idx="3">
                  <c:v>-0.17999999999999972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966-1C4C-9E65-4C8B8A3DDC4B}"/>
            </c:ext>
          </c:extLst>
        </c:ser>
        <c:ser>
          <c:idx val="56"/>
          <c:order val="56"/>
          <c:tx>
            <c:strRef>
              <c:f>'data (2)'!$B$60</c:f>
              <c:strCache>
                <c:ptCount val="1"/>
                <c:pt idx="0">
                  <c:v>Uzbekistan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(2)'!$AC$60:$AF$60</c:f>
              <c:numCache>
                <c:formatCode>#,##0</c:formatCode>
                <c:ptCount val="4"/>
                <c:pt idx="0">
                  <c:v>41.209000000000017</c:v>
                </c:pt>
                <c:pt idx="1">
                  <c:v>38.813999999999986</c:v>
                </c:pt>
                <c:pt idx="2">
                  <c:v>39.960000000000036</c:v>
                </c:pt>
                <c:pt idx="3">
                  <c:v>28.051999999999953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8966-1C4C-9E65-4C8B8A3DDC4B}"/>
            </c:ext>
          </c:extLst>
        </c:ser>
        <c:ser>
          <c:idx val="57"/>
          <c:order val="57"/>
          <c:tx>
            <c:strRef>
              <c:f>data!$B$68</c:f>
              <c:strCache>
                <c:ptCount val="1"/>
                <c:pt idx="0">
                  <c:v>United Arab Emirates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data!$AD$68:$AG$68</c:f>
              <c:numCache>
                <c:formatCode>#,##0</c:formatCode>
                <c:ptCount val="4"/>
                <c:pt idx="0">
                  <c:v>6.4430000000000005</c:v>
                </c:pt>
                <c:pt idx="1">
                  <c:v>0.78700000000000048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966-1C4C-9E65-4C8B8A3DDC4B}"/>
            </c:ext>
          </c:extLst>
        </c:ser>
        <c:ser>
          <c:idx val="58"/>
          <c:order val="58"/>
          <c:tx>
            <c:strRef>
              <c:f>data!$B$69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data!$AD$69:$AG$69</c:f>
              <c:numCache>
                <c:formatCode>#,##0</c:formatCode>
                <c:ptCount val="4"/>
                <c:pt idx="0">
                  <c:v>0.82999999999997276</c:v>
                </c:pt>
                <c:pt idx="1">
                  <c:v>6.1800000000000184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966-1C4C-9E65-4C8B8A3DDC4B}"/>
            </c:ext>
          </c:extLst>
        </c:ser>
        <c:ser>
          <c:idx val="59"/>
          <c:order val="59"/>
          <c:tx>
            <c:strRef>
              <c:f>data!$B$70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data!$AD$70:$AG$70</c:f>
              <c:numCache>
                <c:formatCode>#,##0</c:formatCode>
                <c:ptCount val="4"/>
                <c:pt idx="0">
                  <c:v>-36.299999999999997</c:v>
                </c:pt>
                <c:pt idx="1">
                  <c:v>107.5</c:v>
                </c:pt>
                <c:pt idx="2">
                  <c:v>-2.4</c:v>
                </c:pt>
                <c:pt idx="3">
                  <c:v>-37.6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966-1C4C-9E65-4C8B8A3DDC4B}"/>
            </c:ext>
          </c:extLst>
        </c:ser>
        <c:ser>
          <c:idx val="60"/>
          <c:order val="60"/>
          <c:tx>
            <c:strRef>
              <c:f>data!$B$71</c:f>
              <c:strCache>
                <c:ptCount val="1"/>
                <c:pt idx="0">
                  <c:v>Kyrgyzstan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data!$AD$71:$AG$71</c:f>
              <c:numCache>
                <c:formatCode>#,##0</c:formatCode>
                <c:ptCount val="4"/>
                <c:pt idx="0">
                  <c:v>4.4480000000000022</c:v>
                </c:pt>
                <c:pt idx="1">
                  <c:v>4.8779999999999974</c:v>
                </c:pt>
                <c:pt idx="2">
                  <c:v>4.4259999999999762</c:v>
                </c:pt>
                <c:pt idx="3">
                  <c:v>12.714000000000032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966-1C4C-9E65-4C8B8A3DDC4B}"/>
            </c:ext>
          </c:extLst>
        </c:ser>
        <c:ser>
          <c:idx val="61"/>
          <c:order val="61"/>
          <c:tx>
            <c:strRef>
              <c:f>data!$B$72</c:f>
              <c:strCache>
                <c:ptCount val="1"/>
                <c:pt idx="0">
                  <c:v>Syrian Arab Republic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data!$AD$72:$AG$72</c:f>
              <c:numCache>
                <c:formatCode>#,##0</c:formatCode>
                <c:ptCount val="4"/>
                <c:pt idx="0">
                  <c:v>6</c:v>
                </c:pt>
                <c:pt idx="1">
                  <c:v>6</c:v>
                </c:pt>
                <c:pt idx="2">
                  <c:v>6.0000000000000115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966-1C4C-9E65-4C8B8A3DDC4B}"/>
            </c:ext>
          </c:extLst>
        </c:ser>
        <c:ser>
          <c:idx val="62"/>
          <c:order val="62"/>
          <c:tx>
            <c:strRef>
              <c:f>'data (2)'!$B$66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(2)'!$AC$66:$AF$66</c:f>
              <c:numCache>
                <c:formatCode>#,##0</c:formatCode>
                <c:ptCount val="4"/>
                <c:pt idx="0">
                  <c:v>-0.5</c:v>
                </c:pt>
                <c:pt idx="1">
                  <c:v>14.9</c:v>
                </c:pt>
                <c:pt idx="2">
                  <c:v>77.192000000000007</c:v>
                </c:pt>
                <c:pt idx="3">
                  <c:v>5.6180000000000287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966-1C4C-9E65-4C8B8A3DDC4B}"/>
            </c:ext>
          </c:extLst>
        </c:ser>
        <c:ser>
          <c:idx val="63"/>
          <c:order val="63"/>
          <c:tx>
            <c:strRef>
              <c:f>data!$B$74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data!$AD$74:$AG$74</c:f>
              <c:numCache>
                <c:formatCode>#,##0</c:formatCode>
                <c:ptCount val="4"/>
                <c:pt idx="0">
                  <c:v>23.6</c:v>
                </c:pt>
                <c:pt idx="1">
                  <c:v>3.8</c:v>
                </c:pt>
                <c:pt idx="2">
                  <c:v>21.8</c:v>
                </c:pt>
                <c:pt idx="3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8966-1C4C-9E65-4C8B8A3DDC4B}"/>
            </c:ext>
          </c:extLst>
        </c:ser>
        <c:ser>
          <c:idx val="64"/>
          <c:order val="64"/>
          <c:tx>
            <c:strRef>
              <c:f>'data (2)'!$B$68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(2)'!$AC$68:$AF$68</c:f>
              <c:numCache>
                <c:formatCode>#,##0</c:formatCode>
                <c:ptCount val="4"/>
                <c:pt idx="0">
                  <c:v>47.817000000000007</c:v>
                </c:pt>
                <c:pt idx="1">
                  <c:v>-0.2319999999999709</c:v>
                </c:pt>
                <c:pt idx="2">
                  <c:v>-0.30200000000004368</c:v>
                </c:pt>
                <c:pt idx="3">
                  <c:v>9.1959999999999127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8966-1C4C-9E65-4C8B8A3DDC4B}"/>
            </c:ext>
          </c:extLst>
        </c:ser>
        <c:ser>
          <c:idx val="65"/>
          <c:order val="65"/>
          <c:tx>
            <c:strRef>
              <c:f>'data (2)'!$B$69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(2)'!$AC$69:$AF$69</c:f>
              <c:numCache>
                <c:formatCode>#,##0</c:formatCode>
                <c:ptCount val="4"/>
                <c:pt idx="0">
                  <c:v>17.7</c:v>
                </c:pt>
                <c:pt idx="1">
                  <c:v>27</c:v>
                </c:pt>
                <c:pt idx="2">
                  <c:v>18.2</c:v>
                </c:pt>
                <c:pt idx="3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966-1C4C-9E65-4C8B8A3DDC4B}"/>
            </c:ext>
          </c:extLst>
        </c:ser>
        <c:ser>
          <c:idx val="66"/>
          <c:order val="66"/>
          <c:tx>
            <c:strRef>
              <c:f>data!$B$77</c:f>
              <c:strCache>
                <c:ptCount val="1"/>
                <c:pt idx="0">
                  <c:v>Czechia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data!$AD$77:$AG$77</c:f>
              <c:numCache>
                <c:formatCode>#,##0</c:formatCode>
                <c:ptCount val="4"/>
                <c:pt idx="0">
                  <c:v>0.78699999999998904</c:v>
                </c:pt>
                <c:pt idx="1">
                  <c:v>2.0090000000000146</c:v>
                </c:pt>
                <c:pt idx="2">
                  <c:v>2.2019999999999529</c:v>
                </c:pt>
                <c:pt idx="3">
                  <c:v>1.7400000000000546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8966-1C4C-9E65-4C8B8A3DDC4B}"/>
            </c:ext>
          </c:extLst>
        </c:ser>
        <c:ser>
          <c:idx val="67"/>
          <c:order val="67"/>
          <c:tx>
            <c:strRef>
              <c:f>'data (2)'!$B$71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(2)'!$AC$71:$AF$71</c:f>
              <c:numCache>
                <c:formatCode>#,##0</c:formatCode>
                <c:ptCount val="4"/>
                <c:pt idx="0">
                  <c:v>57.030999999999764</c:v>
                </c:pt>
                <c:pt idx="1">
                  <c:v>-20.36399999999994</c:v>
                </c:pt>
                <c:pt idx="2">
                  <c:v>33.4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966-1C4C-9E65-4C8B8A3DDC4B}"/>
            </c:ext>
          </c:extLst>
        </c:ser>
        <c:ser>
          <c:idx val="68"/>
          <c:order val="68"/>
          <c:tx>
            <c:strRef>
              <c:f>'data (2)'!$B$72</c:f>
              <c:strCache>
                <c:ptCount val="1"/>
                <c:pt idx="0">
                  <c:v>Iran (Islamic Republic of)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(2)'!$AC$72:$AF$72</c:f>
              <c:numCache>
                <c:formatCode>#,##0</c:formatCode>
                <c:ptCount val="4"/>
                <c:pt idx="0">
                  <c:v>24.960000000000036</c:v>
                </c:pt>
                <c:pt idx="1">
                  <c:v>136.63199999999998</c:v>
                </c:pt>
                <c:pt idx="2">
                  <c:v>0</c:v>
                </c:pt>
                <c:pt idx="3">
                  <c:v>11.978000000000247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8966-1C4C-9E65-4C8B8A3DDC4B}"/>
            </c:ext>
          </c:extLst>
        </c:ser>
        <c:ser>
          <c:idx val="69"/>
          <c:order val="69"/>
          <c:tx>
            <c:strRef>
              <c:f>'data (2)'!$B$73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(2)'!$AC$73:$AF$73</c:f>
              <c:numCache>
                <c:formatCode>#,##0</c:formatCode>
                <c:ptCount val="4"/>
                <c:pt idx="0">
                  <c:v>-36.299999999999997</c:v>
                </c:pt>
                <c:pt idx="1">
                  <c:v>107.5</c:v>
                </c:pt>
                <c:pt idx="2">
                  <c:v>-2.4</c:v>
                </c:pt>
                <c:pt idx="3">
                  <c:v>-37.6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8966-1C4C-9E65-4C8B8A3DDC4B}"/>
            </c:ext>
          </c:extLst>
        </c:ser>
        <c:ser>
          <c:idx val="70"/>
          <c:order val="70"/>
          <c:tx>
            <c:strRef>
              <c:f>data!$B$81</c:f>
              <c:strCache>
                <c:ptCount val="1"/>
                <c:pt idx="0">
                  <c:v>Russian Federation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data!$AD$81:$AG$81</c:f>
              <c:numCache>
                <c:formatCode>#,##0</c:formatCode>
                <c:ptCount val="4"/>
                <c:pt idx="0">
                  <c:v>31.859999999997672</c:v>
                </c:pt>
                <c:pt idx="1">
                  <c:v>586.70999999999765</c:v>
                </c:pt>
                <c:pt idx="2">
                  <c:v>-41.028000000002791</c:v>
                </c:pt>
                <c:pt idx="3">
                  <c:v>76.228000000002794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8966-1C4C-9E65-4C8B8A3DDC4B}"/>
            </c:ext>
          </c:extLst>
        </c:ser>
        <c:ser>
          <c:idx val="71"/>
          <c:order val="71"/>
          <c:tx>
            <c:strRef>
              <c:f>'data (2)'!$B$75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(2)'!$AC$75:$AF$75</c:f>
              <c:numCache>
                <c:formatCode>#,##0</c:formatCode>
                <c:ptCount val="4"/>
                <c:pt idx="0">
                  <c:v>108.6</c:v>
                </c:pt>
                <c:pt idx="1">
                  <c:v>518.4</c:v>
                </c:pt>
                <c:pt idx="2">
                  <c:v>275</c:v>
                </c:pt>
                <c:pt idx="3">
                  <c:v>-60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8966-1C4C-9E65-4C8B8A3DDC4B}"/>
            </c:ext>
          </c:extLst>
        </c:ser>
        <c:ser>
          <c:idx val="72"/>
          <c:order val="72"/>
          <c:tx>
            <c:strRef>
              <c:f>data!$B$83</c:f>
              <c:strCache>
                <c:ptCount val="1"/>
                <c:pt idx="0">
                  <c:v>New Caledonia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data!$AD$83:$AG$83</c:f>
              <c:numCache>
                <c:formatCode>#,##0</c:formatCode>
                <c:ptCount val="4"/>
                <c:pt idx="0">
                  <c:v>0.67200000000000271</c:v>
                </c:pt>
                <c:pt idx="1">
                  <c:v>0.11699999999999591</c:v>
                </c:pt>
                <c:pt idx="2">
                  <c:v>-0.1</c:v>
                </c:pt>
                <c:pt idx="3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8966-1C4C-9E65-4C8B8A3DDC4B}"/>
            </c:ext>
          </c:extLst>
        </c:ser>
        <c:ser>
          <c:idx val="73"/>
          <c:order val="73"/>
          <c:tx>
            <c:strRef>
              <c:f>data!$B$84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data!$AD$84:$AG$84</c:f>
              <c:numCache>
                <c:formatCode>#,##0</c:formatCode>
                <c:ptCount val="4"/>
                <c:pt idx="0">
                  <c:v>2.1</c:v>
                </c:pt>
                <c:pt idx="1">
                  <c:v>0.1</c:v>
                </c:pt>
                <c:pt idx="2">
                  <c:v>2.2000000000000002</c:v>
                </c:pt>
                <c:pt idx="3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8966-1C4C-9E65-4C8B8A3DDC4B}"/>
            </c:ext>
          </c:extLst>
        </c:ser>
        <c:ser>
          <c:idx val="74"/>
          <c:order val="74"/>
          <c:tx>
            <c:strRef>
              <c:f>data!$B$85</c:f>
              <c:strCache>
                <c:ptCount val="1"/>
                <c:pt idx="0">
                  <c:v>Lebanon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data!$AD$85:$AG$85</c:f>
              <c:numCache>
                <c:formatCode>#,##0</c:formatCode>
                <c:ptCount val="4"/>
                <c:pt idx="0">
                  <c:v>-0.15199999999999819</c:v>
                </c:pt>
                <c:pt idx="1">
                  <c:v>-8.3000000000001253E-2</c:v>
                </c:pt>
                <c:pt idx="2">
                  <c:v>0.59600000000000364</c:v>
                </c:pt>
                <c:pt idx="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8966-1C4C-9E65-4C8B8A3DDC4B}"/>
            </c:ext>
          </c:extLst>
        </c:ser>
        <c:ser>
          <c:idx val="75"/>
          <c:order val="75"/>
          <c:tx>
            <c:strRef>
              <c:f>data!$B$86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data!$AD$86:$AG$86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2.2000000000000009E-2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8966-1C4C-9E65-4C8B8A3DDC4B}"/>
            </c:ext>
          </c:extLst>
        </c:ser>
        <c:ser>
          <c:idx val="76"/>
          <c:order val="76"/>
          <c:tx>
            <c:strRef>
              <c:f>data!$B$87</c:f>
              <c:strCache>
                <c:ptCount val="1"/>
                <c:pt idx="0">
                  <c:v>Iceland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data!$AD$87:$AG$87</c:f>
              <c:numCache>
                <c:formatCode>#,##0</c:formatCode>
                <c:ptCount val="4"/>
                <c:pt idx="0">
                  <c:v>1.2759999999999998</c:v>
                </c:pt>
                <c:pt idx="1">
                  <c:v>1.4840000000000004</c:v>
                </c:pt>
                <c:pt idx="2">
                  <c:v>0.69799999999999895</c:v>
                </c:pt>
                <c:pt idx="3">
                  <c:v>0.63800000000000101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8966-1C4C-9E65-4C8B8A3DDC4B}"/>
            </c:ext>
          </c:extLst>
        </c:ser>
        <c:ser>
          <c:idx val="77"/>
          <c:order val="77"/>
          <c:tx>
            <c:strRef>
              <c:f>data!$B$88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data!$AD$88:$AG$88</c:f>
              <c:numCache>
                <c:formatCode>#,##0</c:formatCode>
                <c:ptCount val="4"/>
                <c:pt idx="0">
                  <c:v>5.4</c:v>
                </c:pt>
                <c:pt idx="1">
                  <c:v>5.5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8966-1C4C-9E65-4C8B8A3DDC4B}"/>
            </c:ext>
          </c:extLst>
        </c:ser>
        <c:ser>
          <c:idx val="78"/>
          <c:order val="78"/>
          <c:tx>
            <c:strRef>
              <c:f>data!$B$89</c:f>
              <c:strCache>
                <c:ptCount val="1"/>
                <c:pt idx="0">
                  <c:v>Wallis and Futuna Islands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data!$AD$89:$AG$89</c:f>
              <c:numCache>
                <c:formatCode>#,##0</c:formatCode>
                <c:ptCount val="4"/>
                <c:pt idx="0">
                  <c:v>9.9999999999997877E-4</c:v>
                </c:pt>
                <c:pt idx="1">
                  <c:v>1.0000000000000675E-3</c:v>
                </c:pt>
                <c:pt idx="2">
                  <c:v>1.9999999999999575E-3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8966-1C4C-9E65-4C8B8A3DDC4B}"/>
            </c:ext>
          </c:extLst>
        </c:ser>
        <c:ser>
          <c:idx val="79"/>
          <c:order val="79"/>
          <c:tx>
            <c:strRef>
              <c:f>data!$B$90</c:f>
              <c:strCache>
                <c:ptCount val="1"/>
                <c:pt idx="0">
                  <c:v>State of Palestine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data!$AD$90:$AG$90</c:f>
              <c:numCache>
                <c:formatCode>#,##0</c:formatCode>
                <c:ptCount val="4"/>
                <c:pt idx="0">
                  <c:v>0</c:v>
                </c:pt>
                <c:pt idx="1">
                  <c:v>8.6999999999999925E-2</c:v>
                </c:pt>
                <c:pt idx="2">
                  <c:v>3.8000000000000256E-2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8966-1C4C-9E65-4C8B8A3DDC4B}"/>
            </c:ext>
          </c:extLst>
        </c:ser>
        <c:ser>
          <c:idx val="80"/>
          <c:order val="80"/>
          <c:tx>
            <c:strRef>
              <c:f>data!$B$91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data!$AD$91:$AG$91</c:f>
              <c:numCache>
                <c:formatCode>#,##0</c:formatCode>
                <c:ptCount val="4"/>
                <c:pt idx="0">
                  <c:v>-1.9</c:v>
                </c:pt>
                <c:pt idx="1">
                  <c:v>-1.1000000000000001</c:v>
                </c:pt>
                <c:pt idx="2">
                  <c:v>7.8</c:v>
                </c:pt>
                <c:pt idx="3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8966-1C4C-9E65-4C8B8A3DDC4B}"/>
            </c:ext>
          </c:extLst>
        </c:ser>
        <c:ser>
          <c:idx val="81"/>
          <c:order val="81"/>
          <c:tx>
            <c:strRef>
              <c:f>data!$B$92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data!$AD$92:$AG$92</c:f>
              <c:numCache>
                <c:formatCode>#,##0</c:formatCode>
                <c:ptCount val="4"/>
                <c:pt idx="0">
                  <c:v>0.13999999999999996</c:v>
                </c:pt>
                <c:pt idx="1">
                  <c:v>0.14000000000000004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8966-1C4C-9E65-4C8B8A3DDC4B}"/>
            </c:ext>
          </c:extLst>
        </c:ser>
        <c:ser>
          <c:idx val="82"/>
          <c:order val="82"/>
          <c:tx>
            <c:strRef>
              <c:f>data!$B$93</c:f>
              <c:strCache>
                <c:ptCount val="1"/>
                <c:pt idx="0">
                  <c:v>Burundi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data!$AD$93:$AG$93</c:f>
              <c:numCache>
                <c:formatCode>#,##0</c:formatCode>
                <c:ptCount val="4"/>
                <c:pt idx="0">
                  <c:v>-8.2540000000000013</c:v>
                </c:pt>
                <c:pt idx="1">
                  <c:v>0</c:v>
                </c:pt>
                <c:pt idx="2">
                  <c:v>17.139999999999997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8966-1C4C-9E65-4C8B8A3DDC4B}"/>
            </c:ext>
          </c:extLst>
        </c:ser>
        <c:ser>
          <c:idx val="83"/>
          <c:order val="83"/>
          <c:tx>
            <c:strRef>
              <c:f>data!$B$94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data!$AD$94:$AG$94</c:f>
              <c:numCache>
                <c:formatCode>#,##0</c:formatCode>
                <c:ptCount val="4"/>
                <c:pt idx="0">
                  <c:v>-8.8000000000000007</c:v>
                </c:pt>
                <c:pt idx="1">
                  <c:v>33.9</c:v>
                </c:pt>
                <c:pt idx="2">
                  <c:v>7.6</c:v>
                </c:pt>
                <c:pt idx="3">
                  <c:v>-1.4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8966-1C4C-9E65-4C8B8A3DDC4B}"/>
            </c:ext>
          </c:extLst>
        </c:ser>
        <c:ser>
          <c:idx val="84"/>
          <c:order val="84"/>
          <c:tx>
            <c:strRef>
              <c:f>data!$B$95</c:f>
              <c:strCache>
                <c:ptCount val="1"/>
                <c:pt idx="0">
                  <c:v>Tajikistan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data!$AD$95:$AG$95</c:f>
              <c:numCache>
                <c:formatCode>#,##0</c:formatCode>
                <c:ptCount val="4"/>
                <c:pt idx="0">
                  <c:v>0.2</c:v>
                </c:pt>
                <c:pt idx="1">
                  <c:v>0</c:v>
                </c:pt>
                <c:pt idx="2">
                  <c:v>2.3600000000000021</c:v>
                </c:pt>
                <c:pt idx="3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8966-1C4C-9E65-4C8B8A3DDC4B}"/>
            </c:ext>
          </c:extLst>
        </c:ser>
        <c:ser>
          <c:idx val="85"/>
          <c:order val="85"/>
          <c:tx>
            <c:strRef>
              <c:f>'data (2)'!$B$89</c:f>
              <c:strCache>
                <c:ptCount val="1"/>
                <c:pt idx="0">
                  <c:v>Russian Federation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(2)'!$AC$89:$AF$89</c:f>
              <c:numCache>
                <c:formatCode>#,##0</c:formatCode>
                <c:ptCount val="4"/>
                <c:pt idx="0">
                  <c:v>31.859999999997672</c:v>
                </c:pt>
                <c:pt idx="1">
                  <c:v>586.70999999999765</c:v>
                </c:pt>
                <c:pt idx="2">
                  <c:v>-41.028000000002791</c:v>
                </c:pt>
                <c:pt idx="3">
                  <c:v>76.228000000002794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8966-1C4C-9E65-4C8B8A3DDC4B}"/>
            </c:ext>
          </c:extLst>
        </c:ser>
        <c:ser>
          <c:idx val="86"/>
          <c:order val="86"/>
          <c:tx>
            <c:strRef>
              <c:f>'data (2)'!$B$90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(2)'!$AC$90:$AF$90</c:f>
              <c:numCache>
                <c:formatCode>#,##0</c:formatCode>
                <c:ptCount val="4"/>
                <c:pt idx="0">
                  <c:v>-182.6</c:v>
                </c:pt>
                <c:pt idx="1">
                  <c:v>-316.39999999999998</c:v>
                </c:pt>
                <c:pt idx="2">
                  <c:v>-223.4</c:v>
                </c:pt>
                <c:pt idx="3">
                  <c:v>-104.8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8966-1C4C-9E65-4C8B8A3DDC4B}"/>
            </c:ext>
          </c:extLst>
        </c:ser>
        <c:ser>
          <c:idx val="87"/>
          <c:order val="87"/>
          <c:tx>
            <c:strRef>
              <c:f>data!$B$98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data!$AD$98:$AG$98</c:f>
              <c:numCache>
                <c:formatCode>#,##0</c:formatCode>
                <c:ptCount val="4"/>
                <c:pt idx="0">
                  <c:v>-206.81000000000057</c:v>
                </c:pt>
                <c:pt idx="1">
                  <c:v>-226.8</c:v>
                </c:pt>
                <c:pt idx="2">
                  <c:v>709.67999999999881</c:v>
                </c:pt>
                <c:pt idx="3">
                  <c:v>182.12000000000117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8966-1C4C-9E65-4C8B8A3DDC4B}"/>
            </c:ext>
          </c:extLst>
        </c:ser>
        <c:ser>
          <c:idx val="88"/>
          <c:order val="88"/>
          <c:tx>
            <c:strRef>
              <c:f>data!$B$99</c:f>
              <c:strCache>
                <c:ptCount val="1"/>
                <c:pt idx="0">
                  <c:v>Djibouti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data!$AD$99:$AG$99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4.0000000000000036E-2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8966-1C4C-9E65-4C8B8A3DDC4B}"/>
            </c:ext>
          </c:extLst>
        </c:ser>
        <c:ser>
          <c:idx val="89"/>
          <c:order val="89"/>
          <c:tx>
            <c:strRef>
              <c:f>data!$B$100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data!$AD$100:$AG$100</c:f>
              <c:numCache>
                <c:formatCode>#,##0</c:formatCode>
                <c:ptCount val="4"/>
                <c:pt idx="0">
                  <c:v>-1.95</c:v>
                </c:pt>
                <c:pt idx="1">
                  <c:v>1.2770000000000095</c:v>
                </c:pt>
                <c:pt idx="2">
                  <c:v>1.4240000000000008</c:v>
                </c:pt>
                <c:pt idx="3">
                  <c:v>-5.8000000000015463E-2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8966-1C4C-9E65-4C8B8A3DDC4B}"/>
            </c:ext>
          </c:extLst>
        </c:ser>
        <c:ser>
          <c:idx val="90"/>
          <c:order val="90"/>
          <c:tx>
            <c:strRef>
              <c:f>data!$B$101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data!$AD$101:$AG$101</c:f>
              <c:numCache>
                <c:formatCode>#,##0</c:formatCode>
                <c:ptCount val="4"/>
                <c:pt idx="0">
                  <c:v>1.5399999999999998</c:v>
                </c:pt>
                <c:pt idx="1">
                  <c:v>0.64300000000000002</c:v>
                </c:pt>
                <c:pt idx="2">
                  <c:v>-3.444</c:v>
                </c:pt>
                <c:pt idx="3">
                  <c:v>-0.68800000000000094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8966-1C4C-9E65-4C8B8A3DDC4B}"/>
            </c:ext>
          </c:extLst>
        </c:ser>
        <c:ser>
          <c:idx val="91"/>
          <c:order val="91"/>
          <c:tx>
            <c:strRef>
              <c:f>data!$B$102</c:f>
              <c:strCache>
                <c:ptCount val="1"/>
                <c:pt idx="0">
                  <c:v>Saint Kitts and Nevis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data!$AD$102:$AG$102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8966-1C4C-9E65-4C8B8A3DDC4B}"/>
            </c:ext>
          </c:extLst>
        </c:ser>
        <c:ser>
          <c:idx val="92"/>
          <c:order val="92"/>
          <c:tx>
            <c:strRef>
              <c:f>'data (2)'!$B$96</c:f>
              <c:strCache>
                <c:ptCount val="1"/>
                <c:pt idx="0">
                  <c:v>Sudan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(2)'!$AC$3:$AF$3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'data (2)'!$AC$96:$AF$96</c:f>
              <c:numCache>
                <c:formatCode>#,##0</c:formatCode>
                <c:ptCount val="4"/>
                <c:pt idx="0">
                  <c:v>-174.41500000000013</c:v>
                </c:pt>
                <c:pt idx="1">
                  <c:v>-174.49900000000017</c:v>
                </c:pt>
                <c:pt idx="2">
                  <c:v>-174.24799999999959</c:v>
                </c:pt>
                <c:pt idx="3">
                  <c:v>-170.07600000000019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8966-1C4C-9E65-4C8B8A3DDC4B}"/>
            </c:ext>
          </c:extLst>
        </c:ser>
        <c:ser>
          <c:idx val="93"/>
          <c:order val="93"/>
          <c:tx>
            <c:strRef>
              <c:f>data!$B$104</c:f>
              <c:strCache>
                <c:ptCount val="1"/>
                <c:pt idx="0">
                  <c:v>Andorra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data!$AD$104:$AG$104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8966-1C4C-9E65-4C8B8A3DDC4B}"/>
            </c:ext>
          </c:extLst>
        </c:ser>
        <c:ser>
          <c:idx val="94"/>
          <c:order val="94"/>
          <c:tx>
            <c:strRef>
              <c:f>data!$B$105</c:f>
              <c:strCache>
                <c:ptCount val="1"/>
                <c:pt idx="0">
                  <c:v>Tuvalu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data!$AD$105:$AG$105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8966-1C4C-9E65-4C8B8A3DDC4B}"/>
            </c:ext>
          </c:extLst>
        </c:ser>
        <c:ser>
          <c:idx val="95"/>
          <c:order val="95"/>
          <c:tx>
            <c:strRef>
              <c:f>data!$B$106</c:f>
              <c:strCache>
                <c:ptCount val="1"/>
                <c:pt idx="0">
                  <c:v>Saint Martin (French Part)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data!$AD$106:$AG$106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8966-1C4C-9E65-4C8B8A3DDC4B}"/>
            </c:ext>
          </c:extLst>
        </c:ser>
        <c:ser>
          <c:idx val="96"/>
          <c:order val="96"/>
          <c:tx>
            <c:strRef>
              <c:f>data!$B$107</c:f>
              <c:strCache>
                <c:ptCount val="1"/>
                <c:pt idx="0">
                  <c:v>Bermuda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data!$AD$107:$AG$107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8966-1C4C-9E65-4C8B8A3DDC4B}"/>
            </c:ext>
          </c:extLst>
        </c:ser>
        <c:ser>
          <c:idx val="97"/>
          <c:order val="97"/>
          <c:tx>
            <c:strRef>
              <c:f>data!$B$108</c:f>
              <c:strCache>
                <c:ptCount val="1"/>
                <c:pt idx="0">
                  <c:v>San Marino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data!$AD$108:$AG$108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8966-1C4C-9E65-4C8B8A3DDC4B}"/>
            </c:ext>
          </c:extLst>
        </c:ser>
        <c:ser>
          <c:idx val="98"/>
          <c:order val="98"/>
          <c:tx>
            <c:strRef>
              <c:f>data!$B$109</c:f>
              <c:strCache>
                <c:ptCount val="1"/>
                <c:pt idx="0">
                  <c:v>Barbados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data!$AD$109:$AG$109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8966-1C4C-9E65-4C8B8A3DDC4B}"/>
            </c:ext>
          </c:extLst>
        </c:ser>
        <c:ser>
          <c:idx val="99"/>
          <c:order val="99"/>
          <c:tx>
            <c:strRef>
              <c:f>data!$B$110</c:f>
              <c:strCache>
                <c:ptCount val="1"/>
                <c:pt idx="0">
                  <c:v>Tonga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data!$AD$110:$AG$110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8966-1C4C-9E65-4C8B8A3DDC4B}"/>
            </c:ext>
          </c:extLst>
        </c:ser>
        <c:ser>
          <c:idx val="100"/>
          <c:order val="100"/>
          <c:tx>
            <c:strRef>
              <c:f>data!$B$111</c:f>
              <c:strCache>
                <c:ptCount val="1"/>
                <c:pt idx="0">
                  <c:v>Norfolk Island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data!$AD$10:$AG$10</c:f>
              <c:strCache>
                <c:ptCount val="4"/>
                <c:pt idx="0">
                  <c:v>PA_growth1</c:v>
                </c:pt>
                <c:pt idx="1">
                  <c:v>PA_growth2</c:v>
                </c:pt>
                <c:pt idx="2">
                  <c:v>PA_growth3</c:v>
                </c:pt>
                <c:pt idx="3">
                  <c:v>PA_growth4</c:v>
                </c:pt>
              </c:strCache>
            </c:strRef>
          </c:cat>
          <c:val>
            <c:numRef>
              <c:f>data!$AD$111:$AG$111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8966-1C4C-9E65-4C8B8A3DD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120816"/>
        <c:axId val="1664618784"/>
      </c:lineChart>
      <c:catAx>
        <c:axId val="166512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618784"/>
        <c:crosses val="autoZero"/>
        <c:auto val="1"/>
        <c:lblAlgn val="ctr"/>
        <c:lblOffset val="100"/>
        <c:noMultiLvlLbl val="0"/>
      </c:catAx>
      <c:valAx>
        <c:axId val="1664618784"/>
        <c:scaling>
          <c:orientation val="minMax"/>
          <c:max val="26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1000</a:t>
                </a:r>
                <a:r>
                  <a:rPr lang="en-GB" baseline="0"/>
                  <a:t> ha/year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20816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Biggest reforestation</a:t>
            </a:r>
            <a:r>
              <a:rPr lang="en-GB" baseline="0"/>
              <a:t> and deforestation nations on Earth</a:t>
            </a:r>
            <a:br>
              <a:rPr lang="en-GB" baseline="0"/>
            </a:br>
            <a:r>
              <a:rPr lang="en-GB" baseline="0"/>
              <a:t>(requires filtering upper and lower values of Column N Change in Forest Area 1990-2020)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3"/>
          <c:tx>
            <c:strRef>
              <c:f>data!$Z$10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data!$B$11:$B$224</c:f>
              <c:strCache>
                <c:ptCount val="214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</c:strCache>
            </c:strRef>
          </c:cat>
          <c:val>
            <c:numRef>
              <c:f>data!$Z$11:$Z$224</c:f>
              <c:numCache>
                <c:formatCode>#,##0</c:formatCode>
                <c:ptCount val="214"/>
                <c:pt idx="0">
                  <c:v>2.4300000000000068</c:v>
                </c:pt>
                <c:pt idx="1">
                  <c:v>673.80000000000109</c:v>
                </c:pt>
                <c:pt idx="2">
                  <c:v>0</c:v>
                </c:pt>
                <c:pt idx="3">
                  <c:v>252</c:v>
                </c:pt>
                <c:pt idx="4">
                  <c:v>30.5300000000002</c:v>
                </c:pt>
                <c:pt idx="5">
                  <c:v>33.379999999999882</c:v>
                </c:pt>
                <c:pt idx="6">
                  <c:v>5.8400000000001455</c:v>
                </c:pt>
                <c:pt idx="7">
                  <c:v>1.5</c:v>
                </c:pt>
                <c:pt idx="8">
                  <c:v>1</c:v>
                </c:pt>
                <c:pt idx="9">
                  <c:v>0.42999999999999972</c:v>
                </c:pt>
                <c:pt idx="10">
                  <c:v>188.70000000000005</c:v>
                </c:pt>
                <c:pt idx="11">
                  <c:v>19.009999999999991</c:v>
                </c:pt>
                <c:pt idx="12">
                  <c:v>269.03999999999905</c:v>
                </c:pt>
                <c:pt idx="13">
                  <c:v>9683.8699999999953</c:v>
                </c:pt>
                <c:pt idx="14">
                  <c:v>9.8899999999998727</c:v>
                </c:pt>
                <c:pt idx="15">
                  <c:v>84.990000000000236</c:v>
                </c:pt>
                <c:pt idx="16">
                  <c:v>96</c:v>
                </c:pt>
                <c:pt idx="17">
                  <c:v>417</c:v>
                </c:pt>
                <c:pt idx="18">
                  <c:v>3.5</c:v>
                </c:pt>
                <c:pt idx="19">
                  <c:v>6.5300000000002001</c:v>
                </c:pt>
                <c:pt idx="20">
                  <c:v>0</c:v>
                </c:pt>
                <c:pt idx="21">
                  <c:v>34.289999999999964</c:v>
                </c:pt>
                <c:pt idx="22">
                  <c:v>1</c:v>
                </c:pt>
                <c:pt idx="23">
                  <c:v>2.0500000000000114</c:v>
                </c:pt>
                <c:pt idx="24">
                  <c:v>17</c:v>
                </c:pt>
                <c:pt idx="25">
                  <c:v>870.82000000000335</c:v>
                </c:pt>
                <c:pt idx="26">
                  <c:v>19.320000000000164</c:v>
                </c:pt>
                <c:pt idx="27">
                  <c:v>33.970000000000027</c:v>
                </c:pt>
                <c:pt idx="28">
                  <c:v>547.21999999999753</c:v>
                </c:pt>
                <c:pt idx="29">
                  <c:v>17.190000000000055</c:v>
                </c:pt>
                <c:pt idx="30">
                  <c:v>0</c:v>
                </c:pt>
                <c:pt idx="31">
                  <c:v>1332</c:v>
                </c:pt>
                <c:pt idx="32">
                  <c:v>199.80000000000018</c:v>
                </c:pt>
                <c:pt idx="33">
                  <c:v>14.430000000000064</c:v>
                </c:pt>
                <c:pt idx="34">
                  <c:v>0</c:v>
                </c:pt>
                <c:pt idx="35">
                  <c:v>81.830000000000382</c:v>
                </c:pt>
                <c:pt idx="36">
                  <c:v>1</c:v>
                </c:pt>
                <c:pt idx="37">
                  <c:v>385.96000000000004</c:v>
                </c:pt>
                <c:pt idx="38">
                  <c:v>0</c:v>
                </c:pt>
                <c:pt idx="39">
                  <c:v>38.189999999999941</c:v>
                </c:pt>
                <c:pt idx="40">
                  <c:v>45.400000000000091</c:v>
                </c:pt>
                <c:pt idx="41">
                  <c:v>6.0699999999999932</c:v>
                </c:pt>
                <c:pt idx="42">
                  <c:v>0</c:v>
                </c:pt>
                <c:pt idx="43">
                  <c:v>-1.5100000000002183</c:v>
                </c:pt>
                <c:pt idx="44">
                  <c:v>91</c:v>
                </c:pt>
                <c:pt idx="45">
                  <c:v>11.899999999999977</c:v>
                </c:pt>
                <c:pt idx="46">
                  <c:v>167</c:v>
                </c:pt>
                <c:pt idx="47">
                  <c:v>96</c:v>
                </c:pt>
                <c:pt idx="48">
                  <c:v>2</c:v>
                </c:pt>
                <c:pt idx="49">
                  <c:v>17.990000000000236</c:v>
                </c:pt>
                <c:pt idx="50">
                  <c:v>0</c:v>
                </c:pt>
                <c:pt idx="51">
                  <c:v>0</c:v>
                </c:pt>
                <c:pt idx="52">
                  <c:v>-0.12999999999999545</c:v>
                </c:pt>
                <c:pt idx="53">
                  <c:v>0.14000000000000057</c:v>
                </c:pt>
                <c:pt idx="54">
                  <c:v>0</c:v>
                </c:pt>
                <c:pt idx="55">
                  <c:v>-1.2699999999999996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-12</c:v>
                </c:pt>
                <c:pt idx="60">
                  <c:v>22.129999999999882</c:v>
                </c:pt>
                <c:pt idx="61">
                  <c:v>30.000000000000057</c:v>
                </c:pt>
                <c:pt idx="62">
                  <c:v>1375</c:v>
                </c:pt>
                <c:pt idx="63">
                  <c:v>109</c:v>
                </c:pt>
                <c:pt idx="64">
                  <c:v>-8.6500000000000341</c:v>
                </c:pt>
                <c:pt idx="65">
                  <c:v>7.999999999999996E-2</c:v>
                </c:pt>
                <c:pt idx="66">
                  <c:v>11.009999999999764</c:v>
                </c:pt>
                <c:pt idx="67">
                  <c:v>10.119999999999891</c:v>
                </c:pt>
                <c:pt idx="68">
                  <c:v>3.8399999999999181</c:v>
                </c:pt>
                <c:pt idx="69">
                  <c:v>-0.57000000000005002</c:v>
                </c:pt>
                <c:pt idx="70">
                  <c:v>-205.14000000001397</c:v>
                </c:pt>
                <c:pt idx="71">
                  <c:v>7.6500000000000909</c:v>
                </c:pt>
                <c:pt idx="72">
                  <c:v>-0.5</c:v>
                </c:pt>
                <c:pt idx="73">
                  <c:v>11</c:v>
                </c:pt>
                <c:pt idx="74">
                  <c:v>2.9800000000000182</c:v>
                </c:pt>
                <c:pt idx="75">
                  <c:v>0</c:v>
                </c:pt>
                <c:pt idx="76">
                  <c:v>3.4899999999999949</c:v>
                </c:pt>
                <c:pt idx="77">
                  <c:v>10</c:v>
                </c:pt>
                <c:pt idx="78">
                  <c:v>9.9999999999997868E-3</c:v>
                </c:pt>
                <c:pt idx="79">
                  <c:v>0.19000000000000128</c:v>
                </c:pt>
                <c:pt idx="80">
                  <c:v>39</c:v>
                </c:pt>
                <c:pt idx="81">
                  <c:v>0</c:v>
                </c:pt>
                <c:pt idx="82">
                  <c:v>85.699999999999989</c:v>
                </c:pt>
                <c:pt idx="83">
                  <c:v>38</c:v>
                </c:pt>
                <c:pt idx="84">
                  <c:v>11.800000000000011</c:v>
                </c:pt>
                <c:pt idx="85">
                  <c:v>226.2800000000002</c:v>
                </c:pt>
                <c:pt idx="86">
                  <c:v>0</c:v>
                </c:pt>
                <c:pt idx="87">
                  <c:v>3548.3999999999942</c:v>
                </c:pt>
                <c:pt idx="88">
                  <c:v>0</c:v>
                </c:pt>
                <c:pt idx="89">
                  <c:v>7.1200000000000045</c:v>
                </c:pt>
                <c:pt idx="90">
                  <c:v>-17.22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-0.40999999999996817</c:v>
                </c:pt>
                <c:pt idx="138">
                  <c:v>0</c:v>
                </c:pt>
                <c:pt idx="139">
                  <c:v>-22</c:v>
                </c:pt>
                <c:pt idx="140">
                  <c:v>-5.569999999999709</c:v>
                </c:pt>
                <c:pt idx="141">
                  <c:v>-206.5</c:v>
                </c:pt>
                <c:pt idx="142">
                  <c:v>-27.199999999999989</c:v>
                </c:pt>
                <c:pt idx="143">
                  <c:v>-93</c:v>
                </c:pt>
                <c:pt idx="144">
                  <c:v>-1.0400000000000205</c:v>
                </c:pt>
                <c:pt idx="145">
                  <c:v>5.0000000000000711E-2</c:v>
                </c:pt>
                <c:pt idx="146">
                  <c:v>-4.9399999999998272</c:v>
                </c:pt>
                <c:pt idx="147">
                  <c:v>57.840000000000146</c:v>
                </c:pt>
                <c:pt idx="148">
                  <c:v>-93.930000000000291</c:v>
                </c:pt>
                <c:pt idx="149">
                  <c:v>-2.0000000000000018E-2</c:v>
                </c:pt>
                <c:pt idx="150">
                  <c:v>-62.100000000000136</c:v>
                </c:pt>
                <c:pt idx="151">
                  <c:v>0.67000000000000171</c:v>
                </c:pt>
                <c:pt idx="152">
                  <c:v>-3.6600000000003092</c:v>
                </c:pt>
                <c:pt idx="153">
                  <c:v>0</c:v>
                </c:pt>
                <c:pt idx="154">
                  <c:v>-59.409999999999854</c:v>
                </c:pt>
                <c:pt idx="155">
                  <c:v>-182</c:v>
                </c:pt>
                <c:pt idx="156">
                  <c:v>-15.799999999999955</c:v>
                </c:pt>
                <c:pt idx="157">
                  <c:v>-58.450000000000728</c:v>
                </c:pt>
                <c:pt idx="158">
                  <c:v>60</c:v>
                </c:pt>
                <c:pt idx="159">
                  <c:v>-60</c:v>
                </c:pt>
                <c:pt idx="160">
                  <c:v>-9.0000000000003411E-2</c:v>
                </c:pt>
                <c:pt idx="161">
                  <c:v>-48.190000000000509</c:v>
                </c:pt>
                <c:pt idx="162">
                  <c:v>-154.47000000000116</c:v>
                </c:pt>
                <c:pt idx="163">
                  <c:v>-15.529999999999973</c:v>
                </c:pt>
                <c:pt idx="164">
                  <c:v>-150</c:v>
                </c:pt>
                <c:pt idx="165">
                  <c:v>-16.5</c:v>
                </c:pt>
                <c:pt idx="166">
                  <c:v>-161.13000000000011</c:v>
                </c:pt>
                <c:pt idx="167">
                  <c:v>5</c:v>
                </c:pt>
                <c:pt idx="168">
                  <c:v>0</c:v>
                </c:pt>
                <c:pt idx="169">
                  <c:v>-640</c:v>
                </c:pt>
                <c:pt idx="170">
                  <c:v>-365</c:v>
                </c:pt>
                <c:pt idx="171">
                  <c:v>174.42999999999938</c:v>
                </c:pt>
                <c:pt idx="172">
                  <c:v>-66.090000000000146</c:v>
                </c:pt>
                <c:pt idx="173">
                  <c:v>-1117</c:v>
                </c:pt>
                <c:pt idx="174">
                  <c:v>-612.39999999999418</c:v>
                </c:pt>
                <c:pt idx="175">
                  <c:v>-355.03999999999996</c:v>
                </c:pt>
                <c:pt idx="176">
                  <c:v>-2.1200000000000045</c:v>
                </c:pt>
                <c:pt idx="177">
                  <c:v>-50</c:v>
                </c:pt>
                <c:pt idx="178">
                  <c:v>-871.23999999999796</c:v>
                </c:pt>
                <c:pt idx="179">
                  <c:v>-14.799999999999955</c:v>
                </c:pt>
                <c:pt idx="180">
                  <c:v>-7</c:v>
                </c:pt>
                <c:pt idx="181">
                  <c:v>-0.10999999999999988</c:v>
                </c:pt>
                <c:pt idx="182">
                  <c:v>-855.27000000000407</c:v>
                </c:pt>
                <c:pt idx="183">
                  <c:v>0</c:v>
                </c:pt>
                <c:pt idx="184">
                  <c:v>-940.90000000000146</c:v>
                </c:pt>
                <c:pt idx="185">
                  <c:v>-230.34999999999854</c:v>
                </c:pt>
                <c:pt idx="186">
                  <c:v>-383.75</c:v>
                </c:pt>
                <c:pt idx="187">
                  <c:v>25.200000000000273</c:v>
                </c:pt>
                <c:pt idx="188">
                  <c:v>-180</c:v>
                </c:pt>
                <c:pt idx="189">
                  <c:v>-0.33000000000000007</c:v>
                </c:pt>
                <c:pt idx="190">
                  <c:v>-280</c:v>
                </c:pt>
                <c:pt idx="191">
                  <c:v>516.56999999999971</c:v>
                </c:pt>
                <c:pt idx="192">
                  <c:v>-0.14999999999999858</c:v>
                </c:pt>
                <c:pt idx="193">
                  <c:v>-2.4200000000000159</c:v>
                </c:pt>
                <c:pt idx="194">
                  <c:v>-673.12999999999738</c:v>
                </c:pt>
                <c:pt idx="195">
                  <c:v>-57.079999999999927</c:v>
                </c:pt>
                <c:pt idx="196">
                  <c:v>-816.52999999999884</c:v>
                </c:pt>
                <c:pt idx="197">
                  <c:v>-172.5</c:v>
                </c:pt>
                <c:pt idx="198">
                  <c:v>-250.10000000000036</c:v>
                </c:pt>
                <c:pt idx="199">
                  <c:v>-111.64000000000033</c:v>
                </c:pt>
                <c:pt idx="200">
                  <c:v>-206.26000000000022</c:v>
                </c:pt>
                <c:pt idx="201">
                  <c:v>0</c:v>
                </c:pt>
                <c:pt idx="202">
                  <c:v>-591.5</c:v>
                </c:pt>
                <c:pt idx="203">
                  <c:v>-200</c:v>
                </c:pt>
                <c:pt idx="204">
                  <c:v>-1058.7900000000009</c:v>
                </c:pt>
                <c:pt idx="205">
                  <c:v>-22.5</c:v>
                </c:pt>
                <c:pt idx="206">
                  <c:v>-822</c:v>
                </c:pt>
                <c:pt idx="207">
                  <c:v>-3.1000000000000014</c:v>
                </c:pt>
                <c:pt idx="208">
                  <c:v>-2.1899999999999977</c:v>
                </c:pt>
                <c:pt idx="209">
                  <c:v>-106.15000000000055</c:v>
                </c:pt>
                <c:pt idx="210">
                  <c:v>-98.629999999999654</c:v>
                </c:pt>
                <c:pt idx="211">
                  <c:v>-1032.1399999999994</c:v>
                </c:pt>
                <c:pt idx="212">
                  <c:v>-62.490000000000691</c:v>
                </c:pt>
                <c:pt idx="213">
                  <c:v>-209.01000000000022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C-8D42-AC41-101913507393}"/>
            </c:ext>
          </c:extLst>
        </c:ser>
        <c:ser>
          <c:idx val="3"/>
          <c:order val="4"/>
          <c:tx>
            <c:strRef>
              <c:f>data!$AA$10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data!$B$11:$B$224</c:f>
              <c:strCache>
                <c:ptCount val="214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</c:strCache>
            </c:strRef>
          </c:cat>
          <c:val>
            <c:numRef>
              <c:f>data!$AA$11:$AA$224</c:f>
              <c:numCache>
                <c:formatCode>#,##0</c:formatCode>
                <c:ptCount val="214"/>
                <c:pt idx="0">
                  <c:v>2.4499999999999886</c:v>
                </c:pt>
                <c:pt idx="1">
                  <c:v>581.22999999999956</c:v>
                </c:pt>
                <c:pt idx="2">
                  <c:v>0</c:v>
                </c:pt>
                <c:pt idx="3">
                  <c:v>58</c:v>
                </c:pt>
                <c:pt idx="4">
                  <c:v>40.449999999999818</c:v>
                </c:pt>
                <c:pt idx="5">
                  <c:v>33.400000000000091</c:v>
                </c:pt>
                <c:pt idx="6">
                  <c:v>20.989999999997963</c:v>
                </c:pt>
                <c:pt idx="7">
                  <c:v>1.5</c:v>
                </c:pt>
                <c:pt idx="8">
                  <c:v>3</c:v>
                </c:pt>
                <c:pt idx="9">
                  <c:v>0.4199999999999946</c:v>
                </c:pt>
                <c:pt idx="10">
                  <c:v>111</c:v>
                </c:pt>
                <c:pt idx="11">
                  <c:v>19.42999999999995</c:v>
                </c:pt>
                <c:pt idx="12">
                  <c:v>269.04999999999927</c:v>
                </c:pt>
                <c:pt idx="13">
                  <c:v>9683.929999999993</c:v>
                </c:pt>
                <c:pt idx="14">
                  <c:v>9.9000000000000909</c:v>
                </c:pt>
                <c:pt idx="15">
                  <c:v>17.389999999999873</c:v>
                </c:pt>
                <c:pt idx="16">
                  <c:v>60</c:v>
                </c:pt>
                <c:pt idx="17">
                  <c:v>417</c:v>
                </c:pt>
                <c:pt idx="18">
                  <c:v>134.10000000000036</c:v>
                </c:pt>
                <c:pt idx="19">
                  <c:v>3.1199999999998909</c:v>
                </c:pt>
                <c:pt idx="20">
                  <c:v>0</c:v>
                </c:pt>
                <c:pt idx="21">
                  <c:v>27.350000000000023</c:v>
                </c:pt>
                <c:pt idx="22">
                  <c:v>1</c:v>
                </c:pt>
                <c:pt idx="23">
                  <c:v>2.3999999999999915</c:v>
                </c:pt>
                <c:pt idx="24">
                  <c:v>14</c:v>
                </c:pt>
                <c:pt idx="25">
                  <c:v>614.61999999999898</c:v>
                </c:pt>
                <c:pt idx="26">
                  <c:v>19.349999999999909</c:v>
                </c:pt>
                <c:pt idx="27">
                  <c:v>7.0900000000000318</c:v>
                </c:pt>
                <c:pt idx="28">
                  <c:v>590.06000000000131</c:v>
                </c:pt>
                <c:pt idx="29">
                  <c:v>17.199999999999818</c:v>
                </c:pt>
                <c:pt idx="30">
                  <c:v>0</c:v>
                </c:pt>
                <c:pt idx="31">
                  <c:v>1332</c:v>
                </c:pt>
                <c:pt idx="32">
                  <c:v>140.25999999999976</c:v>
                </c:pt>
                <c:pt idx="33">
                  <c:v>-7.8099999999999454</c:v>
                </c:pt>
                <c:pt idx="34">
                  <c:v>0</c:v>
                </c:pt>
                <c:pt idx="35">
                  <c:v>81.839999999999691</c:v>
                </c:pt>
                <c:pt idx="36">
                  <c:v>-10.170000000000073</c:v>
                </c:pt>
                <c:pt idx="37">
                  <c:v>28.090000000000146</c:v>
                </c:pt>
                <c:pt idx="38">
                  <c:v>0</c:v>
                </c:pt>
                <c:pt idx="39">
                  <c:v>3.7600000000001046</c:v>
                </c:pt>
                <c:pt idx="40">
                  <c:v>53.879999999999882</c:v>
                </c:pt>
                <c:pt idx="41">
                  <c:v>6.0600000000000023</c:v>
                </c:pt>
                <c:pt idx="42">
                  <c:v>0</c:v>
                </c:pt>
                <c:pt idx="43">
                  <c:v>45.979999999999563</c:v>
                </c:pt>
                <c:pt idx="44">
                  <c:v>63</c:v>
                </c:pt>
                <c:pt idx="45">
                  <c:v>0.10000000000002274</c:v>
                </c:pt>
                <c:pt idx="46">
                  <c:v>0</c:v>
                </c:pt>
                <c:pt idx="47">
                  <c:v>35</c:v>
                </c:pt>
                <c:pt idx="48">
                  <c:v>17.1099999999999</c:v>
                </c:pt>
                <c:pt idx="49">
                  <c:v>17.960000000000036</c:v>
                </c:pt>
                <c:pt idx="50">
                  <c:v>0</c:v>
                </c:pt>
                <c:pt idx="51">
                  <c:v>0</c:v>
                </c:pt>
                <c:pt idx="52">
                  <c:v>-0.18000000000000682</c:v>
                </c:pt>
                <c:pt idx="53">
                  <c:v>0.15000000000000568</c:v>
                </c:pt>
                <c:pt idx="54">
                  <c:v>0</c:v>
                </c:pt>
                <c:pt idx="55">
                  <c:v>-0.89999999999999858</c:v>
                </c:pt>
                <c:pt idx="56">
                  <c:v>59.890000000001237</c:v>
                </c:pt>
                <c:pt idx="57">
                  <c:v>0</c:v>
                </c:pt>
                <c:pt idx="58">
                  <c:v>0</c:v>
                </c:pt>
                <c:pt idx="59">
                  <c:v>-188</c:v>
                </c:pt>
                <c:pt idx="60">
                  <c:v>63.570000000000164</c:v>
                </c:pt>
                <c:pt idx="61">
                  <c:v>0</c:v>
                </c:pt>
                <c:pt idx="62">
                  <c:v>-300</c:v>
                </c:pt>
                <c:pt idx="63">
                  <c:v>33</c:v>
                </c:pt>
                <c:pt idx="64">
                  <c:v>4.6700000000000159</c:v>
                </c:pt>
                <c:pt idx="65">
                  <c:v>9.9999999999999978E-2</c:v>
                </c:pt>
                <c:pt idx="66">
                  <c:v>8.7000000000002728</c:v>
                </c:pt>
                <c:pt idx="67">
                  <c:v>57.800000000000182</c:v>
                </c:pt>
                <c:pt idx="68">
                  <c:v>4.1500000000000909</c:v>
                </c:pt>
                <c:pt idx="69">
                  <c:v>0</c:v>
                </c:pt>
                <c:pt idx="70">
                  <c:v>381.14000000001397</c:v>
                </c:pt>
                <c:pt idx="71">
                  <c:v>7.6499999999999773</c:v>
                </c:pt>
                <c:pt idx="72">
                  <c:v>-0.5</c:v>
                </c:pt>
                <c:pt idx="73">
                  <c:v>-25</c:v>
                </c:pt>
                <c:pt idx="74">
                  <c:v>3</c:v>
                </c:pt>
                <c:pt idx="75">
                  <c:v>0.11000000000000004</c:v>
                </c:pt>
                <c:pt idx="76">
                  <c:v>3.1900000000000048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39</c:v>
                </c:pt>
                <c:pt idx="81">
                  <c:v>0</c:v>
                </c:pt>
                <c:pt idx="82">
                  <c:v>0</c:v>
                </c:pt>
                <c:pt idx="83">
                  <c:v>-7</c:v>
                </c:pt>
                <c:pt idx="84">
                  <c:v>2</c:v>
                </c:pt>
                <c:pt idx="85">
                  <c:v>146.2199999999998</c:v>
                </c:pt>
                <c:pt idx="86">
                  <c:v>0</c:v>
                </c:pt>
                <c:pt idx="87">
                  <c:v>910.60000000000582</c:v>
                </c:pt>
                <c:pt idx="88">
                  <c:v>0.20000000000000018</c:v>
                </c:pt>
                <c:pt idx="89">
                  <c:v>-0.29000000000007731</c:v>
                </c:pt>
                <c:pt idx="90">
                  <c:v>-3.4400000000000048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0.37000000000000455</c:v>
                </c:pt>
                <c:pt idx="138">
                  <c:v>-0.5</c:v>
                </c:pt>
                <c:pt idx="139">
                  <c:v>-9</c:v>
                </c:pt>
                <c:pt idx="140">
                  <c:v>-5.5499999999992724</c:v>
                </c:pt>
                <c:pt idx="141">
                  <c:v>-187.61000000004424</c:v>
                </c:pt>
                <c:pt idx="142">
                  <c:v>-27.240000000000009</c:v>
                </c:pt>
                <c:pt idx="143">
                  <c:v>0</c:v>
                </c:pt>
                <c:pt idx="144">
                  <c:v>-1.0499999999999545</c:v>
                </c:pt>
                <c:pt idx="145">
                  <c:v>5.0000000000000711E-2</c:v>
                </c:pt>
                <c:pt idx="146">
                  <c:v>0</c:v>
                </c:pt>
                <c:pt idx="147">
                  <c:v>27.409999999999854</c:v>
                </c:pt>
                <c:pt idx="148">
                  <c:v>88.680000000000291</c:v>
                </c:pt>
                <c:pt idx="149">
                  <c:v>0</c:v>
                </c:pt>
                <c:pt idx="150">
                  <c:v>-62.099999999999909</c:v>
                </c:pt>
                <c:pt idx="151">
                  <c:v>-0.29999999999999716</c:v>
                </c:pt>
                <c:pt idx="152">
                  <c:v>-3.6500000000000909</c:v>
                </c:pt>
                <c:pt idx="153">
                  <c:v>0</c:v>
                </c:pt>
                <c:pt idx="154">
                  <c:v>-59.400000000001455</c:v>
                </c:pt>
                <c:pt idx="155">
                  <c:v>-182</c:v>
                </c:pt>
                <c:pt idx="156">
                  <c:v>-15.799999999999955</c:v>
                </c:pt>
                <c:pt idx="157">
                  <c:v>-46.020000000000437</c:v>
                </c:pt>
                <c:pt idx="158">
                  <c:v>0</c:v>
                </c:pt>
                <c:pt idx="159">
                  <c:v>-69</c:v>
                </c:pt>
                <c:pt idx="160">
                  <c:v>0.47000000000000597</c:v>
                </c:pt>
                <c:pt idx="161">
                  <c:v>-55.3799999999992</c:v>
                </c:pt>
                <c:pt idx="162">
                  <c:v>-168.65999999999622</c:v>
                </c:pt>
                <c:pt idx="163">
                  <c:v>-15.550000000000011</c:v>
                </c:pt>
                <c:pt idx="164">
                  <c:v>-150</c:v>
                </c:pt>
                <c:pt idx="165">
                  <c:v>-17.149999999999636</c:v>
                </c:pt>
                <c:pt idx="166">
                  <c:v>-206.69999999999982</c:v>
                </c:pt>
                <c:pt idx="167">
                  <c:v>6</c:v>
                </c:pt>
                <c:pt idx="168">
                  <c:v>0</c:v>
                </c:pt>
                <c:pt idx="169">
                  <c:v>-577</c:v>
                </c:pt>
                <c:pt idx="170">
                  <c:v>-365</c:v>
                </c:pt>
                <c:pt idx="171">
                  <c:v>174.44000000000051</c:v>
                </c:pt>
                <c:pt idx="172">
                  <c:v>-66.079999999999927</c:v>
                </c:pt>
                <c:pt idx="173">
                  <c:v>-524</c:v>
                </c:pt>
                <c:pt idx="174">
                  <c:v>-638.83000000000175</c:v>
                </c:pt>
                <c:pt idx="175">
                  <c:v>-355.05000000000018</c:v>
                </c:pt>
                <c:pt idx="176">
                  <c:v>-2.0999999999999943</c:v>
                </c:pt>
                <c:pt idx="177">
                  <c:v>-50</c:v>
                </c:pt>
                <c:pt idx="178">
                  <c:v>-850.38000000000102</c:v>
                </c:pt>
                <c:pt idx="179">
                  <c:v>-14.799999999999955</c:v>
                </c:pt>
                <c:pt idx="180">
                  <c:v>-7</c:v>
                </c:pt>
                <c:pt idx="181">
                  <c:v>-0.1100000000000001</c:v>
                </c:pt>
                <c:pt idx="182">
                  <c:v>-864.16000000000349</c:v>
                </c:pt>
                <c:pt idx="183">
                  <c:v>0</c:v>
                </c:pt>
                <c:pt idx="184">
                  <c:v>-941.06999999999971</c:v>
                </c:pt>
                <c:pt idx="185">
                  <c:v>-230.34999999999854</c:v>
                </c:pt>
                <c:pt idx="186">
                  <c:v>-383.75</c:v>
                </c:pt>
                <c:pt idx="187">
                  <c:v>-15.800000000000182</c:v>
                </c:pt>
                <c:pt idx="188">
                  <c:v>-200</c:v>
                </c:pt>
                <c:pt idx="189">
                  <c:v>-0.33000000000000007</c:v>
                </c:pt>
                <c:pt idx="190">
                  <c:v>-280</c:v>
                </c:pt>
                <c:pt idx="191">
                  <c:v>-350.18000000000029</c:v>
                </c:pt>
                <c:pt idx="192">
                  <c:v>-0.15000000000000213</c:v>
                </c:pt>
                <c:pt idx="193">
                  <c:v>-2.4000000000000057</c:v>
                </c:pt>
                <c:pt idx="194">
                  <c:v>-992.75</c:v>
                </c:pt>
                <c:pt idx="195">
                  <c:v>-57.069999999999709</c:v>
                </c:pt>
                <c:pt idx="196">
                  <c:v>-816.5</c:v>
                </c:pt>
                <c:pt idx="197">
                  <c:v>-172.5</c:v>
                </c:pt>
                <c:pt idx="198">
                  <c:v>-250</c:v>
                </c:pt>
                <c:pt idx="199">
                  <c:v>-104.56999999999971</c:v>
                </c:pt>
                <c:pt idx="200">
                  <c:v>-206.25999999999976</c:v>
                </c:pt>
                <c:pt idx="201">
                  <c:v>0</c:v>
                </c:pt>
                <c:pt idx="202">
                  <c:v>-591.5</c:v>
                </c:pt>
                <c:pt idx="203">
                  <c:v>-200</c:v>
                </c:pt>
                <c:pt idx="204">
                  <c:v>-1193.4599999999991</c:v>
                </c:pt>
                <c:pt idx="205">
                  <c:v>-22.5</c:v>
                </c:pt>
                <c:pt idx="206">
                  <c:v>-452.09999999999854</c:v>
                </c:pt>
                <c:pt idx="207">
                  <c:v>-3.1000000000000014</c:v>
                </c:pt>
                <c:pt idx="208">
                  <c:v>-2.1899999999999977</c:v>
                </c:pt>
                <c:pt idx="209">
                  <c:v>-106.14999999999964</c:v>
                </c:pt>
                <c:pt idx="210">
                  <c:v>-98.650000000000091</c:v>
                </c:pt>
                <c:pt idx="211">
                  <c:v>-1196.239999999998</c:v>
                </c:pt>
                <c:pt idx="212">
                  <c:v>105.27000000000044</c:v>
                </c:pt>
                <c:pt idx="213">
                  <c:v>-321.35000000000036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6C-8D42-AC41-101913507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370560"/>
        <c:axId val="1817822576"/>
      </c:barChart>
      <c:barChart>
        <c:barDir val="col"/>
        <c:grouping val="clustered"/>
        <c:varyColors val="0"/>
        <c:ser>
          <c:idx val="0"/>
          <c:order val="0"/>
          <c:tx>
            <c:strRef>
              <c:f>'data (2)'!$X$3</c:f>
              <c:strCache>
                <c:ptCount val="1"/>
                <c:pt idx="0">
                  <c:v>1990-2000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(2)'!$B$4:$B$217</c:f>
              <c:strCache>
                <c:ptCount val="31"/>
                <c:pt idx="0">
                  <c:v>Viet Nam</c:v>
                </c:pt>
                <c:pt idx="1">
                  <c:v>Cuba</c:v>
                </c:pt>
                <c:pt idx="2">
                  <c:v>Dominican Republic</c:v>
                </c:pt>
                <c:pt idx="3">
                  <c:v>Spain</c:v>
                </c:pt>
                <c:pt idx="4">
                  <c:v>Uruguay</c:v>
                </c:pt>
                <c:pt idx="5">
                  <c:v>Italy</c:v>
                </c:pt>
                <c:pt idx="6">
                  <c:v>China</c:v>
                </c:pt>
                <c:pt idx="7">
                  <c:v>Bulgaria</c:v>
                </c:pt>
                <c:pt idx="8">
                  <c:v>France</c:v>
                </c:pt>
                <c:pt idx="9">
                  <c:v>Belarus</c:v>
                </c:pt>
                <c:pt idx="10">
                  <c:v>Greece</c:v>
                </c:pt>
                <c:pt idx="11">
                  <c:v>Chile</c:v>
                </c:pt>
                <c:pt idx="12">
                  <c:v>Turkey</c:v>
                </c:pt>
                <c:pt idx="13">
                  <c:v>India</c:v>
                </c:pt>
                <c:pt idx="14">
                  <c:v>Uzbekistan</c:v>
                </c:pt>
                <c:pt idx="15">
                  <c:v>Romania</c:v>
                </c:pt>
                <c:pt idx="16">
                  <c:v>New Zealand</c:v>
                </c:pt>
                <c:pt idx="17">
                  <c:v>Poland</c:v>
                </c:pt>
                <c:pt idx="18">
                  <c:v>Finland</c:v>
                </c:pt>
                <c:pt idx="19">
                  <c:v>Iran (Islamic Republic of)</c:v>
                </c:pt>
                <c:pt idx="20">
                  <c:v>Thailand</c:v>
                </c:pt>
                <c:pt idx="21">
                  <c:v>United States of America</c:v>
                </c:pt>
                <c:pt idx="22">
                  <c:v>Russian Federation</c:v>
                </c:pt>
                <c:pt idx="23">
                  <c:v>Argentina</c:v>
                </c:pt>
                <c:pt idx="24">
                  <c:v>Sudan</c:v>
                </c:pt>
                <c:pt idx="25">
                  <c:v>Colombia</c:v>
                </c:pt>
                <c:pt idx="26">
                  <c:v>Bolivia (Plurinational State of)</c:v>
                </c:pt>
                <c:pt idx="27">
                  <c:v>Venezuela (Bolivarian Republic of)</c:v>
                </c:pt>
                <c:pt idx="28">
                  <c:v>Mozambique</c:v>
                </c:pt>
                <c:pt idx="29">
                  <c:v>Angola</c:v>
                </c:pt>
                <c:pt idx="30">
                  <c:v>Democratic Republic of the Congo</c:v>
                </c:pt>
              </c:strCache>
            </c:strRef>
          </c:cat>
          <c:val>
            <c:numRef>
              <c:f>'data (2)'!$X$4:$X$217</c:f>
              <c:numCache>
                <c:formatCode>#,##0</c:formatCode>
                <c:ptCount val="31"/>
                <c:pt idx="0">
                  <c:v>2408.1400000000012</c:v>
                </c:pt>
                <c:pt idx="1">
                  <c:v>377</c:v>
                </c:pt>
                <c:pt idx="2">
                  <c:v>377.57999999999993</c:v>
                </c:pt>
                <c:pt idx="3">
                  <c:v>3189.2700000000004</c:v>
                </c:pt>
                <c:pt idx="4">
                  <c:v>571</c:v>
                </c:pt>
                <c:pt idx="5">
                  <c:v>779.5</c:v>
                </c:pt>
                <c:pt idx="6">
                  <c:v>19859.959999999992</c:v>
                </c:pt>
                <c:pt idx="7">
                  <c:v>48</c:v>
                </c:pt>
                <c:pt idx="8">
                  <c:v>852</c:v>
                </c:pt>
                <c:pt idx="9">
                  <c:v>493</c:v>
                </c:pt>
                <c:pt idx="10">
                  <c:v>301.67999999999984</c:v>
                </c:pt>
                <c:pt idx="11">
                  <c:v>571.01000000000022</c:v>
                </c:pt>
                <c:pt idx="12">
                  <c:v>364.86999999999898</c:v>
                </c:pt>
                <c:pt idx="13">
                  <c:v>3653</c:v>
                </c:pt>
                <c:pt idx="14">
                  <c:v>412.09000000000015</c:v>
                </c:pt>
                <c:pt idx="15">
                  <c:v>-5</c:v>
                </c:pt>
                <c:pt idx="16">
                  <c:v>478.17000000000007</c:v>
                </c:pt>
                <c:pt idx="17">
                  <c:v>177</c:v>
                </c:pt>
                <c:pt idx="18">
                  <c:v>570.30999999999767</c:v>
                </c:pt>
                <c:pt idx="19">
                  <c:v>249.60000000000036</c:v>
                </c:pt>
                <c:pt idx="20">
                  <c:v>-363</c:v>
                </c:pt>
                <c:pt idx="21">
                  <c:v>1086</c:v>
                </c:pt>
                <c:pt idx="22">
                  <c:v>318.59999999997672</c:v>
                </c:pt>
                <c:pt idx="23">
                  <c:v>-1826</c:v>
                </c:pt>
                <c:pt idx="24">
                  <c:v>-1744.1500000000015</c:v>
                </c:pt>
                <c:pt idx="25">
                  <c:v>-2222.6399999999994</c:v>
                </c:pt>
                <c:pt idx="26">
                  <c:v>-2703.3300000000017</c:v>
                </c:pt>
                <c:pt idx="27">
                  <c:v>-2875</c:v>
                </c:pt>
                <c:pt idx="28">
                  <c:v>-2190</c:v>
                </c:pt>
                <c:pt idx="29">
                  <c:v>-1554.1699999999983</c:v>
                </c:pt>
                <c:pt idx="30">
                  <c:v>-6730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6C-8D42-AC41-101913507393}"/>
            </c:ext>
          </c:extLst>
        </c:ser>
        <c:ser>
          <c:idx val="4"/>
          <c:order val="1"/>
          <c:tx>
            <c:strRef>
              <c:f>'data (2)'!$AB$3</c:f>
              <c:strCache>
                <c:ptCount val="1"/>
                <c:pt idx="0">
                  <c:v>2010-2020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 (2)'!$B$4:$B$217</c:f>
              <c:strCache>
                <c:ptCount val="31"/>
                <c:pt idx="0">
                  <c:v>Viet Nam</c:v>
                </c:pt>
                <c:pt idx="1">
                  <c:v>Cuba</c:v>
                </c:pt>
                <c:pt idx="2">
                  <c:v>Dominican Republic</c:v>
                </c:pt>
                <c:pt idx="3">
                  <c:v>Spain</c:v>
                </c:pt>
                <c:pt idx="4">
                  <c:v>Uruguay</c:v>
                </c:pt>
                <c:pt idx="5">
                  <c:v>Italy</c:v>
                </c:pt>
                <c:pt idx="6">
                  <c:v>China</c:v>
                </c:pt>
                <c:pt idx="7">
                  <c:v>Bulgaria</c:v>
                </c:pt>
                <c:pt idx="8">
                  <c:v>France</c:v>
                </c:pt>
                <c:pt idx="9">
                  <c:v>Belarus</c:v>
                </c:pt>
                <c:pt idx="10">
                  <c:v>Greece</c:v>
                </c:pt>
                <c:pt idx="11">
                  <c:v>Chile</c:v>
                </c:pt>
                <c:pt idx="12">
                  <c:v>Turkey</c:v>
                </c:pt>
                <c:pt idx="13">
                  <c:v>India</c:v>
                </c:pt>
                <c:pt idx="14">
                  <c:v>Uzbekistan</c:v>
                </c:pt>
                <c:pt idx="15">
                  <c:v>Romania</c:v>
                </c:pt>
                <c:pt idx="16">
                  <c:v>New Zealand</c:v>
                </c:pt>
                <c:pt idx="17">
                  <c:v>Poland</c:v>
                </c:pt>
                <c:pt idx="18">
                  <c:v>Finland</c:v>
                </c:pt>
                <c:pt idx="19">
                  <c:v>Iran (Islamic Republic of)</c:v>
                </c:pt>
                <c:pt idx="20">
                  <c:v>Thailand</c:v>
                </c:pt>
                <c:pt idx="21">
                  <c:v>United States of America</c:v>
                </c:pt>
                <c:pt idx="22">
                  <c:v>Russian Federation</c:v>
                </c:pt>
                <c:pt idx="23">
                  <c:v>Argentina</c:v>
                </c:pt>
                <c:pt idx="24">
                  <c:v>Sudan</c:v>
                </c:pt>
                <c:pt idx="25">
                  <c:v>Colombia</c:v>
                </c:pt>
                <c:pt idx="26">
                  <c:v>Bolivia (Plurinational State of)</c:v>
                </c:pt>
                <c:pt idx="27">
                  <c:v>Venezuela (Bolivarian Republic of)</c:v>
                </c:pt>
                <c:pt idx="28">
                  <c:v>Mozambique</c:v>
                </c:pt>
                <c:pt idx="29">
                  <c:v>Angola</c:v>
                </c:pt>
                <c:pt idx="30">
                  <c:v>Democratic Republic of the Congo</c:v>
                </c:pt>
              </c:strCache>
            </c:strRef>
          </c:cat>
          <c:val>
            <c:numRef>
              <c:f>'data (2)'!$AB$4:$AB$217</c:f>
              <c:numCache>
                <c:formatCode>#,##0</c:formatCode>
                <c:ptCount val="31"/>
                <c:pt idx="0">
                  <c:v>1255.0300000000007</c:v>
                </c:pt>
                <c:pt idx="1">
                  <c:v>310</c:v>
                </c:pt>
                <c:pt idx="2">
                  <c:v>70.980000000000018</c:v>
                </c:pt>
                <c:pt idx="3">
                  <c:v>26.829999999998108</c:v>
                </c:pt>
                <c:pt idx="4">
                  <c:v>299.70000000000005</c:v>
                </c:pt>
                <c:pt idx="5">
                  <c:v>538.08999999999833</c:v>
                </c:pt>
                <c:pt idx="6">
                  <c:v>19367.799999999988</c:v>
                </c:pt>
                <c:pt idx="7">
                  <c:v>156</c:v>
                </c:pt>
                <c:pt idx="8">
                  <c:v>834</c:v>
                </c:pt>
                <c:pt idx="9">
                  <c:v>137.60000000000036</c:v>
                </c:pt>
                <c:pt idx="10">
                  <c:v>0</c:v>
                </c:pt>
                <c:pt idx="11">
                  <c:v>1485.4400000000023</c:v>
                </c:pt>
                <c:pt idx="12">
                  <c:v>1137.2799999999988</c:v>
                </c:pt>
                <c:pt idx="13">
                  <c:v>2664</c:v>
                </c:pt>
                <c:pt idx="14">
                  <c:v>340.05999999999995</c:v>
                </c:pt>
                <c:pt idx="15">
                  <c:v>414.05000000000018</c:v>
                </c:pt>
                <c:pt idx="16">
                  <c:v>44.469999999999345</c:v>
                </c:pt>
                <c:pt idx="17">
                  <c:v>154</c:v>
                </c:pt>
                <c:pt idx="18">
                  <c:v>167</c:v>
                </c:pt>
                <c:pt idx="19">
                  <c:v>59.890000000001237</c:v>
                </c:pt>
                <c:pt idx="20">
                  <c:v>-200</c:v>
                </c:pt>
                <c:pt idx="21">
                  <c:v>1075</c:v>
                </c:pt>
                <c:pt idx="22">
                  <c:v>176</c:v>
                </c:pt>
                <c:pt idx="23">
                  <c:v>-1641</c:v>
                </c:pt>
                <c:pt idx="24">
                  <c:v>-1721.619999999999</c:v>
                </c:pt>
                <c:pt idx="25">
                  <c:v>-1665.8799999999974</c:v>
                </c:pt>
                <c:pt idx="26">
                  <c:v>-2252.25</c:v>
                </c:pt>
                <c:pt idx="27">
                  <c:v>-1274.0999999999985</c:v>
                </c:pt>
                <c:pt idx="28">
                  <c:v>-2228.3799999999974</c:v>
                </c:pt>
                <c:pt idx="29">
                  <c:v>-5550.6199999999953</c:v>
                </c:pt>
                <c:pt idx="30">
                  <c:v>-11013.759999999995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6C-8D42-AC41-101913507393}"/>
            </c:ext>
          </c:extLst>
        </c:ser>
        <c:ser>
          <c:idx val="1"/>
          <c:order val="2"/>
          <c:tx>
            <c:strRef>
              <c:f>'data (2)'!$Y$3</c:f>
              <c:strCache>
                <c:ptCount val="1"/>
                <c:pt idx="0">
                  <c:v>2000-2010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(2)'!$B$4:$B$217</c:f>
              <c:strCache>
                <c:ptCount val="31"/>
                <c:pt idx="0">
                  <c:v>Viet Nam</c:v>
                </c:pt>
                <c:pt idx="1">
                  <c:v>Cuba</c:v>
                </c:pt>
                <c:pt idx="2">
                  <c:v>Dominican Republic</c:v>
                </c:pt>
                <c:pt idx="3">
                  <c:v>Spain</c:v>
                </c:pt>
                <c:pt idx="4">
                  <c:v>Uruguay</c:v>
                </c:pt>
                <c:pt idx="5">
                  <c:v>Italy</c:v>
                </c:pt>
                <c:pt idx="6">
                  <c:v>China</c:v>
                </c:pt>
                <c:pt idx="7">
                  <c:v>Bulgaria</c:v>
                </c:pt>
                <c:pt idx="8">
                  <c:v>France</c:v>
                </c:pt>
                <c:pt idx="9">
                  <c:v>Belarus</c:v>
                </c:pt>
                <c:pt idx="10">
                  <c:v>Greece</c:v>
                </c:pt>
                <c:pt idx="11">
                  <c:v>Chile</c:v>
                </c:pt>
                <c:pt idx="12">
                  <c:v>Turkey</c:v>
                </c:pt>
                <c:pt idx="13">
                  <c:v>India</c:v>
                </c:pt>
                <c:pt idx="14">
                  <c:v>Uzbekistan</c:v>
                </c:pt>
                <c:pt idx="15">
                  <c:v>Romania</c:v>
                </c:pt>
                <c:pt idx="16">
                  <c:v>New Zealand</c:v>
                </c:pt>
                <c:pt idx="17">
                  <c:v>Poland</c:v>
                </c:pt>
                <c:pt idx="18">
                  <c:v>Finland</c:v>
                </c:pt>
                <c:pt idx="19">
                  <c:v>Iran (Islamic Republic of)</c:v>
                </c:pt>
                <c:pt idx="20">
                  <c:v>Thailand</c:v>
                </c:pt>
                <c:pt idx="21">
                  <c:v>United States of America</c:v>
                </c:pt>
                <c:pt idx="22">
                  <c:v>Russian Federation</c:v>
                </c:pt>
                <c:pt idx="23">
                  <c:v>Argentina</c:v>
                </c:pt>
                <c:pt idx="24">
                  <c:v>Sudan</c:v>
                </c:pt>
                <c:pt idx="25">
                  <c:v>Colombia</c:v>
                </c:pt>
                <c:pt idx="26">
                  <c:v>Bolivia (Plurinational State of)</c:v>
                </c:pt>
                <c:pt idx="27">
                  <c:v>Venezuela (Bolivarian Republic of)</c:v>
                </c:pt>
                <c:pt idx="28">
                  <c:v>Mozambique</c:v>
                </c:pt>
                <c:pt idx="29">
                  <c:v>Angola</c:v>
                </c:pt>
                <c:pt idx="30">
                  <c:v>Democratic Republic of the Congo</c:v>
                </c:pt>
              </c:strCache>
            </c:strRef>
          </c:cat>
          <c:val>
            <c:numRef>
              <c:f>'data (2)'!$Y$4:$Y$217</c:f>
              <c:numCache>
                <c:formatCode>#,##0</c:formatCode>
                <c:ptCount val="31"/>
                <c:pt idx="0">
                  <c:v>1603.9599999999991</c:v>
                </c:pt>
                <c:pt idx="1">
                  <c:v>497</c:v>
                </c:pt>
                <c:pt idx="2">
                  <c:v>100.64999999999986</c:v>
                </c:pt>
                <c:pt idx="3">
                  <c:v>1451.4099999999999</c:v>
                </c:pt>
                <c:pt idx="4">
                  <c:v>362.29999999999995</c:v>
                </c:pt>
                <c:pt idx="5">
                  <c:v>658.79000000000087</c:v>
                </c:pt>
                <c:pt idx="6">
                  <c:v>23609.830000000016</c:v>
                </c:pt>
                <c:pt idx="7">
                  <c:v>362</c:v>
                </c:pt>
                <c:pt idx="8">
                  <c:v>1131</c:v>
                </c:pt>
                <c:pt idx="9">
                  <c:v>357</c:v>
                </c:pt>
                <c:pt idx="10">
                  <c:v>301.57000000000016</c:v>
                </c:pt>
                <c:pt idx="11">
                  <c:v>908.19999999999891</c:v>
                </c:pt>
                <c:pt idx="12">
                  <c:v>934.7300000000032</c:v>
                </c:pt>
                <c:pt idx="13">
                  <c:v>1905</c:v>
                </c:pt>
                <c:pt idx="14">
                  <c:v>388.13999999999987</c:v>
                </c:pt>
                <c:pt idx="15">
                  <c:v>149</c:v>
                </c:pt>
                <c:pt idx="16">
                  <c:v>-2.319999999999709</c:v>
                </c:pt>
                <c:pt idx="17">
                  <c:v>270</c:v>
                </c:pt>
                <c:pt idx="18">
                  <c:v>-203.63999999999942</c:v>
                </c:pt>
                <c:pt idx="19">
                  <c:v>1366.3199999999997</c:v>
                </c:pt>
                <c:pt idx="20">
                  <c:v>1075</c:v>
                </c:pt>
                <c:pt idx="21">
                  <c:v>5184</c:v>
                </c:pt>
                <c:pt idx="22">
                  <c:v>5867.0999999999767</c:v>
                </c:pt>
                <c:pt idx="23">
                  <c:v>-3164</c:v>
                </c:pt>
                <c:pt idx="24">
                  <c:v>-1744.9900000000016</c:v>
                </c:pt>
                <c:pt idx="25">
                  <c:v>-1927.7099999999991</c:v>
                </c:pt>
                <c:pt idx="26">
                  <c:v>-2015.3799999999974</c:v>
                </c:pt>
                <c:pt idx="27">
                  <c:v>-1646</c:v>
                </c:pt>
                <c:pt idx="28">
                  <c:v>-2215.8600000000006</c:v>
                </c:pt>
                <c:pt idx="29">
                  <c:v>-5550.6100000000006</c:v>
                </c:pt>
                <c:pt idx="30">
                  <c:v>-6730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6C-8D42-AC41-101913507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370560"/>
        <c:axId val="1817822576"/>
      </c:barChart>
      <c:catAx>
        <c:axId val="7503705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822576"/>
        <c:crosses val="autoZero"/>
        <c:auto val="1"/>
        <c:lblAlgn val="ctr"/>
        <c:lblOffset val="100"/>
        <c:noMultiLvlLbl val="0"/>
      </c:catAx>
      <c:valAx>
        <c:axId val="18178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70560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GB" sz="1000"/>
              <a:t>Nations with (net)</a:t>
            </a:r>
            <a:r>
              <a:rPr lang="en-GB" sz="1000" baseline="0"/>
              <a:t> </a:t>
            </a:r>
            <a:r>
              <a:rPr lang="en-GB" sz="1000"/>
              <a:t>afforestation &gt; </a:t>
            </a:r>
            <a:r>
              <a:rPr lang="en-GB" sz="1000" baseline="0"/>
              <a:t>500,000 ha or (net) </a:t>
            </a:r>
            <a:r>
              <a:rPr lang="en-GB" sz="1000"/>
              <a:t>deforestation &gt; 5,000,000</a:t>
            </a:r>
            <a:r>
              <a:rPr lang="en-GB" sz="1000" baseline="0"/>
              <a:t> ha</a:t>
            </a:r>
            <a:r>
              <a:rPr lang="en-GB" sz="1000"/>
              <a:t>, 1990-2020</a:t>
            </a:r>
            <a:br>
              <a:rPr lang="en-GB" sz="1000"/>
            </a:br>
            <a:r>
              <a:rPr lang="en-GB" sz="1000"/>
              <a:t>Rate of forest gain/loss relative to total land area by nation, 1990-2020</a:t>
            </a:r>
          </a:p>
        </c:rich>
      </c:tx>
      <c:layout>
        <c:manualLayout>
          <c:xMode val="edge"/>
          <c:yMode val="edge"/>
          <c:x val="0.21435584402601349"/>
          <c:y val="2.7459949285581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data!$Z$10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data!$B$11:$B$224</c:f>
              <c:strCache>
                <c:ptCount val="214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</c:strCache>
            </c:strRef>
          </c:cat>
          <c:val>
            <c:numRef>
              <c:f>data!$Z$11:$Z$224</c:f>
              <c:numCache>
                <c:formatCode>#,##0</c:formatCode>
                <c:ptCount val="214"/>
                <c:pt idx="0">
                  <c:v>2.4300000000000068</c:v>
                </c:pt>
                <c:pt idx="1">
                  <c:v>673.80000000000109</c:v>
                </c:pt>
                <c:pt idx="2">
                  <c:v>0</c:v>
                </c:pt>
                <c:pt idx="3">
                  <c:v>252</c:v>
                </c:pt>
                <c:pt idx="4">
                  <c:v>30.5300000000002</c:v>
                </c:pt>
                <c:pt idx="5">
                  <c:v>33.379999999999882</c:v>
                </c:pt>
                <c:pt idx="6">
                  <c:v>5.8400000000001455</c:v>
                </c:pt>
                <c:pt idx="7">
                  <c:v>1.5</c:v>
                </c:pt>
                <c:pt idx="8">
                  <c:v>1</c:v>
                </c:pt>
                <c:pt idx="9">
                  <c:v>0.42999999999999972</c:v>
                </c:pt>
                <c:pt idx="10">
                  <c:v>188.70000000000005</c:v>
                </c:pt>
                <c:pt idx="11">
                  <c:v>19.009999999999991</c:v>
                </c:pt>
                <c:pt idx="12">
                  <c:v>269.03999999999905</c:v>
                </c:pt>
                <c:pt idx="13">
                  <c:v>9683.8699999999953</c:v>
                </c:pt>
                <c:pt idx="14">
                  <c:v>9.8899999999998727</c:v>
                </c:pt>
                <c:pt idx="15">
                  <c:v>84.990000000000236</c:v>
                </c:pt>
                <c:pt idx="16">
                  <c:v>96</c:v>
                </c:pt>
                <c:pt idx="17">
                  <c:v>417</c:v>
                </c:pt>
                <c:pt idx="18">
                  <c:v>3.5</c:v>
                </c:pt>
                <c:pt idx="19">
                  <c:v>6.5300000000002001</c:v>
                </c:pt>
                <c:pt idx="20">
                  <c:v>0</c:v>
                </c:pt>
                <c:pt idx="21">
                  <c:v>34.289999999999964</c:v>
                </c:pt>
                <c:pt idx="22">
                  <c:v>1</c:v>
                </c:pt>
                <c:pt idx="23">
                  <c:v>2.0500000000000114</c:v>
                </c:pt>
                <c:pt idx="24">
                  <c:v>17</c:v>
                </c:pt>
                <c:pt idx="25">
                  <c:v>870.82000000000335</c:v>
                </c:pt>
                <c:pt idx="26">
                  <c:v>19.320000000000164</c:v>
                </c:pt>
                <c:pt idx="27">
                  <c:v>33.970000000000027</c:v>
                </c:pt>
                <c:pt idx="28">
                  <c:v>547.21999999999753</c:v>
                </c:pt>
                <c:pt idx="29">
                  <c:v>17.190000000000055</c:v>
                </c:pt>
                <c:pt idx="30">
                  <c:v>0</c:v>
                </c:pt>
                <c:pt idx="31">
                  <c:v>1332</c:v>
                </c:pt>
                <c:pt idx="32">
                  <c:v>199.80000000000018</c:v>
                </c:pt>
                <c:pt idx="33">
                  <c:v>14.430000000000064</c:v>
                </c:pt>
                <c:pt idx="34">
                  <c:v>0</c:v>
                </c:pt>
                <c:pt idx="35">
                  <c:v>81.830000000000382</c:v>
                </c:pt>
                <c:pt idx="36">
                  <c:v>1</c:v>
                </c:pt>
                <c:pt idx="37">
                  <c:v>385.96000000000004</c:v>
                </c:pt>
                <c:pt idx="38">
                  <c:v>0</c:v>
                </c:pt>
                <c:pt idx="39">
                  <c:v>38.189999999999941</c:v>
                </c:pt>
                <c:pt idx="40">
                  <c:v>45.400000000000091</c:v>
                </c:pt>
                <c:pt idx="41">
                  <c:v>6.0699999999999932</c:v>
                </c:pt>
                <c:pt idx="42">
                  <c:v>0</c:v>
                </c:pt>
                <c:pt idx="43">
                  <c:v>-1.5100000000002183</c:v>
                </c:pt>
                <c:pt idx="44">
                  <c:v>91</c:v>
                </c:pt>
                <c:pt idx="45">
                  <c:v>11.899999999999977</c:v>
                </c:pt>
                <c:pt idx="46">
                  <c:v>167</c:v>
                </c:pt>
                <c:pt idx="47">
                  <c:v>96</c:v>
                </c:pt>
                <c:pt idx="48">
                  <c:v>2</c:v>
                </c:pt>
                <c:pt idx="49">
                  <c:v>17.990000000000236</c:v>
                </c:pt>
                <c:pt idx="50">
                  <c:v>0</c:v>
                </c:pt>
                <c:pt idx="51">
                  <c:v>0</c:v>
                </c:pt>
                <c:pt idx="52">
                  <c:v>-0.12999999999999545</c:v>
                </c:pt>
                <c:pt idx="53">
                  <c:v>0.14000000000000057</c:v>
                </c:pt>
                <c:pt idx="54">
                  <c:v>0</c:v>
                </c:pt>
                <c:pt idx="55">
                  <c:v>-1.2699999999999996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-12</c:v>
                </c:pt>
                <c:pt idx="60">
                  <c:v>22.129999999999882</c:v>
                </c:pt>
                <c:pt idx="61">
                  <c:v>30.000000000000057</c:v>
                </c:pt>
                <c:pt idx="62">
                  <c:v>1375</c:v>
                </c:pt>
                <c:pt idx="63">
                  <c:v>109</c:v>
                </c:pt>
                <c:pt idx="64">
                  <c:v>-8.6500000000000341</c:v>
                </c:pt>
                <c:pt idx="65">
                  <c:v>7.999999999999996E-2</c:v>
                </c:pt>
                <c:pt idx="66">
                  <c:v>11.009999999999764</c:v>
                </c:pt>
                <c:pt idx="67">
                  <c:v>10.119999999999891</c:v>
                </c:pt>
                <c:pt idx="68">
                  <c:v>3.8399999999999181</c:v>
                </c:pt>
                <c:pt idx="69">
                  <c:v>-0.57000000000005002</c:v>
                </c:pt>
                <c:pt idx="70">
                  <c:v>-205.14000000001397</c:v>
                </c:pt>
                <c:pt idx="71">
                  <c:v>7.6500000000000909</c:v>
                </c:pt>
                <c:pt idx="72">
                  <c:v>-0.5</c:v>
                </c:pt>
                <c:pt idx="73">
                  <c:v>11</c:v>
                </c:pt>
                <c:pt idx="74">
                  <c:v>2.9800000000000182</c:v>
                </c:pt>
                <c:pt idx="75">
                  <c:v>0</c:v>
                </c:pt>
                <c:pt idx="76">
                  <c:v>3.4899999999999949</c:v>
                </c:pt>
                <c:pt idx="77">
                  <c:v>10</c:v>
                </c:pt>
                <c:pt idx="78">
                  <c:v>9.9999999999997868E-3</c:v>
                </c:pt>
                <c:pt idx="79">
                  <c:v>0.19000000000000128</c:v>
                </c:pt>
                <c:pt idx="80">
                  <c:v>39</c:v>
                </c:pt>
                <c:pt idx="81">
                  <c:v>0</c:v>
                </c:pt>
                <c:pt idx="82">
                  <c:v>85.699999999999989</c:v>
                </c:pt>
                <c:pt idx="83">
                  <c:v>38</c:v>
                </c:pt>
                <c:pt idx="84">
                  <c:v>11.800000000000011</c:v>
                </c:pt>
                <c:pt idx="85">
                  <c:v>226.2800000000002</c:v>
                </c:pt>
                <c:pt idx="86">
                  <c:v>0</c:v>
                </c:pt>
                <c:pt idx="87">
                  <c:v>3548.3999999999942</c:v>
                </c:pt>
                <c:pt idx="88">
                  <c:v>0</c:v>
                </c:pt>
                <c:pt idx="89">
                  <c:v>7.1200000000000045</c:v>
                </c:pt>
                <c:pt idx="90">
                  <c:v>-17.22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-0.40999999999996817</c:v>
                </c:pt>
                <c:pt idx="138">
                  <c:v>0</c:v>
                </c:pt>
                <c:pt idx="139">
                  <c:v>-22</c:v>
                </c:pt>
                <c:pt idx="140">
                  <c:v>-5.569999999999709</c:v>
                </c:pt>
                <c:pt idx="141">
                  <c:v>-206.5</c:v>
                </c:pt>
                <c:pt idx="142">
                  <c:v>-27.199999999999989</c:v>
                </c:pt>
                <c:pt idx="143">
                  <c:v>-93</c:v>
                </c:pt>
                <c:pt idx="144">
                  <c:v>-1.0400000000000205</c:v>
                </c:pt>
                <c:pt idx="145">
                  <c:v>5.0000000000000711E-2</c:v>
                </c:pt>
                <c:pt idx="146">
                  <c:v>-4.9399999999998272</c:v>
                </c:pt>
                <c:pt idx="147">
                  <c:v>57.840000000000146</c:v>
                </c:pt>
                <c:pt idx="148">
                  <c:v>-93.930000000000291</c:v>
                </c:pt>
                <c:pt idx="149">
                  <c:v>-2.0000000000000018E-2</c:v>
                </c:pt>
                <c:pt idx="150">
                  <c:v>-62.100000000000136</c:v>
                </c:pt>
                <c:pt idx="151">
                  <c:v>0.67000000000000171</c:v>
                </c:pt>
                <c:pt idx="152">
                  <c:v>-3.6600000000003092</c:v>
                </c:pt>
                <c:pt idx="153">
                  <c:v>0</c:v>
                </c:pt>
                <c:pt idx="154">
                  <c:v>-59.409999999999854</c:v>
                </c:pt>
                <c:pt idx="155">
                  <c:v>-182</c:v>
                </c:pt>
                <c:pt idx="156">
                  <c:v>-15.799999999999955</c:v>
                </c:pt>
                <c:pt idx="157">
                  <c:v>-58.450000000000728</c:v>
                </c:pt>
                <c:pt idx="158">
                  <c:v>60</c:v>
                </c:pt>
                <c:pt idx="159">
                  <c:v>-60</c:v>
                </c:pt>
                <c:pt idx="160">
                  <c:v>-9.0000000000003411E-2</c:v>
                </c:pt>
                <c:pt idx="161">
                  <c:v>-48.190000000000509</c:v>
                </c:pt>
                <c:pt idx="162">
                  <c:v>-154.47000000000116</c:v>
                </c:pt>
                <c:pt idx="163">
                  <c:v>-15.529999999999973</c:v>
                </c:pt>
                <c:pt idx="164">
                  <c:v>-150</c:v>
                </c:pt>
                <c:pt idx="165">
                  <c:v>-16.5</c:v>
                </c:pt>
                <c:pt idx="166">
                  <c:v>-161.13000000000011</c:v>
                </c:pt>
                <c:pt idx="167">
                  <c:v>5</c:v>
                </c:pt>
                <c:pt idx="168">
                  <c:v>0</c:v>
                </c:pt>
                <c:pt idx="169">
                  <c:v>-640</c:v>
                </c:pt>
                <c:pt idx="170">
                  <c:v>-365</c:v>
                </c:pt>
                <c:pt idx="171">
                  <c:v>174.42999999999938</c:v>
                </c:pt>
                <c:pt idx="172">
                  <c:v>-66.090000000000146</c:v>
                </c:pt>
                <c:pt idx="173">
                  <c:v>-1117</c:v>
                </c:pt>
                <c:pt idx="174">
                  <c:v>-612.39999999999418</c:v>
                </c:pt>
                <c:pt idx="175">
                  <c:v>-355.03999999999996</c:v>
                </c:pt>
                <c:pt idx="176">
                  <c:v>-2.1200000000000045</c:v>
                </c:pt>
                <c:pt idx="177">
                  <c:v>-50</c:v>
                </c:pt>
                <c:pt idx="178">
                  <c:v>-871.23999999999796</c:v>
                </c:pt>
                <c:pt idx="179">
                  <c:v>-14.799999999999955</c:v>
                </c:pt>
                <c:pt idx="180">
                  <c:v>-7</c:v>
                </c:pt>
                <c:pt idx="181">
                  <c:v>-0.10999999999999988</c:v>
                </c:pt>
                <c:pt idx="182">
                  <c:v>-855.27000000000407</c:v>
                </c:pt>
                <c:pt idx="183">
                  <c:v>0</c:v>
                </c:pt>
                <c:pt idx="184">
                  <c:v>-940.90000000000146</c:v>
                </c:pt>
                <c:pt idx="185">
                  <c:v>-230.34999999999854</c:v>
                </c:pt>
                <c:pt idx="186">
                  <c:v>-383.75</c:v>
                </c:pt>
                <c:pt idx="187">
                  <c:v>25.200000000000273</c:v>
                </c:pt>
                <c:pt idx="188">
                  <c:v>-180</c:v>
                </c:pt>
                <c:pt idx="189">
                  <c:v>-0.33000000000000007</c:v>
                </c:pt>
                <c:pt idx="190">
                  <c:v>-280</c:v>
                </c:pt>
                <c:pt idx="191">
                  <c:v>516.56999999999971</c:v>
                </c:pt>
                <c:pt idx="192">
                  <c:v>-0.14999999999999858</c:v>
                </c:pt>
                <c:pt idx="193">
                  <c:v>-2.4200000000000159</c:v>
                </c:pt>
                <c:pt idx="194">
                  <c:v>-673.12999999999738</c:v>
                </c:pt>
                <c:pt idx="195">
                  <c:v>-57.079999999999927</c:v>
                </c:pt>
                <c:pt idx="196">
                  <c:v>-816.52999999999884</c:v>
                </c:pt>
                <c:pt idx="197">
                  <c:v>-172.5</c:v>
                </c:pt>
                <c:pt idx="198">
                  <c:v>-250.10000000000036</c:v>
                </c:pt>
                <c:pt idx="199">
                  <c:v>-111.64000000000033</c:v>
                </c:pt>
                <c:pt idx="200">
                  <c:v>-206.26000000000022</c:v>
                </c:pt>
                <c:pt idx="201">
                  <c:v>0</c:v>
                </c:pt>
                <c:pt idx="202">
                  <c:v>-591.5</c:v>
                </c:pt>
                <c:pt idx="203">
                  <c:v>-200</c:v>
                </c:pt>
                <c:pt idx="204">
                  <c:v>-1058.7900000000009</c:v>
                </c:pt>
                <c:pt idx="205">
                  <c:v>-22.5</c:v>
                </c:pt>
                <c:pt idx="206">
                  <c:v>-822</c:v>
                </c:pt>
                <c:pt idx="207">
                  <c:v>-3.1000000000000014</c:v>
                </c:pt>
                <c:pt idx="208">
                  <c:v>-2.1899999999999977</c:v>
                </c:pt>
                <c:pt idx="209">
                  <c:v>-106.15000000000055</c:v>
                </c:pt>
                <c:pt idx="210">
                  <c:v>-98.629999999999654</c:v>
                </c:pt>
                <c:pt idx="211">
                  <c:v>-1032.1399999999994</c:v>
                </c:pt>
                <c:pt idx="212">
                  <c:v>-62.490000000000691</c:v>
                </c:pt>
                <c:pt idx="213">
                  <c:v>-209.01000000000022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9-F445-9230-BE1FA7EF145F}"/>
            </c:ext>
          </c:extLst>
        </c:ser>
        <c:ser>
          <c:idx val="3"/>
          <c:order val="3"/>
          <c:tx>
            <c:strRef>
              <c:f>data!$AA$10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data!$B$11:$B$224</c:f>
              <c:strCache>
                <c:ptCount val="214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</c:strCache>
            </c:strRef>
          </c:cat>
          <c:val>
            <c:numRef>
              <c:f>data!$AA$11:$AA$224</c:f>
              <c:numCache>
                <c:formatCode>#,##0</c:formatCode>
                <c:ptCount val="214"/>
                <c:pt idx="0">
                  <c:v>2.4499999999999886</c:v>
                </c:pt>
                <c:pt idx="1">
                  <c:v>581.22999999999956</c:v>
                </c:pt>
                <c:pt idx="2">
                  <c:v>0</c:v>
                </c:pt>
                <c:pt idx="3">
                  <c:v>58</c:v>
                </c:pt>
                <c:pt idx="4">
                  <c:v>40.449999999999818</c:v>
                </c:pt>
                <c:pt idx="5">
                  <c:v>33.400000000000091</c:v>
                </c:pt>
                <c:pt idx="6">
                  <c:v>20.989999999997963</c:v>
                </c:pt>
                <c:pt idx="7">
                  <c:v>1.5</c:v>
                </c:pt>
                <c:pt idx="8">
                  <c:v>3</c:v>
                </c:pt>
                <c:pt idx="9">
                  <c:v>0.4199999999999946</c:v>
                </c:pt>
                <c:pt idx="10">
                  <c:v>111</c:v>
                </c:pt>
                <c:pt idx="11">
                  <c:v>19.42999999999995</c:v>
                </c:pt>
                <c:pt idx="12">
                  <c:v>269.04999999999927</c:v>
                </c:pt>
                <c:pt idx="13">
                  <c:v>9683.929999999993</c:v>
                </c:pt>
                <c:pt idx="14">
                  <c:v>9.9000000000000909</c:v>
                </c:pt>
                <c:pt idx="15">
                  <c:v>17.389999999999873</c:v>
                </c:pt>
                <c:pt idx="16">
                  <c:v>60</c:v>
                </c:pt>
                <c:pt idx="17">
                  <c:v>417</c:v>
                </c:pt>
                <c:pt idx="18">
                  <c:v>134.10000000000036</c:v>
                </c:pt>
                <c:pt idx="19">
                  <c:v>3.1199999999998909</c:v>
                </c:pt>
                <c:pt idx="20">
                  <c:v>0</c:v>
                </c:pt>
                <c:pt idx="21">
                  <c:v>27.350000000000023</c:v>
                </c:pt>
                <c:pt idx="22">
                  <c:v>1</c:v>
                </c:pt>
                <c:pt idx="23">
                  <c:v>2.3999999999999915</c:v>
                </c:pt>
                <c:pt idx="24">
                  <c:v>14</c:v>
                </c:pt>
                <c:pt idx="25">
                  <c:v>614.61999999999898</c:v>
                </c:pt>
                <c:pt idx="26">
                  <c:v>19.349999999999909</c:v>
                </c:pt>
                <c:pt idx="27">
                  <c:v>7.0900000000000318</c:v>
                </c:pt>
                <c:pt idx="28">
                  <c:v>590.06000000000131</c:v>
                </c:pt>
                <c:pt idx="29">
                  <c:v>17.199999999999818</c:v>
                </c:pt>
                <c:pt idx="30">
                  <c:v>0</c:v>
                </c:pt>
                <c:pt idx="31">
                  <c:v>1332</c:v>
                </c:pt>
                <c:pt idx="32">
                  <c:v>140.25999999999976</c:v>
                </c:pt>
                <c:pt idx="33">
                  <c:v>-7.8099999999999454</c:v>
                </c:pt>
                <c:pt idx="34">
                  <c:v>0</c:v>
                </c:pt>
                <c:pt idx="35">
                  <c:v>81.839999999999691</c:v>
                </c:pt>
                <c:pt idx="36">
                  <c:v>-10.170000000000073</c:v>
                </c:pt>
                <c:pt idx="37">
                  <c:v>28.090000000000146</c:v>
                </c:pt>
                <c:pt idx="38">
                  <c:v>0</c:v>
                </c:pt>
                <c:pt idx="39">
                  <c:v>3.7600000000001046</c:v>
                </c:pt>
                <c:pt idx="40">
                  <c:v>53.879999999999882</c:v>
                </c:pt>
                <c:pt idx="41">
                  <c:v>6.0600000000000023</c:v>
                </c:pt>
                <c:pt idx="42">
                  <c:v>0</c:v>
                </c:pt>
                <c:pt idx="43">
                  <c:v>45.979999999999563</c:v>
                </c:pt>
                <c:pt idx="44">
                  <c:v>63</c:v>
                </c:pt>
                <c:pt idx="45">
                  <c:v>0.10000000000002274</c:v>
                </c:pt>
                <c:pt idx="46">
                  <c:v>0</c:v>
                </c:pt>
                <c:pt idx="47">
                  <c:v>35</c:v>
                </c:pt>
                <c:pt idx="48">
                  <c:v>17.1099999999999</c:v>
                </c:pt>
                <c:pt idx="49">
                  <c:v>17.960000000000036</c:v>
                </c:pt>
                <c:pt idx="50">
                  <c:v>0</c:v>
                </c:pt>
                <c:pt idx="51">
                  <c:v>0</c:v>
                </c:pt>
                <c:pt idx="52">
                  <c:v>-0.18000000000000682</c:v>
                </c:pt>
                <c:pt idx="53">
                  <c:v>0.15000000000000568</c:v>
                </c:pt>
                <c:pt idx="54">
                  <c:v>0</c:v>
                </c:pt>
                <c:pt idx="55">
                  <c:v>-0.89999999999999858</c:v>
                </c:pt>
                <c:pt idx="56">
                  <c:v>59.890000000001237</c:v>
                </c:pt>
                <c:pt idx="57">
                  <c:v>0</c:v>
                </c:pt>
                <c:pt idx="58">
                  <c:v>0</c:v>
                </c:pt>
                <c:pt idx="59">
                  <c:v>-188</c:v>
                </c:pt>
                <c:pt idx="60">
                  <c:v>63.570000000000164</c:v>
                </c:pt>
                <c:pt idx="61">
                  <c:v>0</c:v>
                </c:pt>
                <c:pt idx="62">
                  <c:v>-300</c:v>
                </c:pt>
                <c:pt idx="63">
                  <c:v>33</c:v>
                </c:pt>
                <c:pt idx="64">
                  <c:v>4.6700000000000159</c:v>
                </c:pt>
                <c:pt idx="65">
                  <c:v>9.9999999999999978E-2</c:v>
                </c:pt>
                <c:pt idx="66">
                  <c:v>8.7000000000002728</c:v>
                </c:pt>
                <c:pt idx="67">
                  <c:v>57.800000000000182</c:v>
                </c:pt>
                <c:pt idx="68">
                  <c:v>4.1500000000000909</c:v>
                </c:pt>
                <c:pt idx="69">
                  <c:v>0</c:v>
                </c:pt>
                <c:pt idx="70">
                  <c:v>381.14000000001397</c:v>
                </c:pt>
                <c:pt idx="71">
                  <c:v>7.6499999999999773</c:v>
                </c:pt>
                <c:pt idx="72">
                  <c:v>-0.5</c:v>
                </c:pt>
                <c:pt idx="73">
                  <c:v>-25</c:v>
                </c:pt>
                <c:pt idx="74">
                  <c:v>3</c:v>
                </c:pt>
                <c:pt idx="75">
                  <c:v>0.11000000000000004</c:v>
                </c:pt>
                <c:pt idx="76">
                  <c:v>3.1900000000000048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39</c:v>
                </c:pt>
                <c:pt idx="81">
                  <c:v>0</c:v>
                </c:pt>
                <c:pt idx="82">
                  <c:v>0</c:v>
                </c:pt>
                <c:pt idx="83">
                  <c:v>-7</c:v>
                </c:pt>
                <c:pt idx="84">
                  <c:v>2</c:v>
                </c:pt>
                <c:pt idx="85">
                  <c:v>146.2199999999998</c:v>
                </c:pt>
                <c:pt idx="86">
                  <c:v>0</c:v>
                </c:pt>
                <c:pt idx="87">
                  <c:v>910.60000000000582</c:v>
                </c:pt>
                <c:pt idx="88">
                  <c:v>0.20000000000000018</c:v>
                </c:pt>
                <c:pt idx="89">
                  <c:v>-0.29000000000007731</c:v>
                </c:pt>
                <c:pt idx="90">
                  <c:v>-3.4400000000000048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0.37000000000000455</c:v>
                </c:pt>
                <c:pt idx="138">
                  <c:v>-0.5</c:v>
                </c:pt>
                <c:pt idx="139">
                  <c:v>-9</c:v>
                </c:pt>
                <c:pt idx="140">
                  <c:v>-5.5499999999992724</c:v>
                </c:pt>
                <c:pt idx="141">
                  <c:v>-187.61000000004424</c:v>
                </c:pt>
                <c:pt idx="142">
                  <c:v>-27.240000000000009</c:v>
                </c:pt>
                <c:pt idx="143">
                  <c:v>0</c:v>
                </c:pt>
                <c:pt idx="144">
                  <c:v>-1.0499999999999545</c:v>
                </c:pt>
                <c:pt idx="145">
                  <c:v>5.0000000000000711E-2</c:v>
                </c:pt>
                <c:pt idx="146">
                  <c:v>0</c:v>
                </c:pt>
                <c:pt idx="147">
                  <c:v>27.409999999999854</c:v>
                </c:pt>
                <c:pt idx="148">
                  <c:v>88.680000000000291</c:v>
                </c:pt>
                <c:pt idx="149">
                  <c:v>0</c:v>
                </c:pt>
                <c:pt idx="150">
                  <c:v>-62.099999999999909</c:v>
                </c:pt>
                <c:pt idx="151">
                  <c:v>-0.29999999999999716</c:v>
                </c:pt>
                <c:pt idx="152">
                  <c:v>-3.6500000000000909</c:v>
                </c:pt>
                <c:pt idx="153">
                  <c:v>0</c:v>
                </c:pt>
                <c:pt idx="154">
                  <c:v>-59.400000000001455</c:v>
                </c:pt>
                <c:pt idx="155">
                  <c:v>-182</c:v>
                </c:pt>
                <c:pt idx="156">
                  <c:v>-15.799999999999955</c:v>
                </c:pt>
                <c:pt idx="157">
                  <c:v>-46.020000000000437</c:v>
                </c:pt>
                <c:pt idx="158">
                  <c:v>0</c:v>
                </c:pt>
                <c:pt idx="159">
                  <c:v>-69</c:v>
                </c:pt>
                <c:pt idx="160">
                  <c:v>0.47000000000000597</c:v>
                </c:pt>
                <c:pt idx="161">
                  <c:v>-55.3799999999992</c:v>
                </c:pt>
                <c:pt idx="162">
                  <c:v>-168.65999999999622</c:v>
                </c:pt>
                <c:pt idx="163">
                  <c:v>-15.550000000000011</c:v>
                </c:pt>
                <c:pt idx="164">
                  <c:v>-150</c:v>
                </c:pt>
                <c:pt idx="165">
                  <c:v>-17.149999999999636</c:v>
                </c:pt>
                <c:pt idx="166">
                  <c:v>-206.69999999999982</c:v>
                </c:pt>
                <c:pt idx="167">
                  <c:v>6</c:v>
                </c:pt>
                <c:pt idx="168">
                  <c:v>0</c:v>
                </c:pt>
                <c:pt idx="169">
                  <c:v>-577</c:v>
                </c:pt>
                <c:pt idx="170">
                  <c:v>-365</c:v>
                </c:pt>
                <c:pt idx="171">
                  <c:v>174.44000000000051</c:v>
                </c:pt>
                <c:pt idx="172">
                  <c:v>-66.079999999999927</c:v>
                </c:pt>
                <c:pt idx="173">
                  <c:v>-524</c:v>
                </c:pt>
                <c:pt idx="174">
                  <c:v>-638.83000000000175</c:v>
                </c:pt>
                <c:pt idx="175">
                  <c:v>-355.05000000000018</c:v>
                </c:pt>
                <c:pt idx="176">
                  <c:v>-2.0999999999999943</c:v>
                </c:pt>
                <c:pt idx="177">
                  <c:v>-50</c:v>
                </c:pt>
                <c:pt idx="178">
                  <c:v>-850.38000000000102</c:v>
                </c:pt>
                <c:pt idx="179">
                  <c:v>-14.799999999999955</c:v>
                </c:pt>
                <c:pt idx="180">
                  <c:v>-7</c:v>
                </c:pt>
                <c:pt idx="181">
                  <c:v>-0.1100000000000001</c:v>
                </c:pt>
                <c:pt idx="182">
                  <c:v>-864.16000000000349</c:v>
                </c:pt>
                <c:pt idx="183">
                  <c:v>0</c:v>
                </c:pt>
                <c:pt idx="184">
                  <c:v>-941.06999999999971</c:v>
                </c:pt>
                <c:pt idx="185">
                  <c:v>-230.34999999999854</c:v>
                </c:pt>
                <c:pt idx="186">
                  <c:v>-383.75</c:v>
                </c:pt>
                <c:pt idx="187">
                  <c:v>-15.800000000000182</c:v>
                </c:pt>
                <c:pt idx="188">
                  <c:v>-200</c:v>
                </c:pt>
                <c:pt idx="189">
                  <c:v>-0.33000000000000007</c:v>
                </c:pt>
                <c:pt idx="190">
                  <c:v>-280</c:v>
                </c:pt>
                <c:pt idx="191">
                  <c:v>-350.18000000000029</c:v>
                </c:pt>
                <c:pt idx="192">
                  <c:v>-0.15000000000000213</c:v>
                </c:pt>
                <c:pt idx="193">
                  <c:v>-2.4000000000000057</c:v>
                </c:pt>
                <c:pt idx="194">
                  <c:v>-992.75</c:v>
                </c:pt>
                <c:pt idx="195">
                  <c:v>-57.069999999999709</c:v>
                </c:pt>
                <c:pt idx="196">
                  <c:v>-816.5</c:v>
                </c:pt>
                <c:pt idx="197">
                  <c:v>-172.5</c:v>
                </c:pt>
                <c:pt idx="198">
                  <c:v>-250</c:v>
                </c:pt>
                <c:pt idx="199">
                  <c:v>-104.56999999999971</c:v>
                </c:pt>
                <c:pt idx="200">
                  <c:v>-206.25999999999976</c:v>
                </c:pt>
                <c:pt idx="201">
                  <c:v>0</c:v>
                </c:pt>
                <c:pt idx="202">
                  <c:v>-591.5</c:v>
                </c:pt>
                <c:pt idx="203">
                  <c:v>-200</c:v>
                </c:pt>
                <c:pt idx="204">
                  <c:v>-1193.4599999999991</c:v>
                </c:pt>
                <c:pt idx="205">
                  <c:v>-22.5</c:v>
                </c:pt>
                <c:pt idx="206">
                  <c:v>-452.09999999999854</c:v>
                </c:pt>
                <c:pt idx="207">
                  <c:v>-3.1000000000000014</c:v>
                </c:pt>
                <c:pt idx="208">
                  <c:v>-2.1899999999999977</c:v>
                </c:pt>
                <c:pt idx="209">
                  <c:v>-106.14999999999964</c:v>
                </c:pt>
                <c:pt idx="210">
                  <c:v>-98.650000000000091</c:v>
                </c:pt>
                <c:pt idx="211">
                  <c:v>-1196.239999999998</c:v>
                </c:pt>
                <c:pt idx="212">
                  <c:v>105.27000000000044</c:v>
                </c:pt>
                <c:pt idx="213">
                  <c:v>-321.35000000000036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49-F445-9230-BE1FA7EF1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727584"/>
        <c:axId val="1010740176"/>
      </c:barChart>
      <c:barChart>
        <c:barDir val="col"/>
        <c:grouping val="clustered"/>
        <c:varyColors val="0"/>
        <c:ser>
          <c:idx val="0"/>
          <c:order val="0"/>
          <c:tx>
            <c:strRef>
              <c:f>'data (2)'!$X$3</c:f>
              <c:strCache>
                <c:ptCount val="1"/>
                <c:pt idx="0">
                  <c:v>1990-2000</c:v>
                </c:pt>
              </c:strCache>
            </c:strRef>
          </c:tx>
          <c:spPr>
            <a:solidFill>
              <a:srgbClr val="FF756D"/>
            </a:solidFill>
            <a:ln>
              <a:noFill/>
            </a:ln>
            <a:effectLst/>
          </c:spPr>
          <c:invertIfNegative val="0"/>
          <c:cat>
            <c:strRef>
              <c:f>'data (2)'!$B$4:$B$239</c:f>
              <c:strCache>
                <c:ptCount val="37"/>
                <c:pt idx="0">
                  <c:v>Viet Nam</c:v>
                </c:pt>
                <c:pt idx="1">
                  <c:v>Cuba</c:v>
                </c:pt>
                <c:pt idx="2">
                  <c:v>Dominican Republic</c:v>
                </c:pt>
                <c:pt idx="3">
                  <c:v>Spain</c:v>
                </c:pt>
                <c:pt idx="4">
                  <c:v>Uruguay</c:v>
                </c:pt>
                <c:pt idx="5">
                  <c:v>Italy</c:v>
                </c:pt>
                <c:pt idx="6">
                  <c:v>China</c:v>
                </c:pt>
                <c:pt idx="7">
                  <c:v>Bulgaria</c:v>
                </c:pt>
                <c:pt idx="8">
                  <c:v>France</c:v>
                </c:pt>
                <c:pt idx="9">
                  <c:v>Belarus</c:v>
                </c:pt>
                <c:pt idx="10">
                  <c:v>Greece</c:v>
                </c:pt>
                <c:pt idx="11">
                  <c:v>Chile</c:v>
                </c:pt>
                <c:pt idx="12">
                  <c:v>Turkey</c:v>
                </c:pt>
                <c:pt idx="13">
                  <c:v>India</c:v>
                </c:pt>
                <c:pt idx="14">
                  <c:v>Uzbekistan</c:v>
                </c:pt>
                <c:pt idx="15">
                  <c:v>Romania</c:v>
                </c:pt>
                <c:pt idx="16">
                  <c:v>New Zealand</c:v>
                </c:pt>
                <c:pt idx="17">
                  <c:v>Poland</c:v>
                </c:pt>
                <c:pt idx="18">
                  <c:v>Finland</c:v>
                </c:pt>
                <c:pt idx="19">
                  <c:v>Iran (Islamic Republic of)</c:v>
                </c:pt>
                <c:pt idx="20">
                  <c:v>Thailand</c:v>
                </c:pt>
                <c:pt idx="21">
                  <c:v>United States of America</c:v>
                </c:pt>
                <c:pt idx="22">
                  <c:v>Russian Federation</c:v>
                </c:pt>
                <c:pt idx="23">
                  <c:v>Argentina</c:v>
                </c:pt>
                <c:pt idx="24">
                  <c:v>Sudan</c:v>
                </c:pt>
                <c:pt idx="25">
                  <c:v>Colombia</c:v>
                </c:pt>
                <c:pt idx="26">
                  <c:v>Bolivia (Plurinational State of)</c:v>
                </c:pt>
                <c:pt idx="27">
                  <c:v>Venezuela (Bolivarian Republic of)</c:v>
                </c:pt>
                <c:pt idx="28">
                  <c:v>Mozambique</c:v>
                </c:pt>
                <c:pt idx="29">
                  <c:v>Angola</c:v>
                </c:pt>
                <c:pt idx="30">
                  <c:v>Democratic Republic of the Congo</c:v>
                </c:pt>
                <c:pt idx="31">
                  <c:v>Brazil</c:v>
                </c:pt>
                <c:pt idx="32">
                  <c:v>United Republic of Tanzania</c:v>
                </c:pt>
                <c:pt idx="33">
                  <c:v>Indonesia</c:v>
                </c:pt>
                <c:pt idx="34">
                  <c:v>Côte d’Ivoire</c:v>
                </c:pt>
                <c:pt idx="35">
                  <c:v>Myanmar</c:v>
                </c:pt>
                <c:pt idx="36">
                  <c:v>Paraguay</c:v>
                </c:pt>
              </c:strCache>
            </c:strRef>
          </c:cat>
          <c:val>
            <c:numRef>
              <c:f>'data (2)'!$X$4:$X$239</c:f>
              <c:numCache>
                <c:formatCode>#,##0</c:formatCode>
                <c:ptCount val="37"/>
                <c:pt idx="0">
                  <c:v>2408.1400000000012</c:v>
                </c:pt>
                <c:pt idx="1">
                  <c:v>377</c:v>
                </c:pt>
                <c:pt idx="2">
                  <c:v>377.57999999999993</c:v>
                </c:pt>
                <c:pt idx="3">
                  <c:v>3189.2700000000004</c:v>
                </c:pt>
                <c:pt idx="4">
                  <c:v>571</c:v>
                </c:pt>
                <c:pt idx="5">
                  <c:v>779.5</c:v>
                </c:pt>
                <c:pt idx="6">
                  <c:v>19859.959999999992</c:v>
                </c:pt>
                <c:pt idx="7">
                  <c:v>48</c:v>
                </c:pt>
                <c:pt idx="8">
                  <c:v>852</c:v>
                </c:pt>
                <c:pt idx="9">
                  <c:v>493</c:v>
                </c:pt>
                <c:pt idx="10">
                  <c:v>301.67999999999984</c:v>
                </c:pt>
                <c:pt idx="11">
                  <c:v>571.01000000000022</c:v>
                </c:pt>
                <c:pt idx="12">
                  <c:v>364.86999999999898</c:v>
                </c:pt>
                <c:pt idx="13">
                  <c:v>3653</c:v>
                </c:pt>
                <c:pt idx="14">
                  <c:v>412.09000000000015</c:v>
                </c:pt>
                <c:pt idx="15">
                  <c:v>-5</c:v>
                </c:pt>
                <c:pt idx="16">
                  <c:v>478.17000000000007</c:v>
                </c:pt>
                <c:pt idx="17">
                  <c:v>177</c:v>
                </c:pt>
                <c:pt idx="18">
                  <c:v>570.30999999999767</c:v>
                </c:pt>
                <c:pt idx="19">
                  <c:v>249.60000000000036</c:v>
                </c:pt>
                <c:pt idx="20">
                  <c:v>-363</c:v>
                </c:pt>
                <c:pt idx="21">
                  <c:v>1086</c:v>
                </c:pt>
                <c:pt idx="22">
                  <c:v>318.59999999997672</c:v>
                </c:pt>
                <c:pt idx="23">
                  <c:v>-1826</c:v>
                </c:pt>
                <c:pt idx="24">
                  <c:v>-1744.1500000000015</c:v>
                </c:pt>
                <c:pt idx="25">
                  <c:v>-2222.6399999999994</c:v>
                </c:pt>
                <c:pt idx="26">
                  <c:v>-2703.3300000000017</c:v>
                </c:pt>
                <c:pt idx="27">
                  <c:v>-2875</c:v>
                </c:pt>
                <c:pt idx="28">
                  <c:v>-2190</c:v>
                </c:pt>
                <c:pt idx="29">
                  <c:v>-1554.1699999999983</c:v>
                </c:pt>
                <c:pt idx="30">
                  <c:v>-6730</c:v>
                </c:pt>
                <c:pt idx="31">
                  <c:v>-37809.400000000023</c:v>
                </c:pt>
                <c:pt idx="32">
                  <c:v>-3720</c:v>
                </c:pt>
                <c:pt idx="33">
                  <c:v>-17265</c:v>
                </c:pt>
                <c:pt idx="34">
                  <c:v>-2756.41</c:v>
                </c:pt>
                <c:pt idx="35">
                  <c:v>-4350.3700000000026</c:v>
                </c:pt>
                <c:pt idx="36">
                  <c:v>-2554.2099999999991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49-F445-9230-BE1FA7EF145F}"/>
            </c:ext>
          </c:extLst>
        </c:ser>
        <c:ser>
          <c:idx val="1"/>
          <c:order val="1"/>
          <c:tx>
            <c:strRef>
              <c:f>'data (2)'!$Y$3</c:f>
              <c:strCache>
                <c:ptCount val="1"/>
                <c:pt idx="0">
                  <c:v>2000-2010</c:v>
                </c:pt>
              </c:strCache>
            </c:strRef>
          </c:tx>
          <c:spPr>
            <a:solidFill>
              <a:srgbClr val="73B567"/>
            </a:solidFill>
            <a:ln>
              <a:noFill/>
            </a:ln>
            <a:effectLst/>
          </c:spPr>
          <c:invertIfNegative val="0"/>
          <c:cat>
            <c:strRef>
              <c:f>'data (2)'!$B$4:$B$239</c:f>
              <c:strCache>
                <c:ptCount val="37"/>
                <c:pt idx="0">
                  <c:v>Viet Nam</c:v>
                </c:pt>
                <c:pt idx="1">
                  <c:v>Cuba</c:v>
                </c:pt>
                <c:pt idx="2">
                  <c:v>Dominican Republic</c:v>
                </c:pt>
                <c:pt idx="3">
                  <c:v>Spain</c:v>
                </c:pt>
                <c:pt idx="4">
                  <c:v>Uruguay</c:v>
                </c:pt>
                <c:pt idx="5">
                  <c:v>Italy</c:v>
                </c:pt>
                <c:pt idx="6">
                  <c:v>China</c:v>
                </c:pt>
                <c:pt idx="7">
                  <c:v>Bulgaria</c:v>
                </c:pt>
                <c:pt idx="8">
                  <c:v>France</c:v>
                </c:pt>
                <c:pt idx="9">
                  <c:v>Belarus</c:v>
                </c:pt>
                <c:pt idx="10">
                  <c:v>Greece</c:v>
                </c:pt>
                <c:pt idx="11">
                  <c:v>Chile</c:v>
                </c:pt>
                <c:pt idx="12">
                  <c:v>Turkey</c:v>
                </c:pt>
                <c:pt idx="13">
                  <c:v>India</c:v>
                </c:pt>
                <c:pt idx="14">
                  <c:v>Uzbekistan</c:v>
                </c:pt>
                <c:pt idx="15">
                  <c:v>Romania</c:v>
                </c:pt>
                <c:pt idx="16">
                  <c:v>New Zealand</c:v>
                </c:pt>
                <c:pt idx="17">
                  <c:v>Poland</c:v>
                </c:pt>
                <c:pt idx="18">
                  <c:v>Finland</c:v>
                </c:pt>
                <c:pt idx="19">
                  <c:v>Iran (Islamic Republic of)</c:v>
                </c:pt>
                <c:pt idx="20">
                  <c:v>Thailand</c:v>
                </c:pt>
                <c:pt idx="21">
                  <c:v>United States of America</c:v>
                </c:pt>
                <c:pt idx="22">
                  <c:v>Russian Federation</c:v>
                </c:pt>
                <c:pt idx="23">
                  <c:v>Argentina</c:v>
                </c:pt>
                <c:pt idx="24">
                  <c:v>Sudan</c:v>
                </c:pt>
                <c:pt idx="25">
                  <c:v>Colombia</c:v>
                </c:pt>
                <c:pt idx="26">
                  <c:v>Bolivia (Plurinational State of)</c:v>
                </c:pt>
                <c:pt idx="27">
                  <c:v>Venezuela (Bolivarian Republic of)</c:v>
                </c:pt>
                <c:pt idx="28">
                  <c:v>Mozambique</c:v>
                </c:pt>
                <c:pt idx="29">
                  <c:v>Angola</c:v>
                </c:pt>
                <c:pt idx="30">
                  <c:v>Democratic Republic of the Congo</c:v>
                </c:pt>
                <c:pt idx="31">
                  <c:v>Brazil</c:v>
                </c:pt>
                <c:pt idx="32">
                  <c:v>United Republic of Tanzania</c:v>
                </c:pt>
                <c:pt idx="33">
                  <c:v>Indonesia</c:v>
                </c:pt>
                <c:pt idx="34">
                  <c:v>Côte d’Ivoire</c:v>
                </c:pt>
                <c:pt idx="35">
                  <c:v>Myanmar</c:v>
                </c:pt>
                <c:pt idx="36">
                  <c:v>Paraguay</c:v>
                </c:pt>
              </c:strCache>
            </c:strRef>
          </c:cat>
          <c:val>
            <c:numRef>
              <c:f>'data (2)'!$Y$4:$Y$239</c:f>
              <c:numCache>
                <c:formatCode>#,##0</c:formatCode>
                <c:ptCount val="37"/>
                <c:pt idx="0">
                  <c:v>1603.9599999999991</c:v>
                </c:pt>
                <c:pt idx="1">
                  <c:v>497</c:v>
                </c:pt>
                <c:pt idx="2">
                  <c:v>100.64999999999986</c:v>
                </c:pt>
                <c:pt idx="3">
                  <c:v>1451.4099999999999</c:v>
                </c:pt>
                <c:pt idx="4">
                  <c:v>362.29999999999995</c:v>
                </c:pt>
                <c:pt idx="5">
                  <c:v>658.79000000000087</c:v>
                </c:pt>
                <c:pt idx="6">
                  <c:v>23609.830000000016</c:v>
                </c:pt>
                <c:pt idx="7">
                  <c:v>362</c:v>
                </c:pt>
                <c:pt idx="8">
                  <c:v>1131</c:v>
                </c:pt>
                <c:pt idx="9">
                  <c:v>357</c:v>
                </c:pt>
                <c:pt idx="10">
                  <c:v>301.57000000000016</c:v>
                </c:pt>
                <c:pt idx="11">
                  <c:v>908.19999999999891</c:v>
                </c:pt>
                <c:pt idx="12">
                  <c:v>934.7300000000032</c:v>
                </c:pt>
                <c:pt idx="13">
                  <c:v>1905</c:v>
                </c:pt>
                <c:pt idx="14">
                  <c:v>388.13999999999987</c:v>
                </c:pt>
                <c:pt idx="15">
                  <c:v>149</c:v>
                </c:pt>
                <c:pt idx="16">
                  <c:v>-2.319999999999709</c:v>
                </c:pt>
                <c:pt idx="17">
                  <c:v>270</c:v>
                </c:pt>
                <c:pt idx="18">
                  <c:v>-203.63999999999942</c:v>
                </c:pt>
                <c:pt idx="19">
                  <c:v>1366.3199999999997</c:v>
                </c:pt>
                <c:pt idx="20">
                  <c:v>1075</c:v>
                </c:pt>
                <c:pt idx="21">
                  <c:v>5184</c:v>
                </c:pt>
                <c:pt idx="22">
                  <c:v>5867.0999999999767</c:v>
                </c:pt>
                <c:pt idx="23">
                  <c:v>-3164</c:v>
                </c:pt>
                <c:pt idx="24">
                  <c:v>-1744.9900000000016</c:v>
                </c:pt>
                <c:pt idx="25">
                  <c:v>-1927.7099999999991</c:v>
                </c:pt>
                <c:pt idx="26">
                  <c:v>-2015.3799999999974</c:v>
                </c:pt>
                <c:pt idx="27">
                  <c:v>-1646</c:v>
                </c:pt>
                <c:pt idx="28">
                  <c:v>-2215.8600000000006</c:v>
                </c:pt>
                <c:pt idx="29">
                  <c:v>-5550.6100000000006</c:v>
                </c:pt>
                <c:pt idx="30">
                  <c:v>-6730</c:v>
                </c:pt>
                <c:pt idx="31">
                  <c:v>-39507.899999999965</c:v>
                </c:pt>
                <c:pt idx="32">
                  <c:v>-3720</c:v>
                </c:pt>
                <c:pt idx="33">
                  <c:v>-1620.8000000000029</c:v>
                </c:pt>
                <c:pt idx="34">
                  <c:v>-1128.8699999999999</c:v>
                </c:pt>
                <c:pt idx="35">
                  <c:v>-3427.1100000000006</c:v>
                </c:pt>
                <c:pt idx="36">
                  <c:v>-3421.4400000000023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49-F445-9230-BE1FA7EF145F}"/>
            </c:ext>
          </c:extLst>
        </c:ser>
        <c:ser>
          <c:idx val="4"/>
          <c:order val="4"/>
          <c:tx>
            <c:strRef>
              <c:f>'data (2)'!$AB$3</c:f>
              <c:strCache>
                <c:ptCount val="1"/>
                <c:pt idx="0">
                  <c:v>2010-2020</c:v>
                </c:pt>
              </c:strCache>
            </c:strRef>
          </c:tx>
          <c:spPr>
            <a:solidFill>
              <a:srgbClr val="407EB6"/>
            </a:solidFill>
            <a:ln>
              <a:noFill/>
            </a:ln>
            <a:effectLst/>
          </c:spPr>
          <c:invertIfNegative val="0"/>
          <c:cat>
            <c:strRef>
              <c:f>'data (2)'!$B$4:$B$239</c:f>
              <c:strCache>
                <c:ptCount val="37"/>
                <c:pt idx="0">
                  <c:v>Viet Nam</c:v>
                </c:pt>
                <c:pt idx="1">
                  <c:v>Cuba</c:v>
                </c:pt>
                <c:pt idx="2">
                  <c:v>Dominican Republic</c:v>
                </c:pt>
                <c:pt idx="3">
                  <c:v>Spain</c:v>
                </c:pt>
                <c:pt idx="4">
                  <c:v>Uruguay</c:v>
                </c:pt>
                <c:pt idx="5">
                  <c:v>Italy</c:v>
                </c:pt>
                <c:pt idx="6">
                  <c:v>China</c:v>
                </c:pt>
                <c:pt idx="7">
                  <c:v>Bulgaria</c:v>
                </c:pt>
                <c:pt idx="8">
                  <c:v>France</c:v>
                </c:pt>
                <c:pt idx="9">
                  <c:v>Belarus</c:v>
                </c:pt>
                <c:pt idx="10">
                  <c:v>Greece</c:v>
                </c:pt>
                <c:pt idx="11">
                  <c:v>Chile</c:v>
                </c:pt>
                <c:pt idx="12">
                  <c:v>Turkey</c:v>
                </c:pt>
                <c:pt idx="13">
                  <c:v>India</c:v>
                </c:pt>
                <c:pt idx="14">
                  <c:v>Uzbekistan</c:v>
                </c:pt>
                <c:pt idx="15">
                  <c:v>Romania</c:v>
                </c:pt>
                <c:pt idx="16">
                  <c:v>New Zealand</c:v>
                </c:pt>
                <c:pt idx="17">
                  <c:v>Poland</c:v>
                </c:pt>
                <c:pt idx="18">
                  <c:v>Finland</c:v>
                </c:pt>
                <c:pt idx="19">
                  <c:v>Iran (Islamic Republic of)</c:v>
                </c:pt>
                <c:pt idx="20">
                  <c:v>Thailand</c:v>
                </c:pt>
                <c:pt idx="21">
                  <c:v>United States of America</c:v>
                </c:pt>
                <c:pt idx="22">
                  <c:v>Russian Federation</c:v>
                </c:pt>
                <c:pt idx="23">
                  <c:v>Argentina</c:v>
                </c:pt>
                <c:pt idx="24">
                  <c:v>Sudan</c:v>
                </c:pt>
                <c:pt idx="25">
                  <c:v>Colombia</c:v>
                </c:pt>
                <c:pt idx="26">
                  <c:v>Bolivia (Plurinational State of)</c:v>
                </c:pt>
                <c:pt idx="27">
                  <c:v>Venezuela (Bolivarian Republic of)</c:v>
                </c:pt>
                <c:pt idx="28">
                  <c:v>Mozambique</c:v>
                </c:pt>
                <c:pt idx="29">
                  <c:v>Angola</c:v>
                </c:pt>
                <c:pt idx="30">
                  <c:v>Democratic Republic of the Congo</c:v>
                </c:pt>
                <c:pt idx="31">
                  <c:v>Brazil</c:v>
                </c:pt>
                <c:pt idx="32">
                  <c:v>United Republic of Tanzania</c:v>
                </c:pt>
                <c:pt idx="33">
                  <c:v>Indonesia</c:v>
                </c:pt>
                <c:pt idx="34">
                  <c:v>Côte d’Ivoire</c:v>
                </c:pt>
                <c:pt idx="35">
                  <c:v>Myanmar</c:v>
                </c:pt>
                <c:pt idx="36">
                  <c:v>Paraguay</c:v>
                </c:pt>
              </c:strCache>
            </c:strRef>
          </c:cat>
          <c:val>
            <c:numRef>
              <c:f>'data (2)'!$AB$4:$AB$239</c:f>
              <c:numCache>
                <c:formatCode>#,##0</c:formatCode>
                <c:ptCount val="37"/>
                <c:pt idx="0">
                  <c:v>1255.0300000000007</c:v>
                </c:pt>
                <c:pt idx="1">
                  <c:v>310</c:v>
                </c:pt>
                <c:pt idx="2">
                  <c:v>70.980000000000018</c:v>
                </c:pt>
                <c:pt idx="3">
                  <c:v>26.829999999998108</c:v>
                </c:pt>
                <c:pt idx="4">
                  <c:v>299.70000000000005</c:v>
                </c:pt>
                <c:pt idx="5">
                  <c:v>538.08999999999833</c:v>
                </c:pt>
                <c:pt idx="6">
                  <c:v>19367.799999999988</c:v>
                </c:pt>
                <c:pt idx="7">
                  <c:v>156</c:v>
                </c:pt>
                <c:pt idx="8">
                  <c:v>834</c:v>
                </c:pt>
                <c:pt idx="9">
                  <c:v>137.60000000000036</c:v>
                </c:pt>
                <c:pt idx="10">
                  <c:v>0</c:v>
                </c:pt>
                <c:pt idx="11">
                  <c:v>1485.4400000000023</c:v>
                </c:pt>
                <c:pt idx="12">
                  <c:v>1137.2799999999988</c:v>
                </c:pt>
                <c:pt idx="13">
                  <c:v>2664</c:v>
                </c:pt>
                <c:pt idx="14">
                  <c:v>340.05999999999995</c:v>
                </c:pt>
                <c:pt idx="15">
                  <c:v>414.05000000000018</c:v>
                </c:pt>
                <c:pt idx="16">
                  <c:v>44.469999999999345</c:v>
                </c:pt>
                <c:pt idx="17">
                  <c:v>154</c:v>
                </c:pt>
                <c:pt idx="18">
                  <c:v>167</c:v>
                </c:pt>
                <c:pt idx="19">
                  <c:v>59.890000000001237</c:v>
                </c:pt>
                <c:pt idx="20">
                  <c:v>-200</c:v>
                </c:pt>
                <c:pt idx="21">
                  <c:v>1075</c:v>
                </c:pt>
                <c:pt idx="22">
                  <c:v>176</c:v>
                </c:pt>
                <c:pt idx="23">
                  <c:v>-1641</c:v>
                </c:pt>
                <c:pt idx="24">
                  <c:v>-1721.619999999999</c:v>
                </c:pt>
                <c:pt idx="25">
                  <c:v>-1665.8799999999974</c:v>
                </c:pt>
                <c:pt idx="26">
                  <c:v>-2252.25</c:v>
                </c:pt>
                <c:pt idx="27">
                  <c:v>-1274.0999999999985</c:v>
                </c:pt>
                <c:pt idx="28">
                  <c:v>-2228.3799999999974</c:v>
                </c:pt>
                <c:pt idx="29">
                  <c:v>-5550.6199999999953</c:v>
                </c:pt>
                <c:pt idx="30">
                  <c:v>-11013.759999999995</c:v>
                </c:pt>
                <c:pt idx="31">
                  <c:v>-14961.100000000035</c:v>
                </c:pt>
                <c:pt idx="32">
                  <c:v>-4205.010000000002</c:v>
                </c:pt>
                <c:pt idx="33">
                  <c:v>-7526</c:v>
                </c:pt>
                <c:pt idx="34">
                  <c:v>-1128.8699999999999</c:v>
                </c:pt>
                <c:pt idx="35">
                  <c:v>-2897.1100000000006</c:v>
                </c:pt>
                <c:pt idx="36">
                  <c:v>-3467.9499999999989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49-F445-9230-BE1FA7EF1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727584"/>
        <c:axId val="1010740176"/>
      </c:barChart>
      <c:lineChart>
        <c:grouping val="standard"/>
        <c:varyColors val="0"/>
        <c:ser>
          <c:idx val="5"/>
          <c:order val="5"/>
          <c:tx>
            <c:strRef>
              <c:f>'data (2)'!$P$3</c:f>
              <c:strCache>
                <c:ptCount val="1"/>
                <c:pt idx="0">
                  <c:v>Net_Gain_%</c:v>
                </c:pt>
              </c:strCache>
            </c:strRef>
          </c:tx>
          <c:spPr>
            <a:ln w="28575" cap="rnd">
              <a:solidFill>
                <a:srgbClr val="E95CAF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rgbClr val="D53593"/>
              </a:solidFill>
              <a:ln w="9525">
                <a:noFill/>
              </a:ln>
              <a:effectLst/>
            </c:spPr>
          </c:marker>
          <c:dPt>
            <c:idx val="2"/>
            <c:marker>
              <c:symbol val="x"/>
              <c:size val="4"/>
              <c:spPr>
                <a:solidFill>
                  <a:srgbClr val="D53593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B49-F445-9230-BE1FA7EF145F}"/>
              </c:ext>
            </c:extLst>
          </c:dPt>
          <c:cat>
            <c:strRef>
              <c:f>'data (2)'!$B$4:$B$217</c:f>
              <c:strCache>
                <c:ptCount val="31"/>
                <c:pt idx="0">
                  <c:v>Viet Nam</c:v>
                </c:pt>
                <c:pt idx="1">
                  <c:v>Cuba</c:v>
                </c:pt>
                <c:pt idx="2">
                  <c:v>Dominican Republic</c:v>
                </c:pt>
                <c:pt idx="3">
                  <c:v>Spain</c:v>
                </c:pt>
                <c:pt idx="4">
                  <c:v>Uruguay</c:v>
                </c:pt>
                <c:pt idx="5">
                  <c:v>Italy</c:v>
                </c:pt>
                <c:pt idx="6">
                  <c:v>China</c:v>
                </c:pt>
                <c:pt idx="7">
                  <c:v>Bulgaria</c:v>
                </c:pt>
                <c:pt idx="8">
                  <c:v>France</c:v>
                </c:pt>
                <c:pt idx="9">
                  <c:v>Belarus</c:v>
                </c:pt>
                <c:pt idx="10">
                  <c:v>Greece</c:v>
                </c:pt>
                <c:pt idx="11">
                  <c:v>Chile</c:v>
                </c:pt>
                <c:pt idx="12">
                  <c:v>Turkey</c:v>
                </c:pt>
                <c:pt idx="13">
                  <c:v>India</c:v>
                </c:pt>
                <c:pt idx="14">
                  <c:v>Uzbekistan</c:v>
                </c:pt>
                <c:pt idx="15">
                  <c:v>Romania</c:v>
                </c:pt>
                <c:pt idx="16">
                  <c:v>New Zealand</c:v>
                </c:pt>
                <c:pt idx="17">
                  <c:v>Poland</c:v>
                </c:pt>
                <c:pt idx="18">
                  <c:v>Finland</c:v>
                </c:pt>
                <c:pt idx="19">
                  <c:v>Iran (Islamic Republic of)</c:v>
                </c:pt>
                <c:pt idx="20">
                  <c:v>Thailand</c:v>
                </c:pt>
                <c:pt idx="21">
                  <c:v>United States of America</c:v>
                </c:pt>
                <c:pt idx="22">
                  <c:v>Russian Federation</c:v>
                </c:pt>
                <c:pt idx="23">
                  <c:v>Argentina</c:v>
                </c:pt>
                <c:pt idx="24">
                  <c:v>Sudan</c:v>
                </c:pt>
                <c:pt idx="25">
                  <c:v>Colombia</c:v>
                </c:pt>
                <c:pt idx="26">
                  <c:v>Bolivia (Plurinational State of)</c:v>
                </c:pt>
                <c:pt idx="27">
                  <c:v>Venezuela (Bolivarian Republic of)</c:v>
                </c:pt>
                <c:pt idx="28">
                  <c:v>Mozambique</c:v>
                </c:pt>
                <c:pt idx="29">
                  <c:v>Angola</c:v>
                </c:pt>
                <c:pt idx="30">
                  <c:v>Democratic Republic of the Congo</c:v>
                </c:pt>
              </c:strCache>
            </c:strRef>
          </c:cat>
          <c:val>
            <c:numRef>
              <c:f>'data (2)'!$P$4:$P$239</c:f>
              <c:numCache>
                <c:formatCode>0%</c:formatCode>
                <c:ptCount val="37"/>
                <c:pt idx="0">
                  <c:v>0.16986906182474931</c:v>
                </c:pt>
                <c:pt idx="1">
                  <c:v>0.11382426456450681</c:v>
                </c:pt>
                <c:pt idx="2">
                  <c:v>0.11368453736286477</c:v>
                </c:pt>
                <c:pt idx="3">
                  <c:v>9.3413534376307117E-2</c:v>
                </c:pt>
                <c:pt idx="4">
                  <c:v>7.0449091532396299E-2</c:v>
                </c:pt>
                <c:pt idx="5">
                  <c:v>6.7191813422179891E-2</c:v>
                </c:pt>
                <c:pt idx="6">
                  <c:v>6.6673305251095522E-2</c:v>
                </c:pt>
                <c:pt idx="7">
                  <c:v>5.2137067059690456E-2</c:v>
                </c:pt>
                <c:pt idx="8">
                  <c:v>5.1446416831032238E-2</c:v>
                </c:pt>
                <c:pt idx="9">
                  <c:v>4.8655519317364504E-2</c:v>
                </c:pt>
                <c:pt idx="10">
                  <c:v>4.6799844840962002E-2</c:v>
                </c:pt>
                <c:pt idx="11">
                  <c:v>3.9872634594434686E-2</c:v>
                </c:pt>
                <c:pt idx="12">
                  <c:v>3.1663006899419199E-2</c:v>
                </c:pt>
                <c:pt idx="13">
                  <c:v>2.7653799454458006E-2</c:v>
                </c:pt>
                <c:pt idx="14">
                  <c:v>2.680512458862247E-2</c:v>
                </c:pt>
                <c:pt idx="15">
                  <c:v>2.4254607093184999E-2</c:v>
                </c:pt>
                <c:pt idx="16">
                  <c:v>1.9760738293266467E-2</c:v>
                </c:pt>
                <c:pt idx="17">
                  <c:v>1.9628335347333381E-2</c:v>
                </c:pt>
                <c:pt idx="18">
                  <c:v>1.756013293409231E-2</c:v>
                </c:pt>
                <c:pt idx="19">
                  <c:v>1.0288870060659643E-2</c:v>
                </c:pt>
                <c:pt idx="20">
                  <c:v>1.0021726790502838E-2</c:v>
                </c:pt>
                <c:pt idx="21">
                  <c:v>8.0295864844950326E-3</c:v>
                </c:pt>
                <c:pt idx="22">
                  <c:v>3.8845640223070799E-3</c:v>
                </c:pt>
                <c:pt idx="23">
                  <c:v>-2.4230000475026395E-2</c:v>
                </c:pt>
                <c:pt idx="24">
                  <c:v>-2.7915034955669271E-2</c:v>
                </c:pt>
                <c:pt idx="25">
                  <c:v>-5.2422082018927396E-2</c:v>
                </c:pt>
                <c:pt idx="26">
                  <c:v>-6.4349303055478591E-2</c:v>
                </c:pt>
                <c:pt idx="27">
                  <c:v>-6.570035712261213E-2</c:v>
                </c:pt>
                <c:pt idx="28">
                  <c:v>-8.4364302245733602E-2</c:v>
                </c:pt>
                <c:pt idx="29">
                  <c:v>-0.10151118954038651</c:v>
                </c:pt>
                <c:pt idx="30">
                  <c:v>-0.10795421362563684</c:v>
                </c:pt>
                <c:pt idx="31">
                  <c:v>-0.11040542513047158</c:v>
                </c:pt>
                <c:pt idx="32">
                  <c:v>-0.13146319710995713</c:v>
                </c:pt>
                <c:pt idx="33">
                  <c:v>-0.14067386765520473</c:v>
                </c:pt>
                <c:pt idx="34">
                  <c:v>-0.15767767295597482</c:v>
                </c:pt>
                <c:pt idx="35">
                  <c:v>-0.16344996018864466</c:v>
                </c:pt>
                <c:pt idx="36">
                  <c:v>-0.23769443745280644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49-F445-9230-BE1FA7EF1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048624"/>
        <c:axId val="1987993456"/>
      </c:lineChart>
      <c:catAx>
        <c:axId val="212472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 Light" panose="020F0302020204030204" pitchFamily="34" charset="0"/>
                <a:ea typeface="+mn-ea"/>
                <a:cs typeface="Source Sans Pro Light" panose="020F0302020204030204" pitchFamily="34" charset="0"/>
              </a:defRPr>
            </a:pPr>
            <a:endParaRPr lang="en-US"/>
          </a:p>
        </c:txPr>
        <c:crossAx val="1010740176"/>
        <c:crosses val="autoZero"/>
        <c:auto val="0"/>
        <c:lblAlgn val="ctr"/>
        <c:lblOffset val="100"/>
        <c:noMultiLvlLbl val="0"/>
      </c:catAx>
      <c:valAx>
        <c:axId val="1010740176"/>
        <c:scaling>
          <c:orientation val="minMax"/>
          <c:max val="25000"/>
          <c:min val="-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2124727584"/>
        <c:crosses val="autoZero"/>
        <c:crossBetween val="between"/>
        <c:majorUnit val="5000"/>
      </c:valAx>
      <c:valAx>
        <c:axId val="1987993456"/>
        <c:scaling>
          <c:orientation val="minMax"/>
          <c:max val="0.25"/>
          <c:min val="-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Forest Area change 1990-2020, realtive to Total Land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988048624"/>
        <c:crosses val="max"/>
        <c:crossBetween val="between"/>
        <c:majorUnit val="0.05"/>
      </c:valAx>
      <c:catAx>
        <c:axId val="1988048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7993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Light" panose="020B0403020202020204" pitchFamily="34" charset="0"/>
                <a:ea typeface="+mn-ea"/>
                <a:cs typeface="+mn-cs"/>
              </a:defRPr>
            </a:pPr>
            <a:r>
              <a:rPr lang="en-GB"/>
              <a:t>Nations with the largest (net) afforestation/deforestation, 1990-2020</a:t>
            </a:r>
          </a:p>
        </c:rich>
      </c:tx>
      <c:layout>
        <c:manualLayout>
          <c:xMode val="edge"/>
          <c:yMode val="edge"/>
          <c:x val="6.9124267333749129E-2"/>
          <c:y val="4.57665821426364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 Light" panose="020B0403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(2)'!$X$3</c:f>
              <c:strCache>
                <c:ptCount val="1"/>
                <c:pt idx="0">
                  <c:v>1990-2000</c:v>
                </c:pt>
              </c:strCache>
            </c:strRef>
          </c:tx>
          <c:spPr>
            <a:solidFill>
              <a:srgbClr val="FF5C5F"/>
            </a:solidFill>
            <a:ln>
              <a:noFill/>
            </a:ln>
            <a:effectLst/>
          </c:spPr>
          <c:invertIfNegative val="0"/>
          <c:cat>
            <c:strRef>
              <c:f>'data (2)'!$B$4:$B$239</c:f>
              <c:strCache>
                <c:ptCount val="37"/>
                <c:pt idx="0">
                  <c:v>Viet Nam</c:v>
                </c:pt>
                <c:pt idx="1">
                  <c:v>Cuba</c:v>
                </c:pt>
                <c:pt idx="2">
                  <c:v>Dominican Republic</c:v>
                </c:pt>
                <c:pt idx="3">
                  <c:v>Spain</c:v>
                </c:pt>
                <c:pt idx="4">
                  <c:v>Uruguay</c:v>
                </c:pt>
                <c:pt idx="5">
                  <c:v>Italy</c:v>
                </c:pt>
                <c:pt idx="6">
                  <c:v>China</c:v>
                </c:pt>
                <c:pt idx="7">
                  <c:v>Bulgaria</c:v>
                </c:pt>
                <c:pt idx="8">
                  <c:v>France</c:v>
                </c:pt>
                <c:pt idx="9">
                  <c:v>Belarus</c:v>
                </c:pt>
                <c:pt idx="10">
                  <c:v>Greece</c:v>
                </c:pt>
                <c:pt idx="11">
                  <c:v>Chile</c:v>
                </c:pt>
                <c:pt idx="12">
                  <c:v>Turkey</c:v>
                </c:pt>
                <c:pt idx="13">
                  <c:v>India</c:v>
                </c:pt>
                <c:pt idx="14">
                  <c:v>Uzbekistan</c:v>
                </c:pt>
                <c:pt idx="15">
                  <c:v>Romania</c:v>
                </c:pt>
                <c:pt idx="16">
                  <c:v>New Zealand</c:v>
                </c:pt>
                <c:pt idx="17">
                  <c:v>Poland</c:v>
                </c:pt>
                <c:pt idx="18">
                  <c:v>Finland</c:v>
                </c:pt>
                <c:pt idx="19">
                  <c:v>Iran (Islamic Republic of)</c:v>
                </c:pt>
                <c:pt idx="20">
                  <c:v>Thailand</c:v>
                </c:pt>
                <c:pt idx="21">
                  <c:v>United States of America</c:v>
                </c:pt>
                <c:pt idx="22">
                  <c:v>Russian Federation</c:v>
                </c:pt>
                <c:pt idx="23">
                  <c:v>Argentina</c:v>
                </c:pt>
                <c:pt idx="24">
                  <c:v>Sudan</c:v>
                </c:pt>
                <c:pt idx="25">
                  <c:v>Colombia</c:v>
                </c:pt>
                <c:pt idx="26">
                  <c:v>Bolivia (Plurinational State of)</c:v>
                </c:pt>
                <c:pt idx="27">
                  <c:v>Venezuela (Bolivarian Republic of)</c:v>
                </c:pt>
                <c:pt idx="28">
                  <c:v>Mozambique</c:v>
                </c:pt>
                <c:pt idx="29">
                  <c:v>Angola</c:v>
                </c:pt>
                <c:pt idx="30">
                  <c:v>Democratic Republic of the Congo</c:v>
                </c:pt>
                <c:pt idx="31">
                  <c:v>Brazil</c:v>
                </c:pt>
                <c:pt idx="32">
                  <c:v>United Republic of Tanzania</c:v>
                </c:pt>
                <c:pt idx="33">
                  <c:v>Indonesia</c:v>
                </c:pt>
                <c:pt idx="34">
                  <c:v>Côte d’Ivoire</c:v>
                </c:pt>
                <c:pt idx="35">
                  <c:v>Myanmar</c:v>
                </c:pt>
                <c:pt idx="36">
                  <c:v>Paraguay</c:v>
                </c:pt>
              </c:strCache>
            </c:strRef>
          </c:cat>
          <c:val>
            <c:numRef>
              <c:f>'data (2)'!$X$4:$X$239</c:f>
              <c:numCache>
                <c:formatCode>#,##0</c:formatCode>
                <c:ptCount val="37"/>
                <c:pt idx="0">
                  <c:v>2408.1400000000012</c:v>
                </c:pt>
                <c:pt idx="1">
                  <c:v>377</c:v>
                </c:pt>
                <c:pt idx="2">
                  <c:v>377.57999999999993</c:v>
                </c:pt>
                <c:pt idx="3">
                  <c:v>3189.2700000000004</c:v>
                </c:pt>
                <c:pt idx="4">
                  <c:v>571</c:v>
                </c:pt>
                <c:pt idx="5">
                  <c:v>779.5</c:v>
                </c:pt>
                <c:pt idx="6">
                  <c:v>19859.959999999992</c:v>
                </c:pt>
                <c:pt idx="7">
                  <c:v>48</c:v>
                </c:pt>
                <c:pt idx="8">
                  <c:v>852</c:v>
                </c:pt>
                <c:pt idx="9">
                  <c:v>493</c:v>
                </c:pt>
                <c:pt idx="10">
                  <c:v>301.67999999999984</c:v>
                </c:pt>
                <c:pt idx="11">
                  <c:v>571.01000000000022</c:v>
                </c:pt>
                <c:pt idx="12">
                  <c:v>364.86999999999898</c:v>
                </c:pt>
                <c:pt idx="13">
                  <c:v>3653</c:v>
                </c:pt>
                <c:pt idx="14">
                  <c:v>412.09000000000015</c:v>
                </c:pt>
                <c:pt idx="15">
                  <c:v>-5</c:v>
                </c:pt>
                <c:pt idx="16">
                  <c:v>478.17000000000007</c:v>
                </c:pt>
                <c:pt idx="17">
                  <c:v>177</c:v>
                </c:pt>
                <c:pt idx="18">
                  <c:v>570.30999999999767</c:v>
                </c:pt>
                <c:pt idx="19">
                  <c:v>249.60000000000036</c:v>
                </c:pt>
                <c:pt idx="20">
                  <c:v>-363</c:v>
                </c:pt>
                <c:pt idx="21">
                  <c:v>1086</c:v>
                </c:pt>
                <c:pt idx="22">
                  <c:v>318.59999999997672</c:v>
                </c:pt>
                <c:pt idx="23">
                  <c:v>-1826</c:v>
                </c:pt>
                <c:pt idx="24">
                  <c:v>-1744.1500000000015</c:v>
                </c:pt>
                <c:pt idx="25">
                  <c:v>-2222.6399999999994</c:v>
                </c:pt>
                <c:pt idx="26">
                  <c:v>-2703.3300000000017</c:v>
                </c:pt>
                <c:pt idx="27">
                  <c:v>-2875</c:v>
                </c:pt>
                <c:pt idx="28">
                  <c:v>-2190</c:v>
                </c:pt>
                <c:pt idx="29">
                  <c:v>-1554.1699999999983</c:v>
                </c:pt>
                <c:pt idx="30">
                  <c:v>-6730</c:v>
                </c:pt>
                <c:pt idx="31">
                  <c:v>-37809.400000000023</c:v>
                </c:pt>
                <c:pt idx="32">
                  <c:v>-3720</c:v>
                </c:pt>
                <c:pt idx="33">
                  <c:v>-17265</c:v>
                </c:pt>
                <c:pt idx="34">
                  <c:v>-2756.41</c:v>
                </c:pt>
                <c:pt idx="35">
                  <c:v>-4350.3700000000026</c:v>
                </c:pt>
                <c:pt idx="36">
                  <c:v>-2554.2099999999991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9-CB4D-978A-C70DCEBE17D2}"/>
            </c:ext>
          </c:extLst>
        </c:ser>
        <c:ser>
          <c:idx val="1"/>
          <c:order val="1"/>
          <c:tx>
            <c:strRef>
              <c:f>'data (2)'!$Y$3</c:f>
              <c:strCache>
                <c:ptCount val="1"/>
                <c:pt idx="0">
                  <c:v>2000-2010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(2)'!$B$4:$B$239</c:f>
              <c:strCache>
                <c:ptCount val="37"/>
                <c:pt idx="0">
                  <c:v>Viet Nam</c:v>
                </c:pt>
                <c:pt idx="1">
                  <c:v>Cuba</c:v>
                </c:pt>
                <c:pt idx="2">
                  <c:v>Dominican Republic</c:v>
                </c:pt>
                <c:pt idx="3">
                  <c:v>Spain</c:v>
                </c:pt>
                <c:pt idx="4">
                  <c:v>Uruguay</c:v>
                </c:pt>
                <c:pt idx="5">
                  <c:v>Italy</c:v>
                </c:pt>
                <c:pt idx="6">
                  <c:v>China</c:v>
                </c:pt>
                <c:pt idx="7">
                  <c:v>Bulgaria</c:v>
                </c:pt>
                <c:pt idx="8">
                  <c:v>France</c:v>
                </c:pt>
                <c:pt idx="9">
                  <c:v>Belarus</c:v>
                </c:pt>
                <c:pt idx="10">
                  <c:v>Greece</c:v>
                </c:pt>
                <c:pt idx="11">
                  <c:v>Chile</c:v>
                </c:pt>
                <c:pt idx="12">
                  <c:v>Turkey</c:v>
                </c:pt>
                <c:pt idx="13">
                  <c:v>India</c:v>
                </c:pt>
                <c:pt idx="14">
                  <c:v>Uzbekistan</c:v>
                </c:pt>
                <c:pt idx="15">
                  <c:v>Romania</c:v>
                </c:pt>
                <c:pt idx="16">
                  <c:v>New Zealand</c:v>
                </c:pt>
                <c:pt idx="17">
                  <c:v>Poland</c:v>
                </c:pt>
                <c:pt idx="18">
                  <c:v>Finland</c:v>
                </c:pt>
                <c:pt idx="19">
                  <c:v>Iran (Islamic Republic of)</c:v>
                </c:pt>
                <c:pt idx="20">
                  <c:v>Thailand</c:v>
                </c:pt>
                <c:pt idx="21">
                  <c:v>United States of America</c:v>
                </c:pt>
                <c:pt idx="22">
                  <c:v>Russian Federation</c:v>
                </c:pt>
                <c:pt idx="23">
                  <c:v>Argentina</c:v>
                </c:pt>
                <c:pt idx="24">
                  <c:v>Sudan</c:v>
                </c:pt>
                <c:pt idx="25">
                  <c:v>Colombia</c:v>
                </c:pt>
                <c:pt idx="26">
                  <c:v>Bolivia (Plurinational State of)</c:v>
                </c:pt>
                <c:pt idx="27">
                  <c:v>Venezuela (Bolivarian Republic of)</c:v>
                </c:pt>
                <c:pt idx="28">
                  <c:v>Mozambique</c:v>
                </c:pt>
                <c:pt idx="29">
                  <c:v>Angola</c:v>
                </c:pt>
                <c:pt idx="30">
                  <c:v>Democratic Republic of the Congo</c:v>
                </c:pt>
                <c:pt idx="31">
                  <c:v>Brazil</c:v>
                </c:pt>
                <c:pt idx="32">
                  <c:v>United Republic of Tanzania</c:v>
                </c:pt>
                <c:pt idx="33">
                  <c:v>Indonesia</c:v>
                </c:pt>
                <c:pt idx="34">
                  <c:v>Côte d’Ivoire</c:v>
                </c:pt>
                <c:pt idx="35">
                  <c:v>Myanmar</c:v>
                </c:pt>
                <c:pt idx="36">
                  <c:v>Paraguay</c:v>
                </c:pt>
              </c:strCache>
            </c:strRef>
          </c:cat>
          <c:val>
            <c:numRef>
              <c:f>'data (2)'!$Y$4:$Y$239</c:f>
              <c:numCache>
                <c:formatCode>#,##0</c:formatCode>
                <c:ptCount val="37"/>
                <c:pt idx="0">
                  <c:v>1603.9599999999991</c:v>
                </c:pt>
                <c:pt idx="1">
                  <c:v>497</c:v>
                </c:pt>
                <c:pt idx="2">
                  <c:v>100.64999999999986</c:v>
                </c:pt>
                <c:pt idx="3">
                  <c:v>1451.4099999999999</c:v>
                </c:pt>
                <c:pt idx="4">
                  <c:v>362.29999999999995</c:v>
                </c:pt>
                <c:pt idx="5">
                  <c:v>658.79000000000087</c:v>
                </c:pt>
                <c:pt idx="6">
                  <c:v>23609.830000000016</c:v>
                </c:pt>
                <c:pt idx="7">
                  <c:v>362</c:v>
                </c:pt>
                <c:pt idx="8">
                  <c:v>1131</c:v>
                </c:pt>
                <c:pt idx="9">
                  <c:v>357</c:v>
                </c:pt>
                <c:pt idx="10">
                  <c:v>301.57000000000016</c:v>
                </c:pt>
                <c:pt idx="11">
                  <c:v>908.19999999999891</c:v>
                </c:pt>
                <c:pt idx="12">
                  <c:v>934.7300000000032</c:v>
                </c:pt>
                <c:pt idx="13">
                  <c:v>1905</c:v>
                </c:pt>
                <c:pt idx="14">
                  <c:v>388.13999999999987</c:v>
                </c:pt>
                <c:pt idx="15">
                  <c:v>149</c:v>
                </c:pt>
                <c:pt idx="16">
                  <c:v>-2.319999999999709</c:v>
                </c:pt>
                <c:pt idx="17">
                  <c:v>270</c:v>
                </c:pt>
                <c:pt idx="18">
                  <c:v>-203.63999999999942</c:v>
                </c:pt>
                <c:pt idx="19">
                  <c:v>1366.3199999999997</c:v>
                </c:pt>
                <c:pt idx="20">
                  <c:v>1075</c:v>
                </c:pt>
                <c:pt idx="21">
                  <c:v>5184</c:v>
                </c:pt>
                <c:pt idx="22">
                  <c:v>5867.0999999999767</c:v>
                </c:pt>
                <c:pt idx="23">
                  <c:v>-3164</c:v>
                </c:pt>
                <c:pt idx="24">
                  <c:v>-1744.9900000000016</c:v>
                </c:pt>
                <c:pt idx="25">
                  <c:v>-1927.7099999999991</c:v>
                </c:pt>
                <c:pt idx="26">
                  <c:v>-2015.3799999999974</c:v>
                </c:pt>
                <c:pt idx="27">
                  <c:v>-1646</c:v>
                </c:pt>
                <c:pt idx="28">
                  <c:v>-2215.8600000000006</c:v>
                </c:pt>
                <c:pt idx="29">
                  <c:v>-5550.6100000000006</c:v>
                </c:pt>
                <c:pt idx="30">
                  <c:v>-6730</c:v>
                </c:pt>
                <c:pt idx="31">
                  <c:v>-39507.899999999965</c:v>
                </c:pt>
                <c:pt idx="32">
                  <c:v>-3720</c:v>
                </c:pt>
                <c:pt idx="33">
                  <c:v>-1620.8000000000029</c:v>
                </c:pt>
                <c:pt idx="34">
                  <c:v>-1128.8699999999999</c:v>
                </c:pt>
                <c:pt idx="35">
                  <c:v>-3427.1100000000006</c:v>
                </c:pt>
                <c:pt idx="36">
                  <c:v>-3421.4400000000023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9-CB4D-978A-C70DCEBE17D2}"/>
            </c:ext>
          </c:extLst>
        </c:ser>
        <c:ser>
          <c:idx val="2"/>
          <c:order val="2"/>
          <c:tx>
            <c:strRef>
              <c:f>data!$Z$10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data!$B$11:$B$246</c:f>
              <c:strCache>
                <c:ptCount val="236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  <c:pt idx="214">
                  <c:v>Equatorial Guinea</c:v>
                </c:pt>
                <c:pt idx="215">
                  <c:v>Guinea-Bissau</c:v>
                </c:pt>
                <c:pt idx="216">
                  <c:v>Liberia</c:v>
                </c:pt>
                <c:pt idx="217">
                  <c:v>Montserrat</c:v>
                </c:pt>
                <c:pt idx="218">
                  <c:v>Angola</c:v>
                </c:pt>
                <c:pt idx="219">
                  <c:v>Democratic Republic of the Congo</c:v>
                </c:pt>
                <c:pt idx="220">
                  <c:v>Brazil</c:v>
                </c:pt>
                <c:pt idx="221">
                  <c:v>Guatemala</c:v>
                </c:pt>
                <c:pt idx="222">
                  <c:v>United Republic of Tanzania</c:v>
                </c:pt>
                <c:pt idx="223">
                  <c:v>United States Virgin Islands</c:v>
                </c:pt>
                <c:pt idx="224">
                  <c:v>Malawi</c:v>
                </c:pt>
                <c:pt idx="225">
                  <c:v>Indonesia</c:v>
                </c:pt>
                <c:pt idx="226">
                  <c:v>Mayotte</c:v>
                </c:pt>
                <c:pt idx="227">
                  <c:v>Belize</c:v>
                </c:pt>
                <c:pt idx="228">
                  <c:v>Benin</c:v>
                </c:pt>
                <c:pt idx="229">
                  <c:v>Côte d’Ivoire</c:v>
                </c:pt>
                <c:pt idx="230">
                  <c:v>Myanmar</c:v>
                </c:pt>
                <c:pt idx="231">
                  <c:v>Cambodia</c:v>
                </c:pt>
                <c:pt idx="232">
                  <c:v>Gambia</c:v>
                </c:pt>
                <c:pt idx="233">
                  <c:v>Northern Mariana Islands</c:v>
                </c:pt>
                <c:pt idx="234">
                  <c:v>Paraguay</c:v>
                </c:pt>
                <c:pt idx="235">
                  <c:v>Nicaragua</c:v>
                </c:pt>
              </c:strCache>
            </c:strRef>
          </c:cat>
          <c:val>
            <c:numRef>
              <c:f>data!$Z$11:$Z$224</c:f>
              <c:numCache>
                <c:formatCode>#,##0</c:formatCode>
                <c:ptCount val="214"/>
                <c:pt idx="0">
                  <c:v>2.4300000000000068</c:v>
                </c:pt>
                <c:pt idx="1">
                  <c:v>673.80000000000109</c:v>
                </c:pt>
                <c:pt idx="2">
                  <c:v>0</c:v>
                </c:pt>
                <c:pt idx="3">
                  <c:v>252</c:v>
                </c:pt>
                <c:pt idx="4">
                  <c:v>30.5300000000002</c:v>
                </c:pt>
                <c:pt idx="5">
                  <c:v>33.379999999999882</c:v>
                </c:pt>
                <c:pt idx="6">
                  <c:v>5.8400000000001455</c:v>
                </c:pt>
                <c:pt idx="7">
                  <c:v>1.5</c:v>
                </c:pt>
                <c:pt idx="8">
                  <c:v>1</c:v>
                </c:pt>
                <c:pt idx="9">
                  <c:v>0.42999999999999972</c:v>
                </c:pt>
                <c:pt idx="10">
                  <c:v>188.70000000000005</c:v>
                </c:pt>
                <c:pt idx="11">
                  <c:v>19.009999999999991</c:v>
                </c:pt>
                <c:pt idx="12">
                  <c:v>269.03999999999905</c:v>
                </c:pt>
                <c:pt idx="13">
                  <c:v>9683.8699999999953</c:v>
                </c:pt>
                <c:pt idx="14">
                  <c:v>9.8899999999998727</c:v>
                </c:pt>
                <c:pt idx="15">
                  <c:v>84.990000000000236</c:v>
                </c:pt>
                <c:pt idx="16">
                  <c:v>96</c:v>
                </c:pt>
                <c:pt idx="17">
                  <c:v>417</c:v>
                </c:pt>
                <c:pt idx="18">
                  <c:v>3.5</c:v>
                </c:pt>
                <c:pt idx="19">
                  <c:v>6.5300000000002001</c:v>
                </c:pt>
                <c:pt idx="20">
                  <c:v>0</c:v>
                </c:pt>
                <c:pt idx="21">
                  <c:v>34.289999999999964</c:v>
                </c:pt>
                <c:pt idx="22">
                  <c:v>1</c:v>
                </c:pt>
                <c:pt idx="23">
                  <c:v>2.0500000000000114</c:v>
                </c:pt>
                <c:pt idx="24">
                  <c:v>17</c:v>
                </c:pt>
                <c:pt idx="25">
                  <c:v>870.82000000000335</c:v>
                </c:pt>
                <c:pt idx="26">
                  <c:v>19.320000000000164</c:v>
                </c:pt>
                <c:pt idx="27">
                  <c:v>33.970000000000027</c:v>
                </c:pt>
                <c:pt idx="28">
                  <c:v>547.21999999999753</c:v>
                </c:pt>
                <c:pt idx="29">
                  <c:v>17.190000000000055</c:v>
                </c:pt>
                <c:pt idx="30">
                  <c:v>0</c:v>
                </c:pt>
                <c:pt idx="31">
                  <c:v>1332</c:v>
                </c:pt>
                <c:pt idx="32">
                  <c:v>199.80000000000018</c:v>
                </c:pt>
                <c:pt idx="33">
                  <c:v>14.430000000000064</c:v>
                </c:pt>
                <c:pt idx="34">
                  <c:v>0</c:v>
                </c:pt>
                <c:pt idx="35">
                  <c:v>81.830000000000382</c:v>
                </c:pt>
                <c:pt idx="36">
                  <c:v>1</c:v>
                </c:pt>
                <c:pt idx="37">
                  <c:v>385.96000000000004</c:v>
                </c:pt>
                <c:pt idx="38">
                  <c:v>0</c:v>
                </c:pt>
                <c:pt idx="39">
                  <c:v>38.189999999999941</c:v>
                </c:pt>
                <c:pt idx="40">
                  <c:v>45.400000000000091</c:v>
                </c:pt>
                <c:pt idx="41">
                  <c:v>6.0699999999999932</c:v>
                </c:pt>
                <c:pt idx="42">
                  <c:v>0</c:v>
                </c:pt>
                <c:pt idx="43">
                  <c:v>-1.5100000000002183</c:v>
                </c:pt>
                <c:pt idx="44">
                  <c:v>91</c:v>
                </c:pt>
                <c:pt idx="45">
                  <c:v>11.899999999999977</c:v>
                </c:pt>
                <c:pt idx="46">
                  <c:v>167</c:v>
                </c:pt>
                <c:pt idx="47">
                  <c:v>96</c:v>
                </c:pt>
                <c:pt idx="48">
                  <c:v>2</c:v>
                </c:pt>
                <c:pt idx="49">
                  <c:v>17.990000000000236</c:v>
                </c:pt>
                <c:pt idx="50">
                  <c:v>0</c:v>
                </c:pt>
                <c:pt idx="51">
                  <c:v>0</c:v>
                </c:pt>
                <c:pt idx="52">
                  <c:v>-0.12999999999999545</c:v>
                </c:pt>
                <c:pt idx="53">
                  <c:v>0.14000000000000057</c:v>
                </c:pt>
                <c:pt idx="54">
                  <c:v>0</c:v>
                </c:pt>
                <c:pt idx="55">
                  <c:v>-1.2699999999999996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-12</c:v>
                </c:pt>
                <c:pt idx="60">
                  <c:v>22.129999999999882</c:v>
                </c:pt>
                <c:pt idx="61">
                  <c:v>30.000000000000057</c:v>
                </c:pt>
                <c:pt idx="62">
                  <c:v>1375</c:v>
                </c:pt>
                <c:pt idx="63">
                  <c:v>109</c:v>
                </c:pt>
                <c:pt idx="64">
                  <c:v>-8.6500000000000341</c:v>
                </c:pt>
                <c:pt idx="65">
                  <c:v>7.999999999999996E-2</c:v>
                </c:pt>
                <c:pt idx="66">
                  <c:v>11.009999999999764</c:v>
                </c:pt>
                <c:pt idx="67">
                  <c:v>10.119999999999891</c:v>
                </c:pt>
                <c:pt idx="68">
                  <c:v>3.8399999999999181</c:v>
                </c:pt>
                <c:pt idx="69">
                  <c:v>-0.57000000000005002</c:v>
                </c:pt>
                <c:pt idx="70">
                  <c:v>-205.14000000001397</c:v>
                </c:pt>
                <c:pt idx="71">
                  <c:v>7.6500000000000909</c:v>
                </c:pt>
                <c:pt idx="72">
                  <c:v>-0.5</c:v>
                </c:pt>
                <c:pt idx="73">
                  <c:v>11</c:v>
                </c:pt>
                <c:pt idx="74">
                  <c:v>2.9800000000000182</c:v>
                </c:pt>
                <c:pt idx="75">
                  <c:v>0</c:v>
                </c:pt>
                <c:pt idx="76">
                  <c:v>3.4899999999999949</c:v>
                </c:pt>
                <c:pt idx="77">
                  <c:v>10</c:v>
                </c:pt>
                <c:pt idx="78">
                  <c:v>9.9999999999997868E-3</c:v>
                </c:pt>
                <c:pt idx="79">
                  <c:v>0.19000000000000128</c:v>
                </c:pt>
                <c:pt idx="80">
                  <c:v>39</c:v>
                </c:pt>
                <c:pt idx="81">
                  <c:v>0</c:v>
                </c:pt>
                <c:pt idx="82">
                  <c:v>85.699999999999989</c:v>
                </c:pt>
                <c:pt idx="83">
                  <c:v>38</c:v>
                </c:pt>
                <c:pt idx="84">
                  <c:v>11.800000000000011</c:v>
                </c:pt>
                <c:pt idx="85">
                  <c:v>226.2800000000002</c:v>
                </c:pt>
                <c:pt idx="86">
                  <c:v>0</c:v>
                </c:pt>
                <c:pt idx="87">
                  <c:v>3548.3999999999942</c:v>
                </c:pt>
                <c:pt idx="88">
                  <c:v>0</c:v>
                </c:pt>
                <c:pt idx="89">
                  <c:v>7.1200000000000045</c:v>
                </c:pt>
                <c:pt idx="90">
                  <c:v>-17.22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-0.40999999999996817</c:v>
                </c:pt>
                <c:pt idx="138">
                  <c:v>0</c:v>
                </c:pt>
                <c:pt idx="139">
                  <c:v>-22</c:v>
                </c:pt>
                <c:pt idx="140">
                  <c:v>-5.569999999999709</c:v>
                </c:pt>
                <c:pt idx="141">
                  <c:v>-206.5</c:v>
                </c:pt>
                <c:pt idx="142">
                  <c:v>-27.199999999999989</c:v>
                </c:pt>
                <c:pt idx="143">
                  <c:v>-93</c:v>
                </c:pt>
                <c:pt idx="144">
                  <c:v>-1.0400000000000205</c:v>
                </c:pt>
                <c:pt idx="145">
                  <c:v>5.0000000000000711E-2</c:v>
                </c:pt>
                <c:pt idx="146">
                  <c:v>-4.9399999999998272</c:v>
                </c:pt>
                <c:pt idx="147">
                  <c:v>57.840000000000146</c:v>
                </c:pt>
                <c:pt idx="148">
                  <c:v>-93.930000000000291</c:v>
                </c:pt>
                <c:pt idx="149">
                  <c:v>-2.0000000000000018E-2</c:v>
                </c:pt>
                <c:pt idx="150">
                  <c:v>-62.100000000000136</c:v>
                </c:pt>
                <c:pt idx="151">
                  <c:v>0.67000000000000171</c:v>
                </c:pt>
                <c:pt idx="152">
                  <c:v>-3.6600000000003092</c:v>
                </c:pt>
                <c:pt idx="153">
                  <c:v>0</c:v>
                </c:pt>
                <c:pt idx="154">
                  <c:v>-59.409999999999854</c:v>
                </c:pt>
                <c:pt idx="155">
                  <c:v>-182</c:v>
                </c:pt>
                <c:pt idx="156">
                  <c:v>-15.799999999999955</c:v>
                </c:pt>
                <c:pt idx="157">
                  <c:v>-58.450000000000728</c:v>
                </c:pt>
                <c:pt idx="158">
                  <c:v>60</c:v>
                </c:pt>
                <c:pt idx="159">
                  <c:v>-60</c:v>
                </c:pt>
                <c:pt idx="160">
                  <c:v>-9.0000000000003411E-2</c:v>
                </c:pt>
                <c:pt idx="161">
                  <c:v>-48.190000000000509</c:v>
                </c:pt>
                <c:pt idx="162">
                  <c:v>-154.47000000000116</c:v>
                </c:pt>
                <c:pt idx="163">
                  <c:v>-15.529999999999973</c:v>
                </c:pt>
                <c:pt idx="164">
                  <c:v>-150</c:v>
                </c:pt>
                <c:pt idx="165">
                  <c:v>-16.5</c:v>
                </c:pt>
                <c:pt idx="166">
                  <c:v>-161.13000000000011</c:v>
                </c:pt>
                <c:pt idx="167">
                  <c:v>5</c:v>
                </c:pt>
                <c:pt idx="168">
                  <c:v>0</c:v>
                </c:pt>
                <c:pt idx="169">
                  <c:v>-640</c:v>
                </c:pt>
                <c:pt idx="170">
                  <c:v>-365</c:v>
                </c:pt>
                <c:pt idx="171">
                  <c:v>174.42999999999938</c:v>
                </c:pt>
                <c:pt idx="172">
                  <c:v>-66.090000000000146</c:v>
                </c:pt>
                <c:pt idx="173">
                  <c:v>-1117</c:v>
                </c:pt>
                <c:pt idx="174">
                  <c:v>-612.39999999999418</c:v>
                </c:pt>
                <c:pt idx="175">
                  <c:v>-355.03999999999996</c:v>
                </c:pt>
                <c:pt idx="176">
                  <c:v>-2.1200000000000045</c:v>
                </c:pt>
                <c:pt idx="177">
                  <c:v>-50</c:v>
                </c:pt>
                <c:pt idx="178">
                  <c:v>-871.23999999999796</c:v>
                </c:pt>
                <c:pt idx="179">
                  <c:v>-14.799999999999955</c:v>
                </c:pt>
                <c:pt idx="180">
                  <c:v>-7</c:v>
                </c:pt>
                <c:pt idx="181">
                  <c:v>-0.10999999999999988</c:v>
                </c:pt>
                <c:pt idx="182">
                  <c:v>-855.27000000000407</c:v>
                </c:pt>
                <c:pt idx="183">
                  <c:v>0</c:v>
                </c:pt>
                <c:pt idx="184">
                  <c:v>-940.90000000000146</c:v>
                </c:pt>
                <c:pt idx="185">
                  <c:v>-230.34999999999854</c:v>
                </c:pt>
                <c:pt idx="186">
                  <c:v>-383.75</c:v>
                </c:pt>
                <c:pt idx="187">
                  <c:v>25.200000000000273</c:v>
                </c:pt>
                <c:pt idx="188">
                  <c:v>-180</c:v>
                </c:pt>
                <c:pt idx="189">
                  <c:v>-0.33000000000000007</c:v>
                </c:pt>
                <c:pt idx="190">
                  <c:v>-280</c:v>
                </c:pt>
                <c:pt idx="191">
                  <c:v>516.56999999999971</c:v>
                </c:pt>
                <c:pt idx="192">
                  <c:v>-0.14999999999999858</c:v>
                </c:pt>
                <c:pt idx="193">
                  <c:v>-2.4200000000000159</c:v>
                </c:pt>
                <c:pt idx="194">
                  <c:v>-673.12999999999738</c:v>
                </c:pt>
                <c:pt idx="195">
                  <c:v>-57.079999999999927</c:v>
                </c:pt>
                <c:pt idx="196">
                  <c:v>-816.52999999999884</c:v>
                </c:pt>
                <c:pt idx="197">
                  <c:v>-172.5</c:v>
                </c:pt>
                <c:pt idx="198">
                  <c:v>-250.10000000000036</c:v>
                </c:pt>
                <c:pt idx="199">
                  <c:v>-111.64000000000033</c:v>
                </c:pt>
                <c:pt idx="200">
                  <c:v>-206.26000000000022</c:v>
                </c:pt>
                <c:pt idx="201">
                  <c:v>0</c:v>
                </c:pt>
                <c:pt idx="202">
                  <c:v>-591.5</c:v>
                </c:pt>
                <c:pt idx="203">
                  <c:v>-200</c:v>
                </c:pt>
                <c:pt idx="204">
                  <c:v>-1058.7900000000009</c:v>
                </c:pt>
                <c:pt idx="205">
                  <c:v>-22.5</c:v>
                </c:pt>
                <c:pt idx="206">
                  <c:v>-822</c:v>
                </c:pt>
                <c:pt idx="207">
                  <c:v>-3.1000000000000014</c:v>
                </c:pt>
                <c:pt idx="208">
                  <c:v>-2.1899999999999977</c:v>
                </c:pt>
                <c:pt idx="209">
                  <c:v>-106.15000000000055</c:v>
                </c:pt>
                <c:pt idx="210">
                  <c:v>-98.629999999999654</c:v>
                </c:pt>
                <c:pt idx="211">
                  <c:v>-1032.1399999999994</c:v>
                </c:pt>
                <c:pt idx="212">
                  <c:v>-62.490000000000691</c:v>
                </c:pt>
                <c:pt idx="213">
                  <c:v>-209.01000000000022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59-CB4D-978A-C70DCEBE17D2}"/>
            </c:ext>
          </c:extLst>
        </c:ser>
        <c:ser>
          <c:idx val="3"/>
          <c:order val="3"/>
          <c:tx>
            <c:strRef>
              <c:f>data!$AA$10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data!$B$11:$B$246</c:f>
              <c:strCache>
                <c:ptCount val="236"/>
                <c:pt idx="0">
                  <c:v>Puerto Rico</c:v>
                </c:pt>
                <c:pt idx="1">
                  <c:v>Viet Nam</c:v>
                </c:pt>
                <c:pt idx="2">
                  <c:v>Montenegro</c:v>
                </c:pt>
                <c:pt idx="3">
                  <c:v>Cuba</c:v>
                </c:pt>
                <c:pt idx="4">
                  <c:v>Dominican Republic</c:v>
                </c:pt>
                <c:pt idx="5">
                  <c:v>Fiji</c:v>
                </c:pt>
                <c:pt idx="6">
                  <c:v>Spain</c:v>
                </c:pt>
                <c:pt idx="7">
                  <c:v>Cabo Verde</c:v>
                </c:pt>
                <c:pt idx="8">
                  <c:v>Guam</c:v>
                </c:pt>
                <c:pt idx="9">
                  <c:v>Palau</c:v>
                </c:pt>
                <c:pt idx="10">
                  <c:v>Uruguay</c:v>
                </c:pt>
                <c:pt idx="11">
                  <c:v>Jamaica</c:v>
                </c:pt>
                <c:pt idx="12">
                  <c:v>Italy</c:v>
                </c:pt>
                <c:pt idx="13">
                  <c:v>China</c:v>
                </c:pt>
                <c:pt idx="14">
                  <c:v>Bhutan</c:v>
                </c:pt>
                <c:pt idx="15">
                  <c:v>Estonia</c:v>
                </c:pt>
                <c:pt idx="16">
                  <c:v>Bulgaria</c:v>
                </c:pt>
                <c:pt idx="17">
                  <c:v>France</c:v>
                </c:pt>
                <c:pt idx="18">
                  <c:v>Belarus</c:v>
                </c:pt>
                <c:pt idx="19">
                  <c:v>Serbia</c:v>
                </c:pt>
                <c:pt idx="20">
                  <c:v>Greece</c:v>
                </c:pt>
                <c:pt idx="21">
                  <c:v>Ireland</c:v>
                </c:pt>
                <c:pt idx="22">
                  <c:v>Martinique</c:v>
                </c:pt>
                <c:pt idx="23">
                  <c:v>Réunion</c:v>
                </c:pt>
                <c:pt idx="24">
                  <c:v>Lithuania</c:v>
                </c:pt>
                <c:pt idx="25">
                  <c:v>Chile</c:v>
                </c:pt>
                <c:pt idx="26">
                  <c:v>Latvia</c:v>
                </c:pt>
                <c:pt idx="27">
                  <c:v>North Macedonia</c:v>
                </c:pt>
                <c:pt idx="28">
                  <c:v>Turkey</c:v>
                </c:pt>
                <c:pt idx="29">
                  <c:v>Switzerland</c:v>
                </c:pt>
                <c:pt idx="30">
                  <c:v>Cook Islands</c:v>
                </c:pt>
                <c:pt idx="31">
                  <c:v>India</c:v>
                </c:pt>
                <c:pt idx="32">
                  <c:v>Uzbekistan</c:v>
                </c:pt>
                <c:pt idx="33">
                  <c:v>Hungary</c:v>
                </c:pt>
                <c:pt idx="34">
                  <c:v>Saint Vincent and the Grenadines</c:v>
                </c:pt>
                <c:pt idx="35">
                  <c:v>Costa Rica</c:v>
                </c:pt>
                <c:pt idx="36">
                  <c:v>Slovenia</c:v>
                </c:pt>
                <c:pt idx="37">
                  <c:v>Romania</c:v>
                </c:pt>
                <c:pt idx="38">
                  <c:v>Guernsey</c:v>
                </c:pt>
                <c:pt idx="39">
                  <c:v>Denmark</c:v>
                </c:pt>
                <c:pt idx="40">
                  <c:v>Azerbaijan</c:v>
                </c:pt>
                <c:pt idx="41">
                  <c:v>Eswatini</c:v>
                </c:pt>
                <c:pt idx="42">
                  <c:v>Nepal</c:v>
                </c:pt>
                <c:pt idx="43">
                  <c:v>New Zealand</c:v>
                </c:pt>
                <c:pt idx="44">
                  <c:v>Poland</c:v>
                </c:pt>
                <c:pt idx="45">
                  <c:v>Republic of Moldova</c:v>
                </c:pt>
                <c:pt idx="46">
                  <c:v>Finland</c:v>
                </c:pt>
                <c:pt idx="47">
                  <c:v>United Kingdom of Great Britain and Northern Ireland</c:v>
                </c:pt>
                <c:pt idx="48">
                  <c:v>Croatia</c:v>
                </c:pt>
                <c:pt idx="49">
                  <c:v>Austria</c:v>
                </c:pt>
                <c:pt idx="50">
                  <c:v>French Polynesia</c:v>
                </c:pt>
                <c:pt idx="51">
                  <c:v>Liechtenstein</c:v>
                </c:pt>
                <c:pt idx="52">
                  <c:v>Cyprus</c:v>
                </c:pt>
                <c:pt idx="53">
                  <c:v>Micronesia (Federated States of)</c:v>
                </c:pt>
                <c:pt idx="54">
                  <c:v>Luxembourg</c:v>
                </c:pt>
                <c:pt idx="55">
                  <c:v>Singapore</c:v>
                </c:pt>
                <c:pt idx="56">
                  <c:v>Iran (Islamic Republic of)</c:v>
                </c:pt>
                <c:pt idx="57">
                  <c:v>United Arab Emirates</c:v>
                </c:pt>
                <c:pt idx="58">
                  <c:v>Georgia</c:v>
                </c:pt>
                <c:pt idx="59">
                  <c:v>Thailand</c:v>
                </c:pt>
                <c:pt idx="60">
                  <c:v>Kyrgyzstan</c:v>
                </c:pt>
                <c:pt idx="61">
                  <c:v>Syrian Arab Republic</c:v>
                </c:pt>
                <c:pt idx="62">
                  <c:v>United States of America</c:v>
                </c:pt>
                <c:pt idx="63">
                  <c:v>Ukraine</c:v>
                </c:pt>
                <c:pt idx="64">
                  <c:v>Netherlands</c:v>
                </c:pt>
                <c:pt idx="65">
                  <c:v>Bahrain</c:v>
                </c:pt>
                <c:pt idx="66">
                  <c:v>Czechia</c:v>
                </c:pt>
                <c:pt idx="67">
                  <c:v>Morocco</c:v>
                </c:pt>
                <c:pt idx="68">
                  <c:v>Slovakia</c:v>
                </c:pt>
                <c:pt idx="69">
                  <c:v>Belgium</c:v>
                </c:pt>
                <c:pt idx="70">
                  <c:v>Russian Federation</c:v>
                </c:pt>
                <c:pt idx="71">
                  <c:v>Tunisia</c:v>
                </c:pt>
                <c:pt idx="72">
                  <c:v>New Caledonia</c:v>
                </c:pt>
                <c:pt idx="73">
                  <c:v>Israel</c:v>
                </c:pt>
                <c:pt idx="74">
                  <c:v>Lebanon</c:v>
                </c:pt>
                <c:pt idx="75">
                  <c:v>Malta</c:v>
                </c:pt>
                <c:pt idx="76">
                  <c:v>Iceland</c:v>
                </c:pt>
                <c:pt idx="77">
                  <c:v>Germany</c:v>
                </c:pt>
                <c:pt idx="78">
                  <c:v>Wallis and Futuna Islands</c:v>
                </c:pt>
                <c:pt idx="79">
                  <c:v>State of Palestine</c:v>
                </c:pt>
                <c:pt idx="80">
                  <c:v>Norway</c:v>
                </c:pt>
                <c:pt idx="81">
                  <c:v>Kuwait</c:v>
                </c:pt>
                <c:pt idx="82">
                  <c:v>Burundi</c:v>
                </c:pt>
                <c:pt idx="83">
                  <c:v>Algeria</c:v>
                </c:pt>
                <c:pt idx="84">
                  <c:v>Tajikistan</c:v>
                </c:pt>
                <c:pt idx="85">
                  <c:v>Kazakhstan</c:v>
                </c:pt>
                <c:pt idx="86">
                  <c:v>Iraq</c:v>
                </c:pt>
                <c:pt idx="87">
                  <c:v>Australia</c:v>
                </c:pt>
                <c:pt idx="88">
                  <c:v>Djibouti</c:v>
                </c:pt>
                <c:pt idx="89">
                  <c:v>Albania</c:v>
                </c:pt>
                <c:pt idx="90">
                  <c:v>Egypt</c:v>
                </c:pt>
                <c:pt idx="91">
                  <c:v>Saint Kitts and Nevis</c:v>
                </c:pt>
                <c:pt idx="92">
                  <c:v>Vanuatu</c:v>
                </c:pt>
                <c:pt idx="93">
                  <c:v>Andorra</c:v>
                </c:pt>
                <c:pt idx="94">
                  <c:v>Tuvalu</c:v>
                </c:pt>
                <c:pt idx="95">
                  <c:v>Saint Martin (French Part)</c:v>
                </c:pt>
                <c:pt idx="96">
                  <c:v>Bermuda</c:v>
                </c:pt>
                <c:pt idx="97">
                  <c:v>San Marino</c:v>
                </c:pt>
                <c:pt idx="98">
                  <c:v>Barbados</c:v>
                </c:pt>
                <c:pt idx="99">
                  <c:v>Tonga</c:v>
                </c:pt>
                <c:pt idx="100">
                  <c:v>Norfolk Island</c:v>
                </c:pt>
                <c:pt idx="101">
                  <c:v>South Sudan</c:v>
                </c:pt>
                <c:pt idx="102">
                  <c:v>Turks and Caicos Islands</c:v>
                </c:pt>
                <c:pt idx="103">
                  <c:v>Bahamas</c:v>
                </c:pt>
                <c:pt idx="104">
                  <c:v>Grenada</c:v>
                </c:pt>
                <c:pt idx="105">
                  <c:v>Marshall Islands</c:v>
                </c:pt>
                <c:pt idx="106">
                  <c:v>Anguilla</c:v>
                </c:pt>
                <c:pt idx="107">
                  <c:v>Pitcairn</c:v>
                </c:pt>
                <c:pt idx="108">
                  <c:v>Seychelles</c:v>
                </c:pt>
                <c:pt idx="109">
                  <c:v>Mali</c:v>
                </c:pt>
                <c:pt idx="110">
                  <c:v>Sint Maarten (Dutch part)</c:v>
                </c:pt>
                <c:pt idx="111">
                  <c:v>Turkmenistan</c:v>
                </c:pt>
                <c:pt idx="112">
                  <c:v>Saint Barthélemy</c:v>
                </c:pt>
                <c:pt idx="113">
                  <c:v>Isle of Man</c:v>
                </c:pt>
                <c:pt idx="114">
                  <c:v>Bonaire, Sint Eustatius and Saba</c:v>
                </c:pt>
                <c:pt idx="115">
                  <c:v>Saint Helena</c:v>
                </c:pt>
                <c:pt idx="116">
                  <c:v>Jersey</c:v>
                </c:pt>
                <c:pt idx="117">
                  <c:v>Maldives</c:v>
                </c:pt>
                <c:pt idx="118">
                  <c:v>Aruba</c:v>
                </c:pt>
                <c:pt idx="119">
                  <c:v>Afghanistan</c:v>
                </c:pt>
                <c:pt idx="120">
                  <c:v>Kiribati</c:v>
                </c:pt>
                <c:pt idx="121">
                  <c:v>Lesotho</c:v>
                </c:pt>
                <c:pt idx="122">
                  <c:v>Jordan</c:v>
                </c:pt>
                <c:pt idx="123">
                  <c:v>Yemen</c:v>
                </c:pt>
                <c:pt idx="124">
                  <c:v>Saudi Arabia</c:v>
                </c:pt>
                <c:pt idx="125">
                  <c:v>Curaçao</c:v>
                </c:pt>
                <c:pt idx="126">
                  <c:v>Libya</c:v>
                </c:pt>
                <c:pt idx="127">
                  <c:v>Faeroe Islands</c:v>
                </c:pt>
                <c:pt idx="128">
                  <c:v>Greenland</c:v>
                </c:pt>
                <c:pt idx="129">
                  <c:v>Svalbard and Jan Mayen Islands</c:v>
                </c:pt>
                <c:pt idx="130">
                  <c:v>Falkland Islands (Malvinas)</c:v>
                </c:pt>
                <c:pt idx="131">
                  <c:v>Gibraltar</c:v>
                </c:pt>
                <c:pt idx="132">
                  <c:v>Nauru</c:v>
                </c:pt>
                <c:pt idx="133">
                  <c:v>Qatar</c:v>
                </c:pt>
                <c:pt idx="134">
                  <c:v>Tokelau</c:v>
                </c:pt>
                <c:pt idx="135">
                  <c:v>Holy See</c:v>
                </c:pt>
                <c:pt idx="136">
                  <c:v>Monaco</c:v>
                </c:pt>
                <c:pt idx="137">
                  <c:v>Western Sahara</c:v>
                </c:pt>
                <c:pt idx="138">
                  <c:v>Oman</c:v>
                </c:pt>
                <c:pt idx="139">
                  <c:v>Japan</c:v>
                </c:pt>
                <c:pt idx="140">
                  <c:v>Mongolia</c:v>
                </c:pt>
                <c:pt idx="141">
                  <c:v>Canada</c:v>
                </c:pt>
                <c:pt idx="142">
                  <c:v>Mauritania</c:v>
                </c:pt>
                <c:pt idx="143">
                  <c:v>Sweden</c:v>
                </c:pt>
                <c:pt idx="144">
                  <c:v>Armenia</c:v>
                </c:pt>
                <c:pt idx="145">
                  <c:v>Niue</c:v>
                </c:pt>
                <c:pt idx="146">
                  <c:v>Bangladesh</c:v>
                </c:pt>
                <c:pt idx="147">
                  <c:v>Bosnia and Herzegovina</c:v>
                </c:pt>
                <c:pt idx="148">
                  <c:v>Kenya</c:v>
                </c:pt>
                <c:pt idx="149">
                  <c:v>British Virgin Islands</c:v>
                </c:pt>
                <c:pt idx="150">
                  <c:v>Niger</c:v>
                </c:pt>
                <c:pt idx="151">
                  <c:v>Guadeloupe</c:v>
                </c:pt>
                <c:pt idx="152">
                  <c:v>Solomon Islands</c:v>
                </c:pt>
                <c:pt idx="153">
                  <c:v>Saint Lucia</c:v>
                </c:pt>
                <c:pt idx="154">
                  <c:v>Gabon</c:v>
                </c:pt>
                <c:pt idx="155">
                  <c:v>South Africa</c:v>
                </c:pt>
                <c:pt idx="156">
                  <c:v>Eritrea</c:v>
                </c:pt>
                <c:pt idx="157">
                  <c:v>Guyana</c:v>
                </c:pt>
                <c:pt idx="158">
                  <c:v>Portugal</c:v>
                </c:pt>
                <c:pt idx="159">
                  <c:v>Congo</c:v>
                </c:pt>
                <c:pt idx="160">
                  <c:v>Mauritius</c:v>
                </c:pt>
                <c:pt idx="161">
                  <c:v>Suriname</c:v>
                </c:pt>
                <c:pt idx="162">
                  <c:v>Papua New Guinea</c:v>
                </c:pt>
                <c:pt idx="163">
                  <c:v>Haiti</c:v>
                </c:pt>
                <c:pt idx="164">
                  <c:v>Central African Republic</c:v>
                </c:pt>
                <c:pt idx="165">
                  <c:v>French Guiana</c:v>
                </c:pt>
                <c:pt idx="166">
                  <c:v>Pakistan</c:v>
                </c:pt>
                <c:pt idx="167">
                  <c:v>Rwanda</c:v>
                </c:pt>
                <c:pt idx="168">
                  <c:v>Cayman Islands</c:v>
                </c:pt>
                <c:pt idx="169">
                  <c:v>Chad</c:v>
                </c:pt>
                <c:pt idx="170">
                  <c:v>Ethiopia</c:v>
                </c:pt>
                <c:pt idx="171">
                  <c:v>Philippines</c:v>
                </c:pt>
                <c:pt idx="172">
                  <c:v>Madagascar</c:v>
                </c:pt>
                <c:pt idx="173">
                  <c:v>Argentina</c:v>
                </c:pt>
                <c:pt idx="174">
                  <c:v>Mexico</c:v>
                </c:pt>
                <c:pt idx="175">
                  <c:v>Namibia</c:v>
                </c:pt>
                <c:pt idx="176">
                  <c:v>Trinidad and Tobago</c:v>
                </c:pt>
                <c:pt idx="177">
                  <c:v>Republic of Korea</c:v>
                </c:pt>
                <c:pt idx="178">
                  <c:v>Sudan</c:v>
                </c:pt>
                <c:pt idx="179">
                  <c:v>Togo</c:v>
                </c:pt>
                <c:pt idx="180">
                  <c:v>Timor-Leste</c:v>
                </c:pt>
                <c:pt idx="181">
                  <c:v>Saint Pierre and Miquelon</c:v>
                </c:pt>
                <c:pt idx="182">
                  <c:v>Peru</c:v>
                </c:pt>
                <c:pt idx="183">
                  <c:v>Dominica</c:v>
                </c:pt>
                <c:pt idx="184">
                  <c:v>Zambia</c:v>
                </c:pt>
                <c:pt idx="185">
                  <c:v>Zimbabwe</c:v>
                </c:pt>
                <c:pt idx="186">
                  <c:v>Somalia</c:v>
                </c:pt>
                <c:pt idx="187">
                  <c:v>Sri Lanka</c:v>
                </c:pt>
                <c:pt idx="188">
                  <c:v>Guinea</c:v>
                </c:pt>
                <c:pt idx="189">
                  <c:v>Antigua and Barbuda</c:v>
                </c:pt>
                <c:pt idx="190">
                  <c:v>Cameroon</c:v>
                </c:pt>
                <c:pt idx="191">
                  <c:v>Malaysia</c:v>
                </c:pt>
                <c:pt idx="192">
                  <c:v>American Samoa</c:v>
                </c:pt>
                <c:pt idx="193">
                  <c:v>Samoa</c:v>
                </c:pt>
                <c:pt idx="194">
                  <c:v>Colombia</c:v>
                </c:pt>
                <c:pt idx="195">
                  <c:v>Panama</c:v>
                </c:pt>
                <c:pt idx="196">
                  <c:v>Nigeria</c:v>
                </c:pt>
                <c:pt idx="197">
                  <c:v>Lao People's Democratic Republic</c:v>
                </c:pt>
                <c:pt idx="198">
                  <c:v>Burkina Faso</c:v>
                </c:pt>
                <c:pt idx="199">
                  <c:v>Honduras</c:v>
                </c:pt>
                <c:pt idx="200">
                  <c:v>Uganda</c:v>
                </c:pt>
                <c:pt idx="201">
                  <c:v>Brunei Darussalam</c:v>
                </c:pt>
                <c:pt idx="202">
                  <c:v>Botswana</c:v>
                </c:pt>
                <c:pt idx="203">
                  <c:v>Senegal</c:v>
                </c:pt>
                <c:pt idx="204">
                  <c:v>Bolivia (Plurinational State of)</c:v>
                </c:pt>
                <c:pt idx="205">
                  <c:v>El Salvador</c:v>
                </c:pt>
                <c:pt idx="206">
                  <c:v>Venezuela (Bolivarian Republic of)</c:v>
                </c:pt>
                <c:pt idx="207">
                  <c:v>Sao Tome and Principe</c:v>
                </c:pt>
                <c:pt idx="208">
                  <c:v>Comoros</c:v>
                </c:pt>
                <c:pt idx="209">
                  <c:v>Democratic People's Republic of Korea</c:v>
                </c:pt>
                <c:pt idx="210">
                  <c:v>Sierra Leone</c:v>
                </c:pt>
                <c:pt idx="211">
                  <c:v>Mozambique</c:v>
                </c:pt>
                <c:pt idx="212">
                  <c:v>Ghana</c:v>
                </c:pt>
                <c:pt idx="213">
                  <c:v>Ecuador</c:v>
                </c:pt>
                <c:pt idx="214">
                  <c:v>Equatorial Guinea</c:v>
                </c:pt>
                <c:pt idx="215">
                  <c:v>Guinea-Bissau</c:v>
                </c:pt>
                <c:pt idx="216">
                  <c:v>Liberia</c:v>
                </c:pt>
                <c:pt idx="217">
                  <c:v>Montserrat</c:v>
                </c:pt>
                <c:pt idx="218">
                  <c:v>Angola</c:v>
                </c:pt>
                <c:pt idx="219">
                  <c:v>Democratic Republic of the Congo</c:v>
                </c:pt>
                <c:pt idx="220">
                  <c:v>Brazil</c:v>
                </c:pt>
                <c:pt idx="221">
                  <c:v>Guatemala</c:v>
                </c:pt>
                <c:pt idx="222">
                  <c:v>United Republic of Tanzania</c:v>
                </c:pt>
                <c:pt idx="223">
                  <c:v>United States Virgin Islands</c:v>
                </c:pt>
                <c:pt idx="224">
                  <c:v>Malawi</c:v>
                </c:pt>
                <c:pt idx="225">
                  <c:v>Indonesia</c:v>
                </c:pt>
                <c:pt idx="226">
                  <c:v>Mayotte</c:v>
                </c:pt>
                <c:pt idx="227">
                  <c:v>Belize</c:v>
                </c:pt>
                <c:pt idx="228">
                  <c:v>Benin</c:v>
                </c:pt>
                <c:pt idx="229">
                  <c:v>Côte d’Ivoire</c:v>
                </c:pt>
                <c:pt idx="230">
                  <c:v>Myanmar</c:v>
                </c:pt>
                <c:pt idx="231">
                  <c:v>Cambodia</c:v>
                </c:pt>
                <c:pt idx="232">
                  <c:v>Gambia</c:v>
                </c:pt>
                <c:pt idx="233">
                  <c:v>Northern Mariana Islands</c:v>
                </c:pt>
                <c:pt idx="234">
                  <c:v>Paraguay</c:v>
                </c:pt>
                <c:pt idx="235">
                  <c:v>Nicaragua</c:v>
                </c:pt>
              </c:strCache>
            </c:strRef>
          </c:cat>
          <c:val>
            <c:numRef>
              <c:f>data!$AA$11:$AA$224</c:f>
              <c:numCache>
                <c:formatCode>#,##0</c:formatCode>
                <c:ptCount val="214"/>
                <c:pt idx="0">
                  <c:v>2.4499999999999886</c:v>
                </c:pt>
                <c:pt idx="1">
                  <c:v>581.22999999999956</c:v>
                </c:pt>
                <c:pt idx="2">
                  <c:v>0</c:v>
                </c:pt>
                <c:pt idx="3">
                  <c:v>58</c:v>
                </c:pt>
                <c:pt idx="4">
                  <c:v>40.449999999999818</c:v>
                </c:pt>
                <c:pt idx="5">
                  <c:v>33.400000000000091</c:v>
                </c:pt>
                <c:pt idx="6">
                  <c:v>20.989999999997963</c:v>
                </c:pt>
                <c:pt idx="7">
                  <c:v>1.5</c:v>
                </c:pt>
                <c:pt idx="8">
                  <c:v>3</c:v>
                </c:pt>
                <c:pt idx="9">
                  <c:v>0.4199999999999946</c:v>
                </c:pt>
                <c:pt idx="10">
                  <c:v>111</c:v>
                </c:pt>
                <c:pt idx="11">
                  <c:v>19.42999999999995</c:v>
                </c:pt>
                <c:pt idx="12">
                  <c:v>269.04999999999927</c:v>
                </c:pt>
                <c:pt idx="13">
                  <c:v>9683.929999999993</c:v>
                </c:pt>
                <c:pt idx="14">
                  <c:v>9.9000000000000909</c:v>
                </c:pt>
                <c:pt idx="15">
                  <c:v>17.389999999999873</c:v>
                </c:pt>
                <c:pt idx="16">
                  <c:v>60</c:v>
                </c:pt>
                <c:pt idx="17">
                  <c:v>417</c:v>
                </c:pt>
                <c:pt idx="18">
                  <c:v>134.10000000000036</c:v>
                </c:pt>
                <c:pt idx="19">
                  <c:v>3.1199999999998909</c:v>
                </c:pt>
                <c:pt idx="20">
                  <c:v>0</c:v>
                </c:pt>
                <c:pt idx="21">
                  <c:v>27.350000000000023</c:v>
                </c:pt>
                <c:pt idx="22">
                  <c:v>1</c:v>
                </c:pt>
                <c:pt idx="23">
                  <c:v>2.3999999999999915</c:v>
                </c:pt>
                <c:pt idx="24">
                  <c:v>14</c:v>
                </c:pt>
                <c:pt idx="25">
                  <c:v>614.61999999999898</c:v>
                </c:pt>
                <c:pt idx="26">
                  <c:v>19.349999999999909</c:v>
                </c:pt>
                <c:pt idx="27">
                  <c:v>7.0900000000000318</c:v>
                </c:pt>
                <c:pt idx="28">
                  <c:v>590.06000000000131</c:v>
                </c:pt>
                <c:pt idx="29">
                  <c:v>17.199999999999818</c:v>
                </c:pt>
                <c:pt idx="30">
                  <c:v>0</c:v>
                </c:pt>
                <c:pt idx="31">
                  <c:v>1332</c:v>
                </c:pt>
                <c:pt idx="32">
                  <c:v>140.25999999999976</c:v>
                </c:pt>
                <c:pt idx="33">
                  <c:v>-7.8099999999999454</c:v>
                </c:pt>
                <c:pt idx="34">
                  <c:v>0</c:v>
                </c:pt>
                <c:pt idx="35">
                  <c:v>81.839999999999691</c:v>
                </c:pt>
                <c:pt idx="36">
                  <c:v>-10.170000000000073</c:v>
                </c:pt>
                <c:pt idx="37">
                  <c:v>28.090000000000146</c:v>
                </c:pt>
                <c:pt idx="38">
                  <c:v>0</c:v>
                </c:pt>
                <c:pt idx="39">
                  <c:v>3.7600000000001046</c:v>
                </c:pt>
                <c:pt idx="40">
                  <c:v>53.879999999999882</c:v>
                </c:pt>
                <c:pt idx="41">
                  <c:v>6.0600000000000023</c:v>
                </c:pt>
                <c:pt idx="42">
                  <c:v>0</c:v>
                </c:pt>
                <c:pt idx="43">
                  <c:v>45.979999999999563</c:v>
                </c:pt>
                <c:pt idx="44">
                  <c:v>63</c:v>
                </c:pt>
                <c:pt idx="45">
                  <c:v>0.10000000000002274</c:v>
                </c:pt>
                <c:pt idx="46">
                  <c:v>0</c:v>
                </c:pt>
                <c:pt idx="47">
                  <c:v>35</c:v>
                </c:pt>
                <c:pt idx="48">
                  <c:v>17.1099999999999</c:v>
                </c:pt>
                <c:pt idx="49">
                  <c:v>17.960000000000036</c:v>
                </c:pt>
                <c:pt idx="50">
                  <c:v>0</c:v>
                </c:pt>
                <c:pt idx="51">
                  <c:v>0</c:v>
                </c:pt>
                <c:pt idx="52">
                  <c:v>-0.18000000000000682</c:v>
                </c:pt>
                <c:pt idx="53">
                  <c:v>0.15000000000000568</c:v>
                </c:pt>
                <c:pt idx="54">
                  <c:v>0</c:v>
                </c:pt>
                <c:pt idx="55">
                  <c:v>-0.89999999999999858</c:v>
                </c:pt>
                <c:pt idx="56">
                  <c:v>59.890000000001237</c:v>
                </c:pt>
                <c:pt idx="57">
                  <c:v>0</c:v>
                </c:pt>
                <c:pt idx="58">
                  <c:v>0</c:v>
                </c:pt>
                <c:pt idx="59">
                  <c:v>-188</c:v>
                </c:pt>
                <c:pt idx="60">
                  <c:v>63.570000000000164</c:v>
                </c:pt>
                <c:pt idx="61">
                  <c:v>0</c:v>
                </c:pt>
                <c:pt idx="62">
                  <c:v>-300</c:v>
                </c:pt>
                <c:pt idx="63">
                  <c:v>33</c:v>
                </c:pt>
                <c:pt idx="64">
                  <c:v>4.6700000000000159</c:v>
                </c:pt>
                <c:pt idx="65">
                  <c:v>9.9999999999999978E-2</c:v>
                </c:pt>
                <c:pt idx="66">
                  <c:v>8.7000000000002728</c:v>
                </c:pt>
                <c:pt idx="67">
                  <c:v>57.800000000000182</c:v>
                </c:pt>
                <c:pt idx="68">
                  <c:v>4.1500000000000909</c:v>
                </c:pt>
                <c:pt idx="69">
                  <c:v>0</c:v>
                </c:pt>
                <c:pt idx="70">
                  <c:v>381.14000000001397</c:v>
                </c:pt>
                <c:pt idx="71">
                  <c:v>7.6499999999999773</c:v>
                </c:pt>
                <c:pt idx="72">
                  <c:v>-0.5</c:v>
                </c:pt>
                <c:pt idx="73">
                  <c:v>-25</c:v>
                </c:pt>
                <c:pt idx="74">
                  <c:v>3</c:v>
                </c:pt>
                <c:pt idx="75">
                  <c:v>0.11000000000000004</c:v>
                </c:pt>
                <c:pt idx="76">
                  <c:v>3.1900000000000048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39</c:v>
                </c:pt>
                <c:pt idx="81">
                  <c:v>0</c:v>
                </c:pt>
                <c:pt idx="82">
                  <c:v>0</c:v>
                </c:pt>
                <c:pt idx="83">
                  <c:v>-7</c:v>
                </c:pt>
                <c:pt idx="84">
                  <c:v>2</c:v>
                </c:pt>
                <c:pt idx="85">
                  <c:v>146.2199999999998</c:v>
                </c:pt>
                <c:pt idx="86">
                  <c:v>0</c:v>
                </c:pt>
                <c:pt idx="87">
                  <c:v>910.60000000000582</c:v>
                </c:pt>
                <c:pt idx="88">
                  <c:v>0.20000000000000018</c:v>
                </c:pt>
                <c:pt idx="89">
                  <c:v>-0.29000000000007731</c:v>
                </c:pt>
                <c:pt idx="90">
                  <c:v>-3.4400000000000048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0.37000000000000455</c:v>
                </c:pt>
                <c:pt idx="138">
                  <c:v>-0.5</c:v>
                </c:pt>
                <c:pt idx="139">
                  <c:v>-9</c:v>
                </c:pt>
                <c:pt idx="140">
                  <c:v>-5.5499999999992724</c:v>
                </c:pt>
                <c:pt idx="141">
                  <c:v>-187.61000000004424</c:v>
                </c:pt>
                <c:pt idx="142">
                  <c:v>-27.240000000000009</c:v>
                </c:pt>
                <c:pt idx="143">
                  <c:v>0</c:v>
                </c:pt>
                <c:pt idx="144">
                  <c:v>-1.0499999999999545</c:v>
                </c:pt>
                <c:pt idx="145">
                  <c:v>5.0000000000000711E-2</c:v>
                </c:pt>
                <c:pt idx="146">
                  <c:v>0</c:v>
                </c:pt>
                <c:pt idx="147">
                  <c:v>27.409999999999854</c:v>
                </c:pt>
                <c:pt idx="148">
                  <c:v>88.680000000000291</c:v>
                </c:pt>
                <c:pt idx="149">
                  <c:v>0</c:v>
                </c:pt>
                <c:pt idx="150">
                  <c:v>-62.099999999999909</c:v>
                </c:pt>
                <c:pt idx="151">
                  <c:v>-0.29999999999999716</c:v>
                </c:pt>
                <c:pt idx="152">
                  <c:v>-3.6500000000000909</c:v>
                </c:pt>
                <c:pt idx="153">
                  <c:v>0</c:v>
                </c:pt>
                <c:pt idx="154">
                  <c:v>-59.400000000001455</c:v>
                </c:pt>
                <c:pt idx="155">
                  <c:v>-182</c:v>
                </c:pt>
                <c:pt idx="156">
                  <c:v>-15.799999999999955</c:v>
                </c:pt>
                <c:pt idx="157">
                  <c:v>-46.020000000000437</c:v>
                </c:pt>
                <c:pt idx="158">
                  <c:v>0</c:v>
                </c:pt>
                <c:pt idx="159">
                  <c:v>-69</c:v>
                </c:pt>
                <c:pt idx="160">
                  <c:v>0.47000000000000597</c:v>
                </c:pt>
                <c:pt idx="161">
                  <c:v>-55.3799999999992</c:v>
                </c:pt>
                <c:pt idx="162">
                  <c:v>-168.65999999999622</c:v>
                </c:pt>
                <c:pt idx="163">
                  <c:v>-15.550000000000011</c:v>
                </c:pt>
                <c:pt idx="164">
                  <c:v>-150</c:v>
                </c:pt>
                <c:pt idx="165">
                  <c:v>-17.149999999999636</c:v>
                </c:pt>
                <c:pt idx="166">
                  <c:v>-206.69999999999982</c:v>
                </c:pt>
                <c:pt idx="167">
                  <c:v>6</c:v>
                </c:pt>
                <c:pt idx="168">
                  <c:v>0</c:v>
                </c:pt>
                <c:pt idx="169">
                  <c:v>-577</c:v>
                </c:pt>
                <c:pt idx="170">
                  <c:v>-365</c:v>
                </c:pt>
                <c:pt idx="171">
                  <c:v>174.44000000000051</c:v>
                </c:pt>
                <c:pt idx="172">
                  <c:v>-66.079999999999927</c:v>
                </c:pt>
                <c:pt idx="173">
                  <c:v>-524</c:v>
                </c:pt>
                <c:pt idx="174">
                  <c:v>-638.83000000000175</c:v>
                </c:pt>
                <c:pt idx="175">
                  <c:v>-355.05000000000018</c:v>
                </c:pt>
                <c:pt idx="176">
                  <c:v>-2.0999999999999943</c:v>
                </c:pt>
                <c:pt idx="177">
                  <c:v>-50</c:v>
                </c:pt>
                <c:pt idx="178">
                  <c:v>-850.38000000000102</c:v>
                </c:pt>
                <c:pt idx="179">
                  <c:v>-14.799999999999955</c:v>
                </c:pt>
                <c:pt idx="180">
                  <c:v>-7</c:v>
                </c:pt>
                <c:pt idx="181">
                  <c:v>-0.1100000000000001</c:v>
                </c:pt>
                <c:pt idx="182">
                  <c:v>-864.16000000000349</c:v>
                </c:pt>
                <c:pt idx="183">
                  <c:v>0</c:v>
                </c:pt>
                <c:pt idx="184">
                  <c:v>-941.06999999999971</c:v>
                </c:pt>
                <c:pt idx="185">
                  <c:v>-230.34999999999854</c:v>
                </c:pt>
                <c:pt idx="186">
                  <c:v>-383.75</c:v>
                </c:pt>
                <c:pt idx="187">
                  <c:v>-15.800000000000182</c:v>
                </c:pt>
                <c:pt idx="188">
                  <c:v>-200</c:v>
                </c:pt>
                <c:pt idx="189">
                  <c:v>-0.33000000000000007</c:v>
                </c:pt>
                <c:pt idx="190">
                  <c:v>-280</c:v>
                </c:pt>
                <c:pt idx="191">
                  <c:v>-350.18000000000029</c:v>
                </c:pt>
                <c:pt idx="192">
                  <c:v>-0.15000000000000213</c:v>
                </c:pt>
                <c:pt idx="193">
                  <c:v>-2.4000000000000057</c:v>
                </c:pt>
                <c:pt idx="194">
                  <c:v>-992.75</c:v>
                </c:pt>
                <c:pt idx="195">
                  <c:v>-57.069999999999709</c:v>
                </c:pt>
                <c:pt idx="196">
                  <c:v>-816.5</c:v>
                </c:pt>
                <c:pt idx="197">
                  <c:v>-172.5</c:v>
                </c:pt>
                <c:pt idx="198">
                  <c:v>-250</c:v>
                </c:pt>
                <c:pt idx="199">
                  <c:v>-104.56999999999971</c:v>
                </c:pt>
                <c:pt idx="200">
                  <c:v>-206.25999999999976</c:v>
                </c:pt>
                <c:pt idx="201">
                  <c:v>0</c:v>
                </c:pt>
                <c:pt idx="202">
                  <c:v>-591.5</c:v>
                </c:pt>
                <c:pt idx="203">
                  <c:v>-200</c:v>
                </c:pt>
                <c:pt idx="204">
                  <c:v>-1193.4599999999991</c:v>
                </c:pt>
                <c:pt idx="205">
                  <c:v>-22.5</c:v>
                </c:pt>
                <c:pt idx="206">
                  <c:v>-452.09999999999854</c:v>
                </c:pt>
                <c:pt idx="207">
                  <c:v>-3.1000000000000014</c:v>
                </c:pt>
                <c:pt idx="208">
                  <c:v>-2.1899999999999977</c:v>
                </c:pt>
                <c:pt idx="209">
                  <c:v>-106.14999999999964</c:v>
                </c:pt>
                <c:pt idx="210">
                  <c:v>-98.650000000000091</c:v>
                </c:pt>
                <c:pt idx="211">
                  <c:v>-1196.239999999998</c:v>
                </c:pt>
                <c:pt idx="212">
                  <c:v>105.27000000000044</c:v>
                </c:pt>
                <c:pt idx="213">
                  <c:v>-321.35000000000036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59-CB4D-978A-C70DCEBE17D2}"/>
            </c:ext>
          </c:extLst>
        </c:ser>
        <c:ser>
          <c:idx val="4"/>
          <c:order val="4"/>
          <c:tx>
            <c:strRef>
              <c:f>'data (2)'!$AB$3</c:f>
              <c:strCache>
                <c:ptCount val="1"/>
                <c:pt idx="0">
                  <c:v>2010-2020</c:v>
                </c:pt>
              </c:strCache>
            </c:strRef>
          </c:tx>
          <c:spPr>
            <a:solidFill>
              <a:srgbClr val="407EB6"/>
            </a:solidFill>
            <a:ln>
              <a:noFill/>
            </a:ln>
            <a:effectLst/>
          </c:spPr>
          <c:invertIfNegative val="0"/>
          <c:cat>
            <c:strRef>
              <c:f>'data (2)'!$B$4:$B$239</c:f>
              <c:strCache>
                <c:ptCount val="37"/>
                <c:pt idx="0">
                  <c:v>Viet Nam</c:v>
                </c:pt>
                <c:pt idx="1">
                  <c:v>Cuba</c:v>
                </c:pt>
                <c:pt idx="2">
                  <c:v>Dominican Republic</c:v>
                </c:pt>
                <c:pt idx="3">
                  <c:v>Spain</c:v>
                </c:pt>
                <c:pt idx="4">
                  <c:v>Uruguay</c:v>
                </c:pt>
                <c:pt idx="5">
                  <c:v>Italy</c:v>
                </c:pt>
                <c:pt idx="6">
                  <c:v>China</c:v>
                </c:pt>
                <c:pt idx="7">
                  <c:v>Bulgaria</c:v>
                </c:pt>
                <c:pt idx="8">
                  <c:v>France</c:v>
                </c:pt>
                <c:pt idx="9">
                  <c:v>Belarus</c:v>
                </c:pt>
                <c:pt idx="10">
                  <c:v>Greece</c:v>
                </c:pt>
                <c:pt idx="11">
                  <c:v>Chile</c:v>
                </c:pt>
                <c:pt idx="12">
                  <c:v>Turkey</c:v>
                </c:pt>
                <c:pt idx="13">
                  <c:v>India</c:v>
                </c:pt>
                <c:pt idx="14">
                  <c:v>Uzbekistan</c:v>
                </c:pt>
                <c:pt idx="15">
                  <c:v>Romania</c:v>
                </c:pt>
                <c:pt idx="16">
                  <c:v>New Zealand</c:v>
                </c:pt>
                <c:pt idx="17">
                  <c:v>Poland</c:v>
                </c:pt>
                <c:pt idx="18">
                  <c:v>Finland</c:v>
                </c:pt>
                <c:pt idx="19">
                  <c:v>Iran (Islamic Republic of)</c:v>
                </c:pt>
                <c:pt idx="20">
                  <c:v>Thailand</c:v>
                </c:pt>
                <c:pt idx="21">
                  <c:v>United States of America</c:v>
                </c:pt>
                <c:pt idx="22">
                  <c:v>Russian Federation</c:v>
                </c:pt>
                <c:pt idx="23">
                  <c:v>Argentina</c:v>
                </c:pt>
                <c:pt idx="24">
                  <c:v>Sudan</c:v>
                </c:pt>
                <c:pt idx="25">
                  <c:v>Colombia</c:v>
                </c:pt>
                <c:pt idx="26">
                  <c:v>Bolivia (Plurinational State of)</c:v>
                </c:pt>
                <c:pt idx="27">
                  <c:v>Venezuela (Bolivarian Republic of)</c:v>
                </c:pt>
                <c:pt idx="28">
                  <c:v>Mozambique</c:v>
                </c:pt>
                <c:pt idx="29">
                  <c:v>Angola</c:v>
                </c:pt>
                <c:pt idx="30">
                  <c:v>Democratic Republic of the Congo</c:v>
                </c:pt>
                <c:pt idx="31">
                  <c:v>Brazil</c:v>
                </c:pt>
                <c:pt idx="32">
                  <c:v>United Republic of Tanzania</c:v>
                </c:pt>
                <c:pt idx="33">
                  <c:v>Indonesia</c:v>
                </c:pt>
                <c:pt idx="34">
                  <c:v>Côte d’Ivoire</c:v>
                </c:pt>
                <c:pt idx="35">
                  <c:v>Myanmar</c:v>
                </c:pt>
                <c:pt idx="36">
                  <c:v>Paraguay</c:v>
                </c:pt>
              </c:strCache>
            </c:strRef>
          </c:cat>
          <c:val>
            <c:numRef>
              <c:f>'data (2)'!$AB$4:$AB$239</c:f>
              <c:numCache>
                <c:formatCode>#,##0</c:formatCode>
                <c:ptCount val="37"/>
                <c:pt idx="0">
                  <c:v>1255.0300000000007</c:v>
                </c:pt>
                <c:pt idx="1">
                  <c:v>310</c:v>
                </c:pt>
                <c:pt idx="2">
                  <c:v>70.980000000000018</c:v>
                </c:pt>
                <c:pt idx="3">
                  <c:v>26.829999999998108</c:v>
                </c:pt>
                <c:pt idx="4">
                  <c:v>299.70000000000005</c:v>
                </c:pt>
                <c:pt idx="5">
                  <c:v>538.08999999999833</c:v>
                </c:pt>
                <c:pt idx="6">
                  <c:v>19367.799999999988</c:v>
                </c:pt>
                <c:pt idx="7">
                  <c:v>156</c:v>
                </c:pt>
                <c:pt idx="8">
                  <c:v>834</c:v>
                </c:pt>
                <c:pt idx="9">
                  <c:v>137.60000000000036</c:v>
                </c:pt>
                <c:pt idx="10">
                  <c:v>0</c:v>
                </c:pt>
                <c:pt idx="11">
                  <c:v>1485.4400000000023</c:v>
                </c:pt>
                <c:pt idx="12">
                  <c:v>1137.2799999999988</c:v>
                </c:pt>
                <c:pt idx="13">
                  <c:v>2664</c:v>
                </c:pt>
                <c:pt idx="14">
                  <c:v>340.05999999999995</c:v>
                </c:pt>
                <c:pt idx="15">
                  <c:v>414.05000000000018</c:v>
                </c:pt>
                <c:pt idx="16">
                  <c:v>44.469999999999345</c:v>
                </c:pt>
                <c:pt idx="17">
                  <c:v>154</c:v>
                </c:pt>
                <c:pt idx="18">
                  <c:v>167</c:v>
                </c:pt>
                <c:pt idx="19">
                  <c:v>59.890000000001237</c:v>
                </c:pt>
                <c:pt idx="20">
                  <c:v>-200</c:v>
                </c:pt>
                <c:pt idx="21">
                  <c:v>1075</c:v>
                </c:pt>
                <c:pt idx="22">
                  <c:v>176</c:v>
                </c:pt>
                <c:pt idx="23">
                  <c:v>-1641</c:v>
                </c:pt>
                <c:pt idx="24">
                  <c:v>-1721.619999999999</c:v>
                </c:pt>
                <c:pt idx="25">
                  <c:v>-1665.8799999999974</c:v>
                </c:pt>
                <c:pt idx="26">
                  <c:v>-2252.25</c:v>
                </c:pt>
                <c:pt idx="27">
                  <c:v>-1274.0999999999985</c:v>
                </c:pt>
                <c:pt idx="28">
                  <c:v>-2228.3799999999974</c:v>
                </c:pt>
                <c:pt idx="29">
                  <c:v>-5550.6199999999953</c:v>
                </c:pt>
                <c:pt idx="30">
                  <c:v>-11013.759999999995</c:v>
                </c:pt>
                <c:pt idx="31">
                  <c:v>-14961.100000000035</c:v>
                </c:pt>
                <c:pt idx="32">
                  <c:v>-4205.010000000002</c:v>
                </c:pt>
                <c:pt idx="33">
                  <c:v>-7526</c:v>
                </c:pt>
                <c:pt idx="34">
                  <c:v>-1128.8699999999999</c:v>
                </c:pt>
                <c:pt idx="35">
                  <c:v>-2897.1100000000006</c:v>
                </c:pt>
                <c:pt idx="36">
                  <c:v>-3467.9499999999989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59-CB4D-978A-C70DCEBE1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5"/>
        <c:overlap val="-69"/>
        <c:axId val="2124727584"/>
        <c:axId val="1010740176"/>
      </c:barChart>
      <c:catAx>
        <c:axId val="212472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010740176"/>
        <c:crosses val="autoZero"/>
        <c:auto val="1"/>
        <c:lblAlgn val="ctr"/>
        <c:lblOffset val="100"/>
        <c:noMultiLvlLbl val="0"/>
      </c:catAx>
      <c:valAx>
        <c:axId val="1010740176"/>
        <c:scaling>
          <c:orientation val="minMax"/>
          <c:max val="25000"/>
          <c:min val="-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2124727584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Light" panose="020B0403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Helvetica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launch trajectory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68044619422572"/>
          <c:y val="0.17168999708369789"/>
          <c:w val="0.8268751093613298"/>
          <c:h val="0.72094889180519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'Learning Lambda again'!$G$3:$G$174</c:f>
              <c:numCache>
                <c:formatCode>0.00</c:formatCode>
                <c:ptCount val="172"/>
                <c:pt idx="0" formatCode="General">
                  <c:v>0</c:v>
                </c:pt>
                <c:pt idx="1">
                  <c:v>0</c:v>
                </c:pt>
                <c:pt idx="2">
                  <c:v>2.5000578707052683</c:v>
                </c:pt>
                <c:pt idx="3">
                  <c:v>7.5001736121158054</c:v>
                </c:pt>
                <c:pt idx="4">
                  <c:v>15.000347224231611</c:v>
                </c:pt>
                <c:pt idx="5">
                  <c:v>25.000578707052682</c:v>
                </c:pt>
                <c:pt idx="6">
                  <c:v>42.500983801989562</c:v>
                </c:pt>
                <c:pt idx="7">
                  <c:v>67.501562509042245</c:v>
                </c:pt>
                <c:pt idx="8">
                  <c:v>100.00231482821073</c:v>
                </c:pt>
                <c:pt idx="9">
                  <c:v>140.00324075949501</c:v>
                </c:pt>
                <c:pt idx="10">
                  <c:v>187.50434030289512</c:v>
                </c:pt>
                <c:pt idx="11">
                  <c:v>242.50561345841101</c:v>
                </c:pt>
                <c:pt idx="12">
                  <c:v>335.00775467450592</c:v>
                </c:pt>
                <c:pt idx="13">
                  <c:v>465.01076395117991</c:v>
                </c:pt>
                <c:pt idx="14">
                  <c:v>632.51464128843293</c:v>
                </c:pt>
                <c:pt idx="15">
                  <c:v>837.51938668626497</c:v>
                </c:pt>
                <c:pt idx="16">
                  <c:v>1080.0250001446759</c:v>
                </c:pt>
                <c:pt idx="17">
                  <c:v>1360.031481663666</c:v>
                </c:pt>
                <c:pt idx="18">
                  <c:v>1677.5388312432351</c:v>
                </c:pt>
                <c:pt idx="19">
                  <c:v>2032.5470488833832</c:v>
                </c:pt>
                <c:pt idx="20">
                  <c:v>2425.0561345841102</c:v>
                </c:pt>
                <c:pt idx="21">
                  <c:v>2855.0660883454161</c:v>
                </c:pt>
                <c:pt idx="22">
                  <c:v>3322.5769101673013</c:v>
                </c:pt>
                <c:pt idx="23">
                  <c:v>3827.5886000497653</c:v>
                </c:pt>
                <c:pt idx="24">
                  <c:v>4370.1011579928081</c:v>
                </c:pt>
                <c:pt idx="25">
                  <c:v>4950.1145839964302</c:v>
                </c:pt>
                <c:pt idx="26">
                  <c:v>5567.628878060631</c:v>
                </c:pt>
                <c:pt idx="27">
                  <c:v>6222.6440401854115</c:v>
                </c:pt>
                <c:pt idx="28">
                  <c:v>6915.1600703707709</c:v>
                </c:pt>
                <c:pt idx="29">
                  <c:v>7645.176968616709</c:v>
                </c:pt>
                <c:pt idx="30">
                  <c:v>8412.6947349232269</c:v>
                </c:pt>
                <c:pt idx="31">
                  <c:v>9217.7133692903226</c:v>
                </c:pt>
                <c:pt idx="32">
                  <c:v>10060.232871717997</c:v>
                </c:pt>
                <c:pt idx="33">
                  <c:v>10940.253242206252</c:v>
                </c:pt>
                <c:pt idx="34">
                  <c:v>11857.774480755086</c:v>
                </c:pt>
                <c:pt idx="35">
                  <c:v>12812.796587364499</c:v>
                </c:pt>
                <c:pt idx="36">
                  <c:v>14017.824481044438</c:v>
                </c:pt>
                <c:pt idx="37">
                  <c:v>15472.858161794904</c:v>
                </c:pt>
                <c:pt idx="38">
                  <c:v>17177.897629615898</c:v>
                </c:pt>
                <c:pt idx="39">
                  <c:v>19132.942884507418</c:v>
                </c:pt>
                <c:pt idx="40">
                  <c:v>21337.993926469466</c:v>
                </c:pt>
                <c:pt idx="41">
                  <c:v>23793.050755502038</c:v>
                </c:pt>
                <c:pt idx="42">
                  <c:v>26498.113371605137</c:v>
                </c:pt>
                <c:pt idx="43">
                  <c:v>29453.181774778765</c:v>
                </c:pt>
                <c:pt idx="44">
                  <c:v>32658.25596502292</c:v>
                </c:pt>
                <c:pt idx="45">
                  <c:v>36113.335942337602</c:v>
                </c:pt>
                <c:pt idx="46">
                  <c:v>39818.421706722809</c:v>
                </c:pt>
                <c:pt idx="47">
                  <c:v>43773.513258178544</c:v>
                </c:pt>
                <c:pt idx="48">
                  <c:v>47978.610596704806</c:v>
                </c:pt>
                <c:pt idx="49">
                  <c:v>52433.713722301596</c:v>
                </c:pt>
                <c:pt idx="50">
                  <c:v>57138.822634968914</c:v>
                </c:pt>
                <c:pt idx="51">
                  <c:v>62093.937334706759</c:v>
                </c:pt>
                <c:pt idx="52">
                  <c:v>67299.057821515133</c:v>
                </c:pt>
                <c:pt idx="53">
                  <c:v>72754.184095394026</c:v>
                </c:pt>
                <c:pt idx="54">
                  <c:v>78459.316156343455</c:v>
                </c:pt>
                <c:pt idx="55">
                  <c:v>84414.454004363404</c:v>
                </c:pt>
                <c:pt idx="56">
                  <c:v>90619.597639453874</c:v>
                </c:pt>
                <c:pt idx="57">
                  <c:v>97074.747061614878</c:v>
                </c:pt>
                <c:pt idx="58">
                  <c:v>103779.9022708464</c:v>
                </c:pt>
                <c:pt idx="59">
                  <c:v>110735.06326714846</c:v>
                </c:pt>
                <c:pt idx="60">
                  <c:v>117940.23005052104</c:v>
                </c:pt>
                <c:pt idx="61">
                  <c:v>125395.40262096416</c:v>
                </c:pt>
                <c:pt idx="62">
                  <c:v>133100.58097847781</c:v>
                </c:pt>
                <c:pt idx="63">
                  <c:v>141055.76512306198</c:v>
                </c:pt>
                <c:pt idx="64">
                  <c:v>149260.95505471667</c:v>
                </c:pt>
                <c:pt idx="65">
                  <c:v>157716.15077344188</c:v>
                </c:pt>
                <c:pt idx="66">
                  <c:v>166421.35227923762</c:v>
                </c:pt>
                <c:pt idx="67">
                  <c:v>175376.5595721039</c:v>
                </c:pt>
                <c:pt idx="68">
                  <c:v>184581.7726520407</c:v>
                </c:pt>
                <c:pt idx="69">
                  <c:v>194036.99151904802</c:v>
                </c:pt>
                <c:pt idx="70">
                  <c:v>203742.21617312587</c:v>
                </c:pt>
                <c:pt idx="71">
                  <c:v>213697.44661427423</c:v>
                </c:pt>
                <c:pt idx="72">
                  <c:v>223902.68284249314</c:v>
                </c:pt>
                <c:pt idx="73">
                  <c:v>234357.92485778258</c:v>
                </c:pt>
                <c:pt idx="74">
                  <c:v>245063.17266014253</c:v>
                </c:pt>
                <c:pt idx="75">
                  <c:v>256018.42624957301</c:v>
                </c:pt>
                <c:pt idx="76">
                  <c:v>267223.68562607403</c:v>
                </c:pt>
                <c:pt idx="77">
                  <c:v>278678.95078964555</c:v>
                </c:pt>
                <c:pt idx="78">
                  <c:v>290384.22174028761</c:v>
                </c:pt>
                <c:pt idx="79">
                  <c:v>302339.49847800023</c:v>
                </c:pt>
                <c:pt idx="80">
                  <c:v>314544.78100278333</c:v>
                </c:pt>
                <c:pt idx="81">
                  <c:v>327000.06931463699</c:v>
                </c:pt>
                <c:pt idx="82">
                  <c:v>339705.36341356119</c:v>
                </c:pt>
                <c:pt idx="83">
                  <c:v>352660.66329955589</c:v>
                </c:pt>
                <c:pt idx="84">
                  <c:v>365865.96897262114</c:v>
                </c:pt>
                <c:pt idx="85">
                  <c:v>379321.28043275687</c:v>
                </c:pt>
                <c:pt idx="86">
                  <c:v>393026.59767996316</c:v>
                </c:pt>
                <c:pt idx="87">
                  <c:v>406981.92071424</c:v>
                </c:pt>
                <c:pt idx="88">
                  <c:v>421187.24953558733</c:v>
                </c:pt>
                <c:pt idx="89">
                  <c:v>435642.5841440052</c:v>
                </c:pt>
                <c:pt idx="90">
                  <c:v>450347.92453949363</c:v>
                </c:pt>
                <c:pt idx="91">
                  <c:v>465303.27072205255</c:v>
                </c:pt>
                <c:pt idx="92">
                  <c:v>480508.62269168202</c:v>
                </c:pt>
                <c:pt idx="93">
                  <c:v>495963.98044838203</c:v>
                </c:pt>
                <c:pt idx="94">
                  <c:v>511669.34399215254</c:v>
                </c:pt>
                <c:pt idx="95">
                  <c:v>527624.7133229936</c:v>
                </c:pt>
                <c:pt idx="96">
                  <c:v>543830.08844090521</c:v>
                </c:pt>
                <c:pt idx="97">
                  <c:v>560285.46934588731</c:v>
                </c:pt>
                <c:pt idx="98">
                  <c:v>576990.8560379399</c:v>
                </c:pt>
                <c:pt idx="99">
                  <c:v>593946.2485170631</c:v>
                </c:pt>
                <c:pt idx="100">
                  <c:v>611151.64678325679</c:v>
                </c:pt>
                <c:pt idx="101">
                  <c:v>628607.05083652097</c:v>
                </c:pt>
                <c:pt idx="102">
                  <c:v>646312.46067685576</c:v>
                </c:pt>
                <c:pt idx="103">
                  <c:v>664267.87630426104</c:v>
                </c:pt>
                <c:pt idx="104">
                  <c:v>682473.29771873681</c:v>
                </c:pt>
                <c:pt idx="105">
                  <c:v>700928.72492028319</c:v>
                </c:pt>
                <c:pt idx="106">
                  <c:v>719634.15790890006</c:v>
                </c:pt>
                <c:pt idx="107">
                  <c:v>738589.59668458742</c:v>
                </c:pt>
                <c:pt idx="108">
                  <c:v>757795.04124734527</c:v>
                </c:pt>
                <c:pt idx="109">
                  <c:v>777250.49159717374</c:v>
                </c:pt>
                <c:pt idx="110">
                  <c:v>796955.94773407269</c:v>
                </c:pt>
                <c:pt idx="111">
                  <c:v>816911.40965804213</c:v>
                </c:pt>
                <c:pt idx="112">
                  <c:v>837116.87736908218</c:v>
                </c:pt>
                <c:pt idx="113">
                  <c:v>857572.35086719273</c:v>
                </c:pt>
                <c:pt idx="114">
                  <c:v>878277.83015237376</c:v>
                </c:pt>
                <c:pt idx="115">
                  <c:v>899233.3152246254</c:v>
                </c:pt>
                <c:pt idx="116">
                  <c:v>920438.80608394754</c:v>
                </c:pt>
                <c:pt idx="117">
                  <c:v>941894.30273034016</c:v>
                </c:pt>
                <c:pt idx="118">
                  <c:v>963599.80516380339</c:v>
                </c:pt>
                <c:pt idx="119">
                  <c:v>985555.31338433712</c:v>
                </c:pt>
                <c:pt idx="120">
                  <c:v>1007760.8273919413</c:v>
                </c:pt>
                <c:pt idx="121">
                  <c:v>1030216.347186616</c:v>
                </c:pt>
                <c:pt idx="122">
                  <c:v>1052921.8727683614</c:v>
                </c:pt>
                <c:pt idx="123">
                  <c:v>1075877.4041371772</c:v>
                </c:pt>
                <c:pt idx="124">
                  <c:v>1099082.9412930636</c:v>
                </c:pt>
                <c:pt idx="125">
                  <c:v>1122538.4842360204</c:v>
                </c:pt>
                <c:pt idx="126">
                  <c:v>1146244.0329660478</c:v>
                </c:pt>
                <c:pt idx="127">
                  <c:v>1170199.5874831458</c:v>
                </c:pt>
                <c:pt idx="128">
                  <c:v>1194405.1477873141</c:v>
                </c:pt>
                <c:pt idx="129">
                  <c:v>1218860.7138785531</c:v>
                </c:pt>
                <c:pt idx="130">
                  <c:v>1243566.2857568627</c:v>
                </c:pt>
                <c:pt idx="131">
                  <c:v>1268521.8634222427</c:v>
                </c:pt>
                <c:pt idx="132">
                  <c:v>1293727.4468746933</c:v>
                </c:pt>
                <c:pt idx="133">
                  <c:v>1319183.0361142142</c:v>
                </c:pt>
                <c:pt idx="134">
                  <c:v>1344888.6311408058</c:v>
                </c:pt>
                <c:pt idx="135">
                  <c:v>1370844.2319544679</c:v>
                </c:pt>
                <c:pt idx="136">
                  <c:v>1397049.8385552005</c:v>
                </c:pt>
                <c:pt idx="137">
                  <c:v>1423505.4509430036</c:v>
                </c:pt>
                <c:pt idx="138">
                  <c:v>1450211.0691178774</c:v>
                </c:pt>
                <c:pt idx="139">
                  <c:v>1477166.6930798215</c:v>
                </c:pt>
                <c:pt idx="140">
                  <c:v>1504372.3228288363</c:v>
                </c:pt>
                <c:pt idx="141">
                  <c:v>1531827.9583649216</c:v>
                </c:pt>
                <c:pt idx="142">
                  <c:v>1559533.5996880773</c:v>
                </c:pt>
                <c:pt idx="143">
                  <c:v>1587489.2467983037</c:v>
                </c:pt>
                <c:pt idx="144">
                  <c:v>1615694.8996956006</c:v>
                </c:pt>
                <c:pt idx="145">
                  <c:v>1644150.5583799679</c:v>
                </c:pt>
                <c:pt idx="146">
                  <c:v>1672856.2228514059</c:v>
                </c:pt>
                <c:pt idx="147">
                  <c:v>1701811.8931099144</c:v>
                </c:pt>
                <c:pt idx="148">
                  <c:v>1731017.5691554933</c:v>
                </c:pt>
                <c:pt idx="149">
                  <c:v>1760473.2509881428</c:v>
                </c:pt>
                <c:pt idx="150">
                  <c:v>1790178.9386078627</c:v>
                </c:pt>
                <c:pt idx="151">
                  <c:v>1820134.6320146532</c:v>
                </c:pt>
                <c:pt idx="152">
                  <c:v>1850340.3312085143</c:v>
                </c:pt>
                <c:pt idx="153">
                  <c:v>1880796.0361894458</c:v>
                </c:pt>
                <c:pt idx="154">
                  <c:v>1911501.7469574478</c:v>
                </c:pt>
              </c:numCache>
            </c:numRef>
          </c:xVal>
          <c:yVal>
            <c:numRef>
              <c:f>'Learning Lambda again'!$H$3:$H$174</c:f>
              <c:numCache>
                <c:formatCode>0.00</c:formatCode>
                <c:ptCount val="172"/>
                <c:pt idx="0" formatCode="General">
                  <c:v>0</c:v>
                </c:pt>
                <c:pt idx="1">
                  <c:v>0</c:v>
                </c:pt>
                <c:pt idx="2">
                  <c:v>250.00578707052682</c:v>
                </c:pt>
                <c:pt idx="3">
                  <c:v>750.01736121158046</c:v>
                </c:pt>
                <c:pt idx="4">
                  <c:v>1500.0347224231609</c:v>
                </c:pt>
                <c:pt idx="5">
                  <c:v>2500.0578707052682</c:v>
                </c:pt>
                <c:pt idx="6">
                  <c:v>3750.0868060579023</c:v>
                </c:pt>
                <c:pt idx="7">
                  <c:v>5250.1215284810633</c:v>
                </c:pt>
                <c:pt idx="8">
                  <c:v>6900.1597231465403</c:v>
                </c:pt>
                <c:pt idx="9">
                  <c:v>8700.2013900543334</c:v>
                </c:pt>
                <c:pt idx="10">
                  <c:v>10650.246529204444</c:v>
                </c:pt>
                <c:pt idx="11">
                  <c:v>12750.295140596869</c:v>
                </c:pt>
                <c:pt idx="12">
                  <c:v>15000.347224231609</c:v>
                </c:pt>
                <c:pt idx="13">
                  <c:v>17400.402780108667</c:v>
                </c:pt>
                <c:pt idx="14">
                  <c:v>19950.461808228039</c:v>
                </c:pt>
                <c:pt idx="15">
                  <c:v>22650.524308589731</c:v>
                </c:pt>
                <c:pt idx="16">
                  <c:v>25500.590281193738</c:v>
                </c:pt>
                <c:pt idx="17">
                  <c:v>28500.659726040059</c:v>
                </c:pt>
                <c:pt idx="18">
                  <c:v>31650.732643128697</c:v>
                </c:pt>
                <c:pt idx="19">
                  <c:v>34950.809032459649</c:v>
                </c:pt>
                <c:pt idx="20">
                  <c:v>38400.88889403292</c:v>
                </c:pt>
                <c:pt idx="21">
                  <c:v>42000.972227848506</c:v>
                </c:pt>
                <c:pt idx="22">
                  <c:v>45751.059033906407</c:v>
                </c:pt>
                <c:pt idx="23">
                  <c:v>49651.149312206624</c:v>
                </c:pt>
                <c:pt idx="24">
                  <c:v>53701.243062749156</c:v>
                </c:pt>
                <c:pt idx="25">
                  <c:v>57901.34028553401</c:v>
                </c:pt>
                <c:pt idx="26">
                  <c:v>62251.440980561179</c:v>
                </c:pt>
                <c:pt idx="27">
                  <c:v>66676.543411709499</c:v>
                </c:pt>
                <c:pt idx="28">
                  <c:v>71176.647578978984</c:v>
                </c:pt>
                <c:pt idx="29">
                  <c:v>75751.753482369619</c:v>
                </c:pt>
                <c:pt idx="30">
                  <c:v>80401.861121881419</c:v>
                </c:pt>
                <c:pt idx="31">
                  <c:v>85126.970497514383</c:v>
                </c:pt>
                <c:pt idx="32">
                  <c:v>89927.081609268498</c:v>
                </c:pt>
                <c:pt idx="33">
                  <c:v>94802.194457143778</c:v>
                </c:pt>
                <c:pt idx="34">
                  <c:v>99752.309041140208</c:v>
                </c:pt>
                <c:pt idx="35">
                  <c:v>104777.4253612578</c:v>
                </c:pt>
                <c:pt idx="36">
                  <c:v>109877.54341749655</c:v>
                </c:pt>
                <c:pt idx="37">
                  <c:v>115052.66320985646</c:v>
                </c:pt>
                <c:pt idx="38">
                  <c:v>120302.78473833752</c:v>
                </c:pt>
                <c:pt idx="39">
                  <c:v>125627.90800293974</c:v>
                </c:pt>
                <c:pt idx="40">
                  <c:v>131028.03300366312</c:v>
                </c:pt>
                <c:pt idx="41">
                  <c:v>136503.15974050766</c:v>
                </c:pt>
                <c:pt idx="42">
                  <c:v>142053.28821347337</c:v>
                </c:pt>
                <c:pt idx="43">
                  <c:v>147678.41842256024</c:v>
                </c:pt>
                <c:pt idx="44">
                  <c:v>153378.55036776824</c:v>
                </c:pt>
                <c:pt idx="45">
                  <c:v>159153.68404909741</c:v>
                </c:pt>
                <c:pt idx="46">
                  <c:v>165003.81946654775</c:v>
                </c:pt>
                <c:pt idx="47">
                  <c:v>170928.95662011925</c:v>
                </c:pt>
                <c:pt idx="48">
                  <c:v>176929.09550981189</c:v>
                </c:pt>
                <c:pt idx="49">
                  <c:v>183004.23613562569</c:v>
                </c:pt>
                <c:pt idx="50">
                  <c:v>189154.37849756065</c:v>
                </c:pt>
                <c:pt idx="51">
                  <c:v>195379.52259561679</c:v>
                </c:pt>
                <c:pt idx="52">
                  <c:v>201679.66842979408</c:v>
                </c:pt>
                <c:pt idx="53">
                  <c:v>208054.81600009251</c:v>
                </c:pt>
                <c:pt idx="54">
                  <c:v>214504.96530651211</c:v>
                </c:pt>
                <c:pt idx="55">
                  <c:v>221030.11634905287</c:v>
                </c:pt>
                <c:pt idx="56">
                  <c:v>227630.2691277148</c:v>
                </c:pt>
                <c:pt idx="57">
                  <c:v>234305.42364249789</c:v>
                </c:pt>
                <c:pt idx="58">
                  <c:v>241055.57989340211</c:v>
                </c:pt>
                <c:pt idx="59">
                  <c:v>247880.73788042751</c:v>
                </c:pt>
                <c:pt idx="60">
                  <c:v>254780.89760357406</c:v>
                </c:pt>
                <c:pt idx="61">
                  <c:v>261756.05906284178</c:v>
                </c:pt>
                <c:pt idx="62">
                  <c:v>268806.22225823067</c:v>
                </c:pt>
                <c:pt idx="63">
                  <c:v>275931.38718974072</c:v>
                </c:pt>
                <c:pt idx="64">
                  <c:v>283131.55385737191</c:v>
                </c:pt>
                <c:pt idx="65">
                  <c:v>290406.72226112423</c:v>
                </c:pt>
                <c:pt idx="66">
                  <c:v>297756.89240099775</c:v>
                </c:pt>
                <c:pt idx="67">
                  <c:v>305182.0642769924</c:v>
                </c:pt>
                <c:pt idx="68">
                  <c:v>312682.23788910825</c:v>
                </c:pt>
                <c:pt idx="69">
                  <c:v>320257.41323734523</c:v>
                </c:pt>
                <c:pt idx="70">
                  <c:v>327907.59032170335</c:v>
                </c:pt>
                <c:pt idx="71">
                  <c:v>335632.76914218266</c:v>
                </c:pt>
                <c:pt idx="72">
                  <c:v>343432.94969878311</c:v>
                </c:pt>
                <c:pt idx="73">
                  <c:v>351308.13199150475</c:v>
                </c:pt>
                <c:pt idx="74">
                  <c:v>359258.31602034753</c:v>
                </c:pt>
                <c:pt idx="75">
                  <c:v>367283.50178531144</c:v>
                </c:pt>
                <c:pt idx="76">
                  <c:v>375383.68928639655</c:v>
                </c:pt>
                <c:pt idx="77">
                  <c:v>383558.87852360279</c:v>
                </c:pt>
                <c:pt idx="78">
                  <c:v>391809.06949693023</c:v>
                </c:pt>
                <c:pt idx="79">
                  <c:v>400134.2622063788</c:v>
                </c:pt>
                <c:pt idx="80">
                  <c:v>408534.45665194851</c:v>
                </c:pt>
                <c:pt idx="81">
                  <c:v>417009.65283363941</c:v>
                </c:pt>
                <c:pt idx="82">
                  <c:v>425559.85075145145</c:v>
                </c:pt>
                <c:pt idx="83">
                  <c:v>434185.05040538462</c:v>
                </c:pt>
                <c:pt idx="84">
                  <c:v>442885.25179543899</c:v>
                </c:pt>
                <c:pt idx="85">
                  <c:v>451660.4549216145</c:v>
                </c:pt>
                <c:pt idx="86">
                  <c:v>460510.65978391119</c:v>
                </c:pt>
                <c:pt idx="87">
                  <c:v>469435.86638232903</c:v>
                </c:pt>
                <c:pt idx="88">
                  <c:v>478436.074716868</c:v>
                </c:pt>
                <c:pt idx="89">
                  <c:v>487511.28478752816</c:v>
                </c:pt>
                <c:pt idx="90">
                  <c:v>496661.49659430946</c:v>
                </c:pt>
                <c:pt idx="91">
                  <c:v>505886.71013721195</c:v>
                </c:pt>
                <c:pt idx="92">
                  <c:v>515186.92541623558</c:v>
                </c:pt>
                <c:pt idx="93">
                  <c:v>524562.14243138034</c:v>
                </c:pt>
                <c:pt idx="94">
                  <c:v>534012.36118264624</c:v>
                </c:pt>
                <c:pt idx="95">
                  <c:v>543537.5816700334</c:v>
                </c:pt>
                <c:pt idx="96">
                  <c:v>553137.80389354168</c:v>
                </c:pt>
                <c:pt idx="97">
                  <c:v>562813.02785317111</c:v>
                </c:pt>
                <c:pt idx="98">
                  <c:v>572563.25354892167</c:v>
                </c:pt>
                <c:pt idx="99">
                  <c:v>582388.48098079336</c:v>
                </c:pt>
                <c:pt idx="100">
                  <c:v>592288.71014878631</c:v>
                </c:pt>
                <c:pt idx="101">
                  <c:v>602263.94105290039</c:v>
                </c:pt>
                <c:pt idx="102">
                  <c:v>612314.17369313561</c:v>
                </c:pt>
                <c:pt idx="103">
                  <c:v>622439.40806949197</c:v>
                </c:pt>
                <c:pt idx="104">
                  <c:v>632639.64418196946</c:v>
                </c:pt>
                <c:pt idx="105">
                  <c:v>642914.8820305682</c:v>
                </c:pt>
                <c:pt idx="106">
                  <c:v>653265.12161528808</c:v>
                </c:pt>
                <c:pt idx="107">
                  <c:v>663690.3629361291</c:v>
                </c:pt>
                <c:pt idx="108">
                  <c:v>674190.60599309125</c:v>
                </c:pt>
                <c:pt idx="109">
                  <c:v>684765.85078617453</c:v>
                </c:pt>
                <c:pt idx="110">
                  <c:v>695416.09731537907</c:v>
                </c:pt>
                <c:pt idx="111">
                  <c:v>706141.34558070474</c:v>
                </c:pt>
                <c:pt idx="112">
                  <c:v>716941.59558215155</c:v>
                </c:pt>
                <c:pt idx="113">
                  <c:v>727816.8473197195</c:v>
                </c:pt>
                <c:pt idx="114">
                  <c:v>738767.10079340858</c:v>
                </c:pt>
                <c:pt idx="115">
                  <c:v>749792.35600321891</c:v>
                </c:pt>
                <c:pt idx="116">
                  <c:v>760892.61294915038</c:v>
                </c:pt>
                <c:pt idx="117">
                  <c:v>772067.87163120299</c:v>
                </c:pt>
                <c:pt idx="118">
                  <c:v>783318.13204937673</c:v>
                </c:pt>
                <c:pt idx="119">
                  <c:v>794643.3942036716</c:v>
                </c:pt>
                <c:pt idx="120">
                  <c:v>806043.65809408762</c:v>
                </c:pt>
                <c:pt idx="121">
                  <c:v>817518.92372062488</c:v>
                </c:pt>
                <c:pt idx="122">
                  <c:v>829069.19108328328</c:v>
                </c:pt>
                <c:pt idx="123">
                  <c:v>840694.46018206282</c:v>
                </c:pt>
                <c:pt idx="124">
                  <c:v>852394.73101696349</c:v>
                </c:pt>
                <c:pt idx="125">
                  <c:v>864170.00358798529</c:v>
                </c:pt>
                <c:pt idx="126">
                  <c:v>876020.27789512835</c:v>
                </c:pt>
                <c:pt idx="127">
                  <c:v>887945.55393839255</c:v>
                </c:pt>
                <c:pt idx="128">
                  <c:v>899945.83171777788</c:v>
                </c:pt>
                <c:pt idx="129">
                  <c:v>912021.11123328435</c:v>
                </c:pt>
                <c:pt idx="130">
                  <c:v>924171.39248491195</c:v>
                </c:pt>
                <c:pt idx="131">
                  <c:v>936396.67547266081</c:v>
                </c:pt>
                <c:pt idx="132">
                  <c:v>948696.9601965308</c:v>
                </c:pt>
                <c:pt idx="133">
                  <c:v>961072.24665652192</c:v>
                </c:pt>
                <c:pt idx="134">
                  <c:v>973522.53485263418</c:v>
                </c:pt>
                <c:pt idx="135">
                  <c:v>986047.82478486758</c:v>
                </c:pt>
                <c:pt idx="136">
                  <c:v>998648.11645322223</c:v>
                </c:pt>
                <c:pt idx="137">
                  <c:v>1011323.409857698</c:v>
                </c:pt>
                <c:pt idx="138">
                  <c:v>1024073.7049982949</c:v>
                </c:pt>
                <c:pt idx="139">
                  <c:v>1036899.001875013</c:v>
                </c:pt>
                <c:pt idx="140">
                  <c:v>1049799.3004878522</c:v>
                </c:pt>
                <c:pt idx="141">
                  <c:v>1062774.6008368125</c:v>
                </c:pt>
                <c:pt idx="142">
                  <c:v>1075824.9029218941</c:v>
                </c:pt>
                <c:pt idx="143">
                  <c:v>1088950.2067430969</c:v>
                </c:pt>
                <c:pt idx="144">
                  <c:v>1102150.5123004208</c:v>
                </c:pt>
                <c:pt idx="145">
                  <c:v>1115425.8195938659</c:v>
                </c:pt>
                <c:pt idx="146">
                  <c:v>1128776.128623432</c:v>
                </c:pt>
                <c:pt idx="147">
                  <c:v>1142201.4393891194</c:v>
                </c:pt>
                <c:pt idx="148">
                  <c:v>1155701.7518909278</c:v>
                </c:pt>
                <c:pt idx="149">
                  <c:v>1169277.0661288574</c:v>
                </c:pt>
                <c:pt idx="150">
                  <c:v>1182927.3821029083</c:v>
                </c:pt>
                <c:pt idx="151">
                  <c:v>1196652.6998130803</c:v>
                </c:pt>
                <c:pt idx="152">
                  <c:v>1210453.0192593734</c:v>
                </c:pt>
                <c:pt idx="153">
                  <c:v>1224328.3404417876</c:v>
                </c:pt>
                <c:pt idx="154">
                  <c:v>1238278.6633603231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33-5940-B709-369D9FE36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306272"/>
        <c:axId val="1151309648"/>
      </c:scatterChart>
      <c:valAx>
        <c:axId val="1151306272"/>
        <c:scaling>
          <c:orientation val="minMax"/>
          <c:max val="2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309648"/>
        <c:crosses val="autoZero"/>
        <c:crossBetween val="midCat"/>
        <c:majorUnit val="50000"/>
      </c:valAx>
      <c:valAx>
        <c:axId val="1151309648"/>
        <c:scaling>
          <c:orientation val="minMax"/>
          <c:max val="3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30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launch trajectory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68044619422572"/>
          <c:y val="0.17168999708369789"/>
          <c:w val="0.8268751093613298"/>
          <c:h val="0.72094889180519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'Learning Lambda again'!$G$3:$G$174</c:f>
              <c:numCache>
                <c:formatCode>0.00</c:formatCode>
                <c:ptCount val="172"/>
                <c:pt idx="0" formatCode="General">
                  <c:v>0</c:v>
                </c:pt>
                <c:pt idx="1">
                  <c:v>0</c:v>
                </c:pt>
                <c:pt idx="2">
                  <c:v>2.5000578707052683</c:v>
                </c:pt>
                <c:pt idx="3">
                  <c:v>7.5001736121158054</c:v>
                </c:pt>
                <c:pt idx="4">
                  <c:v>15.000347224231611</c:v>
                </c:pt>
                <c:pt idx="5">
                  <c:v>25.000578707052682</c:v>
                </c:pt>
                <c:pt idx="6">
                  <c:v>42.500983801989562</c:v>
                </c:pt>
                <c:pt idx="7">
                  <c:v>67.501562509042245</c:v>
                </c:pt>
                <c:pt idx="8">
                  <c:v>100.00231482821073</c:v>
                </c:pt>
                <c:pt idx="9">
                  <c:v>140.00324075949501</c:v>
                </c:pt>
                <c:pt idx="10">
                  <c:v>187.50434030289512</c:v>
                </c:pt>
                <c:pt idx="11">
                  <c:v>242.50561345841101</c:v>
                </c:pt>
                <c:pt idx="12">
                  <c:v>335.00775467450592</c:v>
                </c:pt>
                <c:pt idx="13">
                  <c:v>465.01076395117991</c:v>
                </c:pt>
                <c:pt idx="14">
                  <c:v>632.51464128843293</c:v>
                </c:pt>
                <c:pt idx="15">
                  <c:v>837.51938668626497</c:v>
                </c:pt>
                <c:pt idx="16">
                  <c:v>1080.0250001446759</c:v>
                </c:pt>
                <c:pt idx="17">
                  <c:v>1360.031481663666</c:v>
                </c:pt>
                <c:pt idx="18">
                  <c:v>1677.5388312432351</c:v>
                </c:pt>
                <c:pt idx="19">
                  <c:v>2032.5470488833832</c:v>
                </c:pt>
                <c:pt idx="20">
                  <c:v>2425.0561345841102</c:v>
                </c:pt>
                <c:pt idx="21">
                  <c:v>2855.0660883454161</c:v>
                </c:pt>
                <c:pt idx="22">
                  <c:v>3322.5769101673013</c:v>
                </c:pt>
                <c:pt idx="23">
                  <c:v>3827.5886000497653</c:v>
                </c:pt>
                <c:pt idx="24">
                  <c:v>4370.1011579928081</c:v>
                </c:pt>
                <c:pt idx="25">
                  <c:v>4950.1145839964302</c:v>
                </c:pt>
                <c:pt idx="26">
                  <c:v>5567.628878060631</c:v>
                </c:pt>
                <c:pt idx="27">
                  <c:v>6222.6440401854115</c:v>
                </c:pt>
                <c:pt idx="28">
                  <c:v>6915.1600703707709</c:v>
                </c:pt>
                <c:pt idx="29">
                  <c:v>7645.176968616709</c:v>
                </c:pt>
                <c:pt idx="30">
                  <c:v>8412.6947349232269</c:v>
                </c:pt>
                <c:pt idx="31">
                  <c:v>9217.7133692903226</c:v>
                </c:pt>
                <c:pt idx="32">
                  <c:v>10060.232871717997</c:v>
                </c:pt>
                <c:pt idx="33">
                  <c:v>10940.253242206252</c:v>
                </c:pt>
                <c:pt idx="34">
                  <c:v>11857.774480755086</c:v>
                </c:pt>
                <c:pt idx="35">
                  <c:v>12812.796587364499</c:v>
                </c:pt>
                <c:pt idx="36">
                  <c:v>14017.824481044438</c:v>
                </c:pt>
                <c:pt idx="37">
                  <c:v>15472.858161794904</c:v>
                </c:pt>
                <c:pt idx="38">
                  <c:v>17177.897629615898</c:v>
                </c:pt>
                <c:pt idx="39">
                  <c:v>19132.942884507418</c:v>
                </c:pt>
                <c:pt idx="40">
                  <c:v>21337.993926469466</c:v>
                </c:pt>
                <c:pt idx="41">
                  <c:v>23793.050755502038</c:v>
                </c:pt>
                <c:pt idx="42">
                  <c:v>26498.113371605137</c:v>
                </c:pt>
                <c:pt idx="43">
                  <c:v>29453.181774778765</c:v>
                </c:pt>
                <c:pt idx="44">
                  <c:v>32658.25596502292</c:v>
                </c:pt>
                <c:pt idx="45">
                  <c:v>36113.335942337602</c:v>
                </c:pt>
                <c:pt idx="46">
                  <c:v>39818.421706722809</c:v>
                </c:pt>
                <c:pt idx="47">
                  <c:v>43773.513258178544</c:v>
                </c:pt>
                <c:pt idx="48">
                  <c:v>47978.610596704806</c:v>
                </c:pt>
                <c:pt idx="49">
                  <c:v>52433.713722301596</c:v>
                </c:pt>
                <c:pt idx="50">
                  <c:v>57138.822634968914</c:v>
                </c:pt>
                <c:pt idx="51">
                  <c:v>62093.937334706759</c:v>
                </c:pt>
                <c:pt idx="52">
                  <c:v>67299.057821515133</c:v>
                </c:pt>
                <c:pt idx="53">
                  <c:v>72754.184095394026</c:v>
                </c:pt>
                <c:pt idx="54">
                  <c:v>78459.316156343455</c:v>
                </c:pt>
                <c:pt idx="55">
                  <c:v>84414.454004363404</c:v>
                </c:pt>
                <c:pt idx="56">
                  <c:v>90619.597639453874</c:v>
                </c:pt>
                <c:pt idx="57">
                  <c:v>97074.747061614878</c:v>
                </c:pt>
                <c:pt idx="58">
                  <c:v>103779.9022708464</c:v>
                </c:pt>
                <c:pt idx="59">
                  <c:v>110735.06326714846</c:v>
                </c:pt>
                <c:pt idx="60">
                  <c:v>117940.23005052104</c:v>
                </c:pt>
                <c:pt idx="61">
                  <c:v>125395.40262096416</c:v>
                </c:pt>
                <c:pt idx="62">
                  <c:v>133100.58097847781</c:v>
                </c:pt>
                <c:pt idx="63">
                  <c:v>141055.76512306198</c:v>
                </c:pt>
                <c:pt idx="64">
                  <c:v>149260.95505471667</c:v>
                </c:pt>
                <c:pt idx="65">
                  <c:v>157716.15077344188</c:v>
                </c:pt>
                <c:pt idx="66">
                  <c:v>166421.35227923762</c:v>
                </c:pt>
                <c:pt idx="67">
                  <c:v>175376.5595721039</c:v>
                </c:pt>
                <c:pt idx="68">
                  <c:v>184581.7726520407</c:v>
                </c:pt>
                <c:pt idx="69">
                  <c:v>194036.99151904802</c:v>
                </c:pt>
                <c:pt idx="70">
                  <c:v>203742.21617312587</c:v>
                </c:pt>
                <c:pt idx="71">
                  <c:v>213697.44661427423</c:v>
                </c:pt>
                <c:pt idx="72">
                  <c:v>223902.68284249314</c:v>
                </c:pt>
                <c:pt idx="73">
                  <c:v>234357.92485778258</c:v>
                </c:pt>
                <c:pt idx="74">
                  <c:v>245063.17266014253</c:v>
                </c:pt>
                <c:pt idx="75">
                  <c:v>256018.42624957301</c:v>
                </c:pt>
                <c:pt idx="76">
                  <c:v>267223.68562607403</c:v>
                </c:pt>
                <c:pt idx="77">
                  <c:v>278678.95078964555</c:v>
                </c:pt>
                <c:pt idx="78">
                  <c:v>290384.22174028761</c:v>
                </c:pt>
                <c:pt idx="79">
                  <c:v>302339.49847800023</c:v>
                </c:pt>
                <c:pt idx="80">
                  <c:v>314544.78100278333</c:v>
                </c:pt>
                <c:pt idx="81">
                  <c:v>327000.06931463699</c:v>
                </c:pt>
                <c:pt idx="82">
                  <c:v>339705.36341356119</c:v>
                </c:pt>
                <c:pt idx="83">
                  <c:v>352660.66329955589</c:v>
                </c:pt>
                <c:pt idx="84">
                  <c:v>365865.96897262114</c:v>
                </c:pt>
                <c:pt idx="85">
                  <c:v>379321.28043275687</c:v>
                </c:pt>
                <c:pt idx="86">
                  <c:v>393026.59767996316</c:v>
                </c:pt>
                <c:pt idx="87">
                  <c:v>406981.92071424</c:v>
                </c:pt>
                <c:pt idx="88">
                  <c:v>421187.24953558733</c:v>
                </c:pt>
                <c:pt idx="89">
                  <c:v>435642.5841440052</c:v>
                </c:pt>
                <c:pt idx="90">
                  <c:v>450347.92453949363</c:v>
                </c:pt>
                <c:pt idx="91">
                  <c:v>465303.27072205255</c:v>
                </c:pt>
                <c:pt idx="92">
                  <c:v>480508.62269168202</c:v>
                </c:pt>
                <c:pt idx="93">
                  <c:v>495963.98044838203</c:v>
                </c:pt>
                <c:pt idx="94">
                  <c:v>511669.34399215254</c:v>
                </c:pt>
                <c:pt idx="95">
                  <c:v>527624.7133229936</c:v>
                </c:pt>
                <c:pt idx="96">
                  <c:v>543830.08844090521</c:v>
                </c:pt>
                <c:pt idx="97">
                  <c:v>560285.46934588731</c:v>
                </c:pt>
                <c:pt idx="98">
                  <c:v>576990.8560379399</c:v>
                </c:pt>
                <c:pt idx="99">
                  <c:v>593946.2485170631</c:v>
                </c:pt>
                <c:pt idx="100">
                  <c:v>611151.64678325679</c:v>
                </c:pt>
                <c:pt idx="101">
                  <c:v>628607.05083652097</c:v>
                </c:pt>
                <c:pt idx="102">
                  <c:v>646312.46067685576</c:v>
                </c:pt>
                <c:pt idx="103">
                  <c:v>664267.87630426104</c:v>
                </c:pt>
                <c:pt idx="104">
                  <c:v>682473.29771873681</c:v>
                </c:pt>
                <c:pt idx="105">
                  <c:v>700928.72492028319</c:v>
                </c:pt>
                <c:pt idx="106">
                  <c:v>719634.15790890006</c:v>
                </c:pt>
                <c:pt idx="107">
                  <c:v>738589.59668458742</c:v>
                </c:pt>
                <c:pt idx="108">
                  <c:v>757795.04124734527</c:v>
                </c:pt>
                <c:pt idx="109">
                  <c:v>777250.49159717374</c:v>
                </c:pt>
                <c:pt idx="110">
                  <c:v>796955.94773407269</c:v>
                </c:pt>
                <c:pt idx="111">
                  <c:v>816911.40965804213</c:v>
                </c:pt>
                <c:pt idx="112">
                  <c:v>837116.87736908218</c:v>
                </c:pt>
                <c:pt idx="113">
                  <c:v>857572.35086719273</c:v>
                </c:pt>
                <c:pt idx="114">
                  <c:v>878277.83015237376</c:v>
                </c:pt>
                <c:pt idx="115">
                  <c:v>899233.3152246254</c:v>
                </c:pt>
                <c:pt idx="116">
                  <c:v>920438.80608394754</c:v>
                </c:pt>
                <c:pt idx="117">
                  <c:v>941894.30273034016</c:v>
                </c:pt>
                <c:pt idx="118">
                  <c:v>963599.80516380339</c:v>
                </c:pt>
                <c:pt idx="119">
                  <c:v>985555.31338433712</c:v>
                </c:pt>
                <c:pt idx="120">
                  <c:v>1007760.8273919413</c:v>
                </c:pt>
                <c:pt idx="121">
                  <c:v>1030216.347186616</c:v>
                </c:pt>
                <c:pt idx="122">
                  <c:v>1052921.8727683614</c:v>
                </c:pt>
                <c:pt idx="123">
                  <c:v>1075877.4041371772</c:v>
                </c:pt>
                <c:pt idx="124">
                  <c:v>1099082.9412930636</c:v>
                </c:pt>
                <c:pt idx="125">
                  <c:v>1122538.4842360204</c:v>
                </c:pt>
                <c:pt idx="126">
                  <c:v>1146244.0329660478</c:v>
                </c:pt>
                <c:pt idx="127">
                  <c:v>1170199.5874831458</c:v>
                </c:pt>
                <c:pt idx="128">
                  <c:v>1194405.1477873141</c:v>
                </c:pt>
                <c:pt idx="129">
                  <c:v>1218860.7138785531</c:v>
                </c:pt>
                <c:pt idx="130">
                  <c:v>1243566.2857568627</c:v>
                </c:pt>
                <c:pt idx="131">
                  <c:v>1268521.8634222427</c:v>
                </c:pt>
                <c:pt idx="132">
                  <c:v>1293727.4468746933</c:v>
                </c:pt>
                <c:pt idx="133">
                  <c:v>1319183.0361142142</c:v>
                </c:pt>
                <c:pt idx="134">
                  <c:v>1344888.6311408058</c:v>
                </c:pt>
                <c:pt idx="135">
                  <c:v>1370844.2319544679</c:v>
                </c:pt>
                <c:pt idx="136">
                  <c:v>1397049.8385552005</c:v>
                </c:pt>
                <c:pt idx="137">
                  <c:v>1423505.4509430036</c:v>
                </c:pt>
                <c:pt idx="138">
                  <c:v>1450211.0691178774</c:v>
                </c:pt>
                <c:pt idx="139">
                  <c:v>1477166.6930798215</c:v>
                </c:pt>
                <c:pt idx="140">
                  <c:v>1504372.3228288363</c:v>
                </c:pt>
                <c:pt idx="141">
                  <c:v>1531827.9583649216</c:v>
                </c:pt>
                <c:pt idx="142">
                  <c:v>1559533.5996880773</c:v>
                </c:pt>
                <c:pt idx="143">
                  <c:v>1587489.2467983037</c:v>
                </c:pt>
                <c:pt idx="144">
                  <c:v>1615694.8996956006</c:v>
                </c:pt>
                <c:pt idx="145">
                  <c:v>1644150.5583799679</c:v>
                </c:pt>
                <c:pt idx="146">
                  <c:v>1672856.2228514059</c:v>
                </c:pt>
                <c:pt idx="147">
                  <c:v>1701811.8931099144</c:v>
                </c:pt>
                <c:pt idx="148">
                  <c:v>1731017.5691554933</c:v>
                </c:pt>
                <c:pt idx="149">
                  <c:v>1760473.2509881428</c:v>
                </c:pt>
                <c:pt idx="150">
                  <c:v>1790178.9386078627</c:v>
                </c:pt>
                <c:pt idx="151">
                  <c:v>1820134.6320146532</c:v>
                </c:pt>
                <c:pt idx="152">
                  <c:v>1850340.3312085143</c:v>
                </c:pt>
                <c:pt idx="153">
                  <c:v>1880796.0361894458</c:v>
                </c:pt>
                <c:pt idx="154">
                  <c:v>1911501.7469574478</c:v>
                </c:pt>
              </c:numCache>
            </c:numRef>
          </c:xVal>
          <c:yVal>
            <c:numRef>
              <c:f>'Learning Lambda again'!$H$3:$H$174</c:f>
              <c:numCache>
                <c:formatCode>0.00</c:formatCode>
                <c:ptCount val="172"/>
                <c:pt idx="0" formatCode="General">
                  <c:v>0</c:v>
                </c:pt>
                <c:pt idx="1">
                  <c:v>0</c:v>
                </c:pt>
                <c:pt idx="2">
                  <c:v>250.00578707052682</c:v>
                </c:pt>
                <c:pt idx="3">
                  <c:v>750.01736121158046</c:v>
                </c:pt>
                <c:pt idx="4">
                  <c:v>1500.0347224231609</c:v>
                </c:pt>
                <c:pt idx="5">
                  <c:v>2500.0578707052682</c:v>
                </c:pt>
                <c:pt idx="6">
                  <c:v>3750.0868060579023</c:v>
                </c:pt>
                <c:pt idx="7">
                  <c:v>5250.1215284810633</c:v>
                </c:pt>
                <c:pt idx="8">
                  <c:v>6900.1597231465403</c:v>
                </c:pt>
                <c:pt idx="9">
                  <c:v>8700.2013900543334</c:v>
                </c:pt>
                <c:pt idx="10">
                  <c:v>10650.246529204444</c:v>
                </c:pt>
                <c:pt idx="11">
                  <c:v>12750.295140596869</c:v>
                </c:pt>
                <c:pt idx="12">
                  <c:v>15000.347224231609</c:v>
                </c:pt>
                <c:pt idx="13">
                  <c:v>17400.402780108667</c:v>
                </c:pt>
                <c:pt idx="14">
                  <c:v>19950.461808228039</c:v>
                </c:pt>
                <c:pt idx="15">
                  <c:v>22650.524308589731</c:v>
                </c:pt>
                <c:pt idx="16">
                  <c:v>25500.590281193738</c:v>
                </c:pt>
                <c:pt idx="17">
                  <c:v>28500.659726040059</c:v>
                </c:pt>
                <c:pt idx="18">
                  <c:v>31650.732643128697</c:v>
                </c:pt>
                <c:pt idx="19">
                  <c:v>34950.809032459649</c:v>
                </c:pt>
                <c:pt idx="20">
                  <c:v>38400.88889403292</c:v>
                </c:pt>
                <c:pt idx="21">
                  <c:v>42000.972227848506</c:v>
                </c:pt>
                <c:pt idx="22">
                  <c:v>45751.059033906407</c:v>
                </c:pt>
                <c:pt idx="23">
                  <c:v>49651.149312206624</c:v>
                </c:pt>
                <c:pt idx="24">
                  <c:v>53701.243062749156</c:v>
                </c:pt>
                <c:pt idx="25">
                  <c:v>57901.34028553401</c:v>
                </c:pt>
                <c:pt idx="26">
                  <c:v>62251.440980561179</c:v>
                </c:pt>
                <c:pt idx="27">
                  <c:v>66676.543411709499</c:v>
                </c:pt>
                <c:pt idx="28">
                  <c:v>71176.647578978984</c:v>
                </c:pt>
                <c:pt idx="29">
                  <c:v>75751.753482369619</c:v>
                </c:pt>
                <c:pt idx="30">
                  <c:v>80401.861121881419</c:v>
                </c:pt>
                <c:pt idx="31">
                  <c:v>85126.970497514383</c:v>
                </c:pt>
                <c:pt idx="32">
                  <c:v>89927.081609268498</c:v>
                </c:pt>
                <c:pt idx="33">
                  <c:v>94802.194457143778</c:v>
                </c:pt>
                <c:pt idx="34">
                  <c:v>99752.309041140208</c:v>
                </c:pt>
                <c:pt idx="35">
                  <c:v>104777.4253612578</c:v>
                </c:pt>
                <c:pt idx="36">
                  <c:v>109877.54341749655</c:v>
                </c:pt>
                <c:pt idx="37">
                  <c:v>115052.66320985646</c:v>
                </c:pt>
                <c:pt idx="38">
                  <c:v>120302.78473833752</c:v>
                </c:pt>
                <c:pt idx="39">
                  <c:v>125627.90800293974</c:v>
                </c:pt>
                <c:pt idx="40">
                  <c:v>131028.03300366312</c:v>
                </c:pt>
                <c:pt idx="41">
                  <c:v>136503.15974050766</c:v>
                </c:pt>
                <c:pt idx="42">
                  <c:v>142053.28821347337</c:v>
                </c:pt>
                <c:pt idx="43">
                  <c:v>147678.41842256024</c:v>
                </c:pt>
                <c:pt idx="44">
                  <c:v>153378.55036776824</c:v>
                </c:pt>
                <c:pt idx="45">
                  <c:v>159153.68404909741</c:v>
                </c:pt>
                <c:pt idx="46">
                  <c:v>165003.81946654775</c:v>
                </c:pt>
                <c:pt idx="47">
                  <c:v>170928.95662011925</c:v>
                </c:pt>
                <c:pt idx="48">
                  <c:v>176929.09550981189</c:v>
                </c:pt>
                <c:pt idx="49">
                  <c:v>183004.23613562569</c:v>
                </c:pt>
                <c:pt idx="50">
                  <c:v>189154.37849756065</c:v>
                </c:pt>
                <c:pt idx="51">
                  <c:v>195379.52259561679</c:v>
                </c:pt>
                <c:pt idx="52">
                  <c:v>201679.66842979408</c:v>
                </c:pt>
                <c:pt idx="53">
                  <c:v>208054.81600009251</c:v>
                </c:pt>
                <c:pt idx="54">
                  <c:v>214504.96530651211</c:v>
                </c:pt>
                <c:pt idx="55">
                  <c:v>221030.11634905287</c:v>
                </c:pt>
                <c:pt idx="56">
                  <c:v>227630.2691277148</c:v>
                </c:pt>
                <c:pt idx="57">
                  <c:v>234305.42364249789</c:v>
                </c:pt>
                <c:pt idx="58">
                  <c:v>241055.57989340211</c:v>
                </c:pt>
                <c:pt idx="59">
                  <c:v>247880.73788042751</c:v>
                </c:pt>
                <c:pt idx="60">
                  <c:v>254780.89760357406</c:v>
                </c:pt>
                <c:pt idx="61">
                  <c:v>261756.05906284178</c:v>
                </c:pt>
                <c:pt idx="62">
                  <c:v>268806.22225823067</c:v>
                </c:pt>
                <c:pt idx="63">
                  <c:v>275931.38718974072</c:v>
                </c:pt>
                <c:pt idx="64">
                  <c:v>283131.55385737191</c:v>
                </c:pt>
                <c:pt idx="65">
                  <c:v>290406.72226112423</c:v>
                </c:pt>
                <c:pt idx="66">
                  <c:v>297756.89240099775</c:v>
                </c:pt>
                <c:pt idx="67">
                  <c:v>305182.0642769924</c:v>
                </c:pt>
                <c:pt idx="68">
                  <c:v>312682.23788910825</c:v>
                </c:pt>
                <c:pt idx="69">
                  <c:v>320257.41323734523</c:v>
                </c:pt>
                <c:pt idx="70">
                  <c:v>327907.59032170335</c:v>
                </c:pt>
                <c:pt idx="71">
                  <c:v>335632.76914218266</c:v>
                </c:pt>
                <c:pt idx="72">
                  <c:v>343432.94969878311</c:v>
                </c:pt>
                <c:pt idx="73">
                  <c:v>351308.13199150475</c:v>
                </c:pt>
                <c:pt idx="74">
                  <c:v>359258.31602034753</c:v>
                </c:pt>
                <c:pt idx="75">
                  <c:v>367283.50178531144</c:v>
                </c:pt>
                <c:pt idx="76">
                  <c:v>375383.68928639655</c:v>
                </c:pt>
                <c:pt idx="77">
                  <c:v>383558.87852360279</c:v>
                </c:pt>
                <c:pt idx="78">
                  <c:v>391809.06949693023</c:v>
                </c:pt>
                <c:pt idx="79">
                  <c:v>400134.2622063788</c:v>
                </c:pt>
                <c:pt idx="80">
                  <c:v>408534.45665194851</c:v>
                </c:pt>
                <c:pt idx="81">
                  <c:v>417009.65283363941</c:v>
                </c:pt>
                <c:pt idx="82">
                  <c:v>425559.85075145145</c:v>
                </c:pt>
                <c:pt idx="83">
                  <c:v>434185.05040538462</c:v>
                </c:pt>
                <c:pt idx="84">
                  <c:v>442885.25179543899</c:v>
                </c:pt>
                <c:pt idx="85">
                  <c:v>451660.4549216145</c:v>
                </c:pt>
                <c:pt idx="86">
                  <c:v>460510.65978391119</c:v>
                </c:pt>
                <c:pt idx="87">
                  <c:v>469435.86638232903</c:v>
                </c:pt>
                <c:pt idx="88">
                  <c:v>478436.074716868</c:v>
                </c:pt>
                <c:pt idx="89">
                  <c:v>487511.28478752816</c:v>
                </c:pt>
                <c:pt idx="90">
                  <c:v>496661.49659430946</c:v>
                </c:pt>
                <c:pt idx="91">
                  <c:v>505886.71013721195</c:v>
                </c:pt>
                <c:pt idx="92">
                  <c:v>515186.92541623558</c:v>
                </c:pt>
                <c:pt idx="93">
                  <c:v>524562.14243138034</c:v>
                </c:pt>
                <c:pt idx="94">
                  <c:v>534012.36118264624</c:v>
                </c:pt>
                <c:pt idx="95">
                  <c:v>543537.5816700334</c:v>
                </c:pt>
                <c:pt idx="96">
                  <c:v>553137.80389354168</c:v>
                </c:pt>
                <c:pt idx="97">
                  <c:v>562813.02785317111</c:v>
                </c:pt>
                <c:pt idx="98">
                  <c:v>572563.25354892167</c:v>
                </c:pt>
                <c:pt idx="99">
                  <c:v>582388.48098079336</c:v>
                </c:pt>
                <c:pt idx="100">
                  <c:v>592288.71014878631</c:v>
                </c:pt>
                <c:pt idx="101">
                  <c:v>602263.94105290039</c:v>
                </c:pt>
                <c:pt idx="102">
                  <c:v>612314.17369313561</c:v>
                </c:pt>
                <c:pt idx="103">
                  <c:v>622439.40806949197</c:v>
                </c:pt>
                <c:pt idx="104">
                  <c:v>632639.64418196946</c:v>
                </c:pt>
                <c:pt idx="105">
                  <c:v>642914.8820305682</c:v>
                </c:pt>
                <c:pt idx="106">
                  <c:v>653265.12161528808</c:v>
                </c:pt>
                <c:pt idx="107">
                  <c:v>663690.3629361291</c:v>
                </c:pt>
                <c:pt idx="108">
                  <c:v>674190.60599309125</c:v>
                </c:pt>
                <c:pt idx="109">
                  <c:v>684765.85078617453</c:v>
                </c:pt>
                <c:pt idx="110">
                  <c:v>695416.09731537907</c:v>
                </c:pt>
                <c:pt idx="111">
                  <c:v>706141.34558070474</c:v>
                </c:pt>
                <c:pt idx="112">
                  <c:v>716941.59558215155</c:v>
                </c:pt>
                <c:pt idx="113">
                  <c:v>727816.8473197195</c:v>
                </c:pt>
                <c:pt idx="114">
                  <c:v>738767.10079340858</c:v>
                </c:pt>
                <c:pt idx="115">
                  <c:v>749792.35600321891</c:v>
                </c:pt>
                <c:pt idx="116">
                  <c:v>760892.61294915038</c:v>
                </c:pt>
                <c:pt idx="117">
                  <c:v>772067.87163120299</c:v>
                </c:pt>
                <c:pt idx="118">
                  <c:v>783318.13204937673</c:v>
                </c:pt>
                <c:pt idx="119">
                  <c:v>794643.3942036716</c:v>
                </c:pt>
                <c:pt idx="120">
                  <c:v>806043.65809408762</c:v>
                </c:pt>
                <c:pt idx="121">
                  <c:v>817518.92372062488</c:v>
                </c:pt>
                <c:pt idx="122">
                  <c:v>829069.19108328328</c:v>
                </c:pt>
                <c:pt idx="123">
                  <c:v>840694.46018206282</c:v>
                </c:pt>
                <c:pt idx="124">
                  <c:v>852394.73101696349</c:v>
                </c:pt>
                <c:pt idx="125">
                  <c:v>864170.00358798529</c:v>
                </c:pt>
                <c:pt idx="126">
                  <c:v>876020.27789512835</c:v>
                </c:pt>
                <c:pt idx="127">
                  <c:v>887945.55393839255</c:v>
                </c:pt>
                <c:pt idx="128">
                  <c:v>899945.83171777788</c:v>
                </c:pt>
                <c:pt idx="129">
                  <c:v>912021.11123328435</c:v>
                </c:pt>
                <c:pt idx="130">
                  <c:v>924171.39248491195</c:v>
                </c:pt>
                <c:pt idx="131">
                  <c:v>936396.67547266081</c:v>
                </c:pt>
                <c:pt idx="132">
                  <c:v>948696.9601965308</c:v>
                </c:pt>
                <c:pt idx="133">
                  <c:v>961072.24665652192</c:v>
                </c:pt>
                <c:pt idx="134">
                  <c:v>973522.53485263418</c:v>
                </c:pt>
                <c:pt idx="135">
                  <c:v>986047.82478486758</c:v>
                </c:pt>
                <c:pt idx="136">
                  <c:v>998648.11645322223</c:v>
                </c:pt>
                <c:pt idx="137">
                  <c:v>1011323.409857698</c:v>
                </c:pt>
                <c:pt idx="138">
                  <c:v>1024073.7049982949</c:v>
                </c:pt>
                <c:pt idx="139">
                  <c:v>1036899.001875013</c:v>
                </c:pt>
                <c:pt idx="140">
                  <c:v>1049799.3004878522</c:v>
                </c:pt>
                <c:pt idx="141">
                  <c:v>1062774.6008368125</c:v>
                </c:pt>
                <c:pt idx="142">
                  <c:v>1075824.9029218941</c:v>
                </c:pt>
                <c:pt idx="143">
                  <c:v>1088950.2067430969</c:v>
                </c:pt>
                <c:pt idx="144">
                  <c:v>1102150.5123004208</c:v>
                </c:pt>
                <c:pt idx="145">
                  <c:v>1115425.8195938659</c:v>
                </c:pt>
                <c:pt idx="146">
                  <c:v>1128776.128623432</c:v>
                </c:pt>
                <c:pt idx="147">
                  <c:v>1142201.4393891194</c:v>
                </c:pt>
                <c:pt idx="148">
                  <c:v>1155701.7518909278</c:v>
                </c:pt>
                <c:pt idx="149">
                  <c:v>1169277.0661288574</c:v>
                </c:pt>
                <c:pt idx="150">
                  <c:v>1182927.3821029083</c:v>
                </c:pt>
                <c:pt idx="151">
                  <c:v>1196652.6998130803</c:v>
                </c:pt>
                <c:pt idx="152">
                  <c:v>1210453.0192593734</c:v>
                </c:pt>
                <c:pt idx="153">
                  <c:v>1224328.3404417876</c:v>
                </c:pt>
                <c:pt idx="154">
                  <c:v>1238278.6633603231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33-5940-B709-369D9FE36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306272"/>
        <c:axId val="1151309648"/>
      </c:scatterChart>
      <c:valAx>
        <c:axId val="1151306272"/>
        <c:scaling>
          <c:orientation val="minMax"/>
          <c:max val="2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horizontal displacement relative to launch tower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309648"/>
        <c:crosses val="autoZero"/>
        <c:crossBetween val="midCat"/>
        <c:majorUnit val="50000"/>
      </c:valAx>
      <c:valAx>
        <c:axId val="1151309648"/>
        <c:scaling>
          <c:orientation val="minMax"/>
          <c:max val="3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altitude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30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203201</xdr:colOff>
      <xdr:row>0</xdr:row>
      <xdr:rowOff>0</xdr:rowOff>
    </xdr:from>
    <xdr:to>
      <xdr:col>1</xdr:col>
      <xdr:colOff>275167</xdr:colOff>
      <xdr:row>3</xdr:row>
      <xdr:rowOff>171065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F564D5-1F15-784B-B51E-C82CB883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1" y="0"/>
          <a:ext cx="749299" cy="761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273858</xdr:colOff>
      <xdr:row>259</xdr:row>
      <xdr:rowOff>94503</xdr:rowOff>
    </xdr:from>
    <xdr:to>
      <xdr:col>17</xdr:col>
      <xdr:colOff>871941</xdr:colOff>
      <xdr:row>304</xdr:row>
      <xdr:rowOff>168089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2865B0-1447-467D-B327-68A48C5EB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308410</xdr:colOff>
      <xdr:row>257</xdr:row>
      <xdr:rowOff>94499</xdr:rowOff>
    </xdr:from>
    <xdr:to>
      <xdr:col>48</xdr:col>
      <xdr:colOff>67732</xdr:colOff>
      <xdr:row>379</xdr:row>
      <xdr:rowOff>93134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7ED2CDA-72E2-B55C-E389-A298CAA54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245533</xdr:colOff>
      <xdr:row>304</xdr:row>
      <xdr:rowOff>8467</xdr:rowOff>
    </xdr:from>
    <xdr:to>
      <xdr:col>25</xdr:col>
      <xdr:colOff>990600</xdr:colOff>
      <xdr:row>349</xdr:row>
      <xdr:rowOff>101601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23BBC77-CCFC-6740-A33A-081DCA7F9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414866</xdr:colOff>
      <xdr:row>223</xdr:row>
      <xdr:rowOff>93132</xdr:rowOff>
    </xdr:from>
    <xdr:to>
      <xdr:col>50</xdr:col>
      <xdr:colOff>457200</xdr:colOff>
      <xdr:row>254</xdr:row>
      <xdr:rowOff>67732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3756F1-7396-DC59-7DED-33D97B5C3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177804</xdr:colOff>
      <xdr:row>17</xdr:row>
      <xdr:rowOff>148166</xdr:rowOff>
    </xdr:from>
    <xdr:to>
      <xdr:col>43</xdr:col>
      <xdr:colOff>524933</xdr:colOff>
      <xdr:row>222</xdr:row>
      <xdr:rowOff>8467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B62B1B9-5EA7-B461-EE2F-C5306C4DC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874992</xdr:colOff>
      <xdr:row>248</xdr:row>
      <xdr:rowOff>94502</xdr:rowOff>
    </xdr:from>
    <xdr:to>
      <xdr:col>16</xdr:col>
      <xdr:colOff>905808</xdr:colOff>
      <xdr:row>293</xdr:row>
      <xdr:rowOff>168088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C3481-8496-1C47-A75F-F9B8FBC63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850278</xdr:colOff>
      <xdr:row>247</xdr:row>
      <xdr:rowOff>102966</xdr:rowOff>
    </xdr:from>
    <xdr:to>
      <xdr:col>37</xdr:col>
      <xdr:colOff>308660</xdr:colOff>
      <xdr:row>370</xdr:row>
      <xdr:rowOff>169333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2B6E1F-4EAD-1F43-9BB5-6083237B6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702734</xdr:colOff>
      <xdr:row>297</xdr:row>
      <xdr:rowOff>8467</xdr:rowOff>
    </xdr:from>
    <xdr:to>
      <xdr:col>21</xdr:col>
      <xdr:colOff>596901</xdr:colOff>
      <xdr:row>342</xdr:row>
      <xdr:rowOff>101601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1932E8-4083-5B41-AEB4-ACD305F7B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194733</xdr:colOff>
      <xdr:row>227</xdr:row>
      <xdr:rowOff>76200</xdr:rowOff>
    </xdr:from>
    <xdr:to>
      <xdr:col>42</xdr:col>
      <xdr:colOff>541862</xdr:colOff>
      <xdr:row>258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31FD94-BB3A-A947-AF07-8FA06959C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177804</xdr:colOff>
      <xdr:row>10</xdr:row>
      <xdr:rowOff>148166</xdr:rowOff>
    </xdr:from>
    <xdr:to>
      <xdr:col>42</xdr:col>
      <xdr:colOff>524933</xdr:colOff>
      <xdr:row>215</xdr:row>
      <xdr:rowOff>8467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5019EA-834B-DE47-A5C5-01E449E40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918633</xdr:colOff>
      <xdr:row>11</xdr:row>
      <xdr:rowOff>131233</xdr:rowOff>
    </xdr:from>
    <xdr:to>
      <xdr:col>26</xdr:col>
      <xdr:colOff>118533</xdr:colOff>
      <xdr:row>51</xdr:row>
      <xdr:rowOff>135467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AE333-ABBF-9255-FA3E-E301AB28C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867833</xdr:colOff>
      <xdr:row>11</xdr:row>
      <xdr:rowOff>190499</xdr:rowOff>
    </xdr:from>
    <xdr:to>
      <xdr:col>26</xdr:col>
      <xdr:colOff>67733</xdr:colOff>
      <xdr:row>51</xdr:row>
      <xdr:rowOff>194733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D81C3B-AD05-DAAE-9867-48A9F8856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67121F-F1A3-4242-835D-F75BDBA76491}" name="FORESTS" displayName="FORESTS" ref="A10:AG247" totalsRowCount="1" headerRowDxfId="158" dataDxfId="157" totalsRowDxfId="156">
  <autoFilter ref="A10:AG246" xr:uid="{5567121F-F1A3-4242-835D-F75BDBA76491}"/>
  <sortState xmlns:xlrd2="http://schemas.microsoft.com/office/spreadsheetml/2017/richdata2" ref="A11:AG246">
    <sortCondition descending="1" ref="P10:P246"/>
  </sortState>
  <tableColumns count="33">
    <tableColumn id="1" xr3:uid="{A1A042C0-758E-3C4E-A1A7-3026C73E0103}" name="ID" totalsRowLabel="Total" dataDxfId="65" totalsRowDxfId="64"/>
    <tableColumn id="2" xr3:uid="{266B88E5-D7FB-DA44-831C-F7ADE18420F3}" name="Country" totalsRowFunction="custom" dataDxfId="63" totalsRowDxfId="62">
      <totalsRowFormula>SUBTOTAL(2,A11:A246)</totalsRowFormula>
    </tableColumn>
    <tableColumn id="3" xr3:uid="{A549EE61-674B-6744-BA2D-F6EC6D5D7863}" name="Area_1990" totalsRowFunction="custom" dataDxfId="61" totalsRowDxfId="60">
      <totalsRowFormula>+SUBTOTAL(109,FORESTS[[#Headers],[#Data],[Area_1990]])</totalsRowFormula>
    </tableColumn>
    <tableColumn id="4" xr3:uid="{E698E555-8710-5B44-BF32-B230201FCA8C}" name="Area_2000" totalsRowFunction="custom" dataDxfId="59" totalsRowDxfId="58">
      <totalsRowFormula>+SUBTOTAL(109,FORESTS[[#Headers],[#Data],[Area_2000]])</totalsRowFormula>
    </tableColumn>
    <tableColumn id="5" xr3:uid="{895DBEDC-FA7A-D74D-807D-B206F34DE3D9}" name="Area_2010" totalsRowFunction="custom" dataDxfId="57" totalsRowDxfId="56">
      <totalsRowFormula>+SUBTOTAL(109,FORESTS[[#Headers],[#Data],[Area_2010]])</totalsRowFormula>
    </tableColumn>
    <tableColumn id="6" xr3:uid="{1E0D9714-93EE-1546-A494-F40DA01B01D6}" name="Area_2015" totalsRowFunction="custom" dataDxfId="55" totalsRowDxfId="54">
      <totalsRowFormula>+SUBTOTAL(109,FORESTS[[#Headers],[#Data],[Area_2015]])</totalsRowFormula>
    </tableColumn>
    <tableColumn id="7" xr3:uid="{65FFABFD-18DE-A246-95F6-05D7AC461841}" name="Area_2020" totalsRowFunction="custom" dataDxfId="53" totalsRowDxfId="52">
      <totalsRowFormula>+SUBTOTAL(109,FORESTS[[#Headers],[#Data],[Area_2020]])</totalsRowFormula>
    </tableColumn>
    <tableColumn id="8" xr3:uid="{1632AF4E-9743-0A49-B31C-359638691EEA}" name="Total_Land" totalsRowFunction="custom" dataDxfId="51" totalsRowDxfId="50">
      <totalsRowFormula>+SUBTOTAL(109,FORESTS[Total_Land])</totalsRowFormula>
    </tableColumn>
    <tableColumn id="9" xr3:uid="{8AF4975A-1B0B-1045-8E13-5CB781FF3E8B}" name="Area_1990_%" totalsRowFunction="average" dataDxfId="49" totalsRowDxfId="48">
      <calculatedColumnFormula>C11/$H11</calculatedColumnFormula>
    </tableColumn>
    <tableColumn id="10" xr3:uid="{9564BF06-B5FE-3549-89EA-CF9C1A500F81}" name="Area_2000_%" totalsRowFunction="average" dataDxfId="47" totalsRowDxfId="46">
      <calculatedColumnFormula>D11/$H11</calculatedColumnFormula>
    </tableColumn>
    <tableColumn id="11" xr3:uid="{B82ED2D2-1939-9447-9417-2AFACA9E209C}" name="Area_2010_%" totalsRowFunction="average" dataDxfId="45" totalsRowDxfId="44">
      <calculatedColumnFormula>E11/$H11</calculatedColumnFormula>
    </tableColumn>
    <tableColumn id="12" xr3:uid="{09ADF3F9-664A-054E-A660-AEC269B6AAEB}" name="Area_2015_%" totalsRowFunction="average" dataDxfId="43" totalsRowDxfId="42">
      <calculatedColumnFormula>F11/$H11</calculatedColumnFormula>
    </tableColumn>
    <tableColumn id="13" xr3:uid="{16BA73CA-C04C-7548-9946-7A0FFCC0C586}" name="Area_2020_%" totalsRowFunction="average" dataDxfId="41" totalsRowDxfId="40">
      <calculatedColumnFormula>G11/$H11</calculatedColumnFormula>
    </tableColumn>
    <tableColumn id="31" xr3:uid="{BCBBCCE4-5E59-6C42-8FAA-5A61A56C72C1}" name="Area_Delta" totalsRowFunction="sum" dataDxfId="39" totalsRowDxfId="38">
      <calculatedColumnFormula>FORESTS[[#This Row],[Area_2020]]-FORESTS[[#This Row],[Area_1990]]</calculatedColumnFormula>
    </tableColumn>
    <tableColumn id="32" xr3:uid="{7C5AD7F5-07C1-7E45-8212-CF20AAA3FDD1}" name="Area_Delta_ABS" dataDxfId="37" totalsRowDxfId="36">
      <calculatedColumnFormula>ABS(FORESTS[[#This Row],[Area_Delta]])</calculatedColumnFormula>
    </tableColumn>
    <tableColumn id="30" xr3:uid="{D8D865D8-AEBF-B248-9525-D8A674B0BAC1}" name="Net_Gain_%" totalsRowFunction="custom" dataDxfId="35" totalsRowDxfId="34">
      <calculatedColumnFormula>FORESTS[[#This Row],[Area_2020_%]]-FORESTS[[#This Row],[Area_1990_%]]</calculatedColumnFormula>
      <totalsRowFormula>SUBTOTAL(1,FORESTS[Net_Gain_%])</totalsRowFormula>
    </tableColumn>
    <tableColumn id="14" xr3:uid="{CE4A1712-67D5-0347-AE74-859EBE485232}" name="Net_Gain" totalsRowFunction="count" dataDxfId="33" totalsRowDxfId="32">
      <calculatedColumnFormula>IF(G11&gt;C11, TRUE, FALSE)</calculatedColumnFormula>
    </tableColumn>
    <tableColumn id="15" xr3:uid="{E86CBA8B-3BB7-4446-A1E8-8F2955960D5D}" name="GAIN  only" totalsRowFunction="sum" dataDxfId="31" totalsRowDxfId="30">
      <calculatedColumnFormula>IF(Q11=TRUE,G11-C11,0)</calculatedColumnFormula>
    </tableColumn>
    <tableColumn id="16" xr3:uid="{43FDF883-EC38-664B-B61A-D51462EDBDDE}" name="LOSS only" totalsRowFunction="sum" dataDxfId="29" totalsRowDxfId="28">
      <calculatedColumnFormula>IF(Q11=TRUE,0,C11-G11)</calculatedColumnFormula>
    </tableColumn>
    <tableColumn id="17" xr3:uid="{D8E63604-DBEB-BB46-8E7B-6DD551D1DA2C}" name="Column1" dataDxfId="27" totalsRowDxfId="26">
      <calculatedColumnFormula>IF(J11&lt;I11,1,0)+IF(K11&lt;J11,1,0)+IF(L11&lt;K11,1,0)+IF(M11&lt;L11,1,0)</calculatedColumnFormula>
    </tableColumn>
    <tableColumn id="18" xr3:uid="{10325428-484C-8F47-BC09-AAEAA1827348}" name="Column2" dataDxfId="25" totalsRowDxfId="24"/>
    <tableColumn id="19" xr3:uid="{BC5D32AB-7B1F-7944-AA23-20A18D51D629}" name="Column3" dataDxfId="23" totalsRowDxfId="22"/>
    <tableColumn id="20" xr3:uid="{7833F7F9-6328-F34D-98EB-34DAB86A2F7F}" name="Column4" dataDxfId="21" totalsRowDxfId="20"/>
    <tableColumn id="21" xr3:uid="{A7BD63A6-32FD-7640-9FD6-9810BA979579}" name="1990-2000" dataDxfId="19" totalsRowDxfId="18">
      <calculatedColumnFormula>D11-C11</calculatedColumnFormula>
    </tableColumn>
    <tableColumn id="22" xr3:uid="{1E3B6FBE-EA21-7342-9A5C-24EF7E460D44}" name="2000-2010" dataDxfId="17" totalsRowDxfId="16">
      <calculatedColumnFormula>E11-D11</calculatedColumnFormula>
    </tableColumn>
    <tableColumn id="23" xr3:uid="{272FDD05-2EB1-BE47-A83B-B5B32E51D4B2}" name="Column7" dataDxfId="15" totalsRowDxfId="14">
      <calculatedColumnFormula>F11-E11</calculatedColumnFormula>
    </tableColumn>
    <tableColumn id="24" xr3:uid="{4519C75C-AB22-0F4F-8F29-19FFC726C05F}" name="Column8" dataDxfId="13" totalsRowDxfId="12">
      <calculatedColumnFormula>G11-F11</calculatedColumnFormula>
    </tableColumn>
    <tableColumn id="29" xr3:uid="{5A773E35-8B8C-564B-99D7-65B514B7A320}" name="2010-2020" dataDxfId="11" totalsRowDxfId="10">
      <calculatedColumnFormula>FORESTS[[#This Row],[Column7]]+FORESTS[[#This Row],[Column8]]</calculatedColumnFormula>
    </tableColumn>
    <tableColumn id="33" xr3:uid="{FA17CA8C-F68A-254D-A185-A95FCBB95385}" name="Skewness" dataDxfId="9" totalsRowDxfId="8"/>
    <tableColumn id="25" xr3:uid="{F4447C9D-BBA8-1745-9686-6A5A0FCBC0B0}" name="PA_growth1" dataDxfId="7" totalsRowDxfId="6">
      <calculatedColumnFormula>(D11-C11)/10</calculatedColumnFormula>
    </tableColumn>
    <tableColumn id="26" xr3:uid="{67C6D8B4-B253-1E4F-A0C9-8DAD46EBA6B9}" name="PA_growth2" dataDxfId="5" totalsRowDxfId="4">
      <calculatedColumnFormula>(E11-D11)/10</calculatedColumnFormula>
    </tableColumn>
    <tableColumn id="27" xr3:uid="{4BDA753D-B400-2141-8991-D3D92F816C8D}" name="PA_growth3" dataDxfId="3" totalsRowDxfId="2">
      <calculatedColumnFormula>(F11-E11)/5</calculatedColumnFormula>
    </tableColumn>
    <tableColumn id="28" xr3:uid="{C0FC4BDD-5F48-F246-8B9A-4EFEF9E771CD}" name="PA_growth4" totalsRowFunction="sum" dataDxfId="1" totalsRowDxfId="0">
      <calculatedColumnFormula>(G11-F11)/5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D6E5A8-DB11-BE41-AAFF-E5762506496C}" name="GAIN_nations" displayName="GAIN_nations" ref="A3:C141" totalsRowCount="1" headerRowDxfId="89" totalsRowDxfId="68">
  <autoFilter ref="A3:C140" xr:uid="{31D6E5A8-DB11-BE41-AAFF-E5762506496C}"/>
  <tableColumns count="3">
    <tableColumn id="1" xr3:uid="{ADE099DA-24E3-B642-9334-B572BC29FFED}" name="Nation" dataDxfId="74" totalsRowDxfId="71"/>
    <tableColumn id="2" xr3:uid="{D38AC44C-09DC-9F40-8059-21B2F0D13E30}" name="Δ NFA" dataDxfId="72" totalsRowDxfId="70"/>
    <tableColumn id="3" xr3:uid="{F87F022D-31A6-0841-A900-8CAE706C0C42}" name="Rate of gain" totalsRowLabel="Unweighted" dataDxfId="73" totalsRow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B6898A-F404-9742-BBFB-BD168F71FE64}" name="NFA_Loss_All" displayName="NFA_Loss_All" ref="I3:K103" totalsRowCount="1" headerRowDxfId="88">
  <autoFilter ref="I3:K102" xr:uid="{12B6898A-F404-9742-BBFB-BD168F71FE64}"/>
  <tableColumns count="3">
    <tableColumn id="1" xr3:uid="{C2279449-32B0-1240-A58C-CC4D8E880F54}" name="Nation"/>
    <tableColumn id="2" xr3:uid="{380586BC-0E63-7C47-91E9-4B7AF55DDF1E}" name="ΔNFA" totalsRowLabel="Av Rate Selected" totalsRowDxfId="75"/>
    <tableColumn id="3" xr3:uid="{30709DC0-91B0-8D40-9E61-673C9BC7DAA6}" name="Rate of Loss" totalsRowFunction="custom" dataDxfId="77" totalsRowDxfId="76">
      <totalsRowFormula>SUBTOTAL(1,SEL_NFA_GAIN[])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26674B-ECE0-D443-9656-E2AFB705FD67}" name="SEL_NFA_GAIN" displayName="SEL_NFA_GAIN" ref="Q5:S28" totalsRowShown="0" headerRowDxfId="84" headerRowBorderDxfId="86" tableBorderDxfId="87">
  <autoFilter ref="Q5:S28" xr:uid="{BD26674B-ECE0-D443-9656-E2AFB705FD67}"/>
  <tableColumns count="3">
    <tableColumn id="1" xr3:uid="{4BD72424-D264-CA4C-BED0-701DEE65F3BA}" name="Nation"/>
    <tableColumn id="2" xr3:uid="{7D2A556A-103B-D34D-B223-1740D6AAA2AC}" name="ΔNFA" dataDxfId="85"/>
    <tableColumn id="3" xr3:uid="{77993090-9D33-6745-B558-47DE6A842787}" name="Rate of Gain" dataDxfId="7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7D72A6-5682-6F46-BC25-0D37E54CCA15}" name="SEL_LOSS" displayName="SEL_LOSS" ref="Y5:AA19" totalsRowShown="0" headerRowDxfId="80" headerRowBorderDxfId="82" tableBorderDxfId="83">
  <autoFilter ref="Y5:AA19" xr:uid="{4C7D72A6-5682-6F46-BC25-0D37E54CCA15}"/>
  <tableColumns count="3">
    <tableColumn id="1" xr3:uid="{1C11161F-A762-274E-9167-5D6204EE837C}" name="Nation"/>
    <tableColumn id="2" xr3:uid="{E5161AEA-F9EC-9A4C-8C28-A6C256B07EEC}" name="ΔNFA" dataDxfId="81"/>
    <tableColumn id="3" xr3:uid="{82FAE77E-AD19-6F44-95D2-A3F05BFAAE07}" name="Rate of Loss" dataDxfId="7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48415-E751-0F47-B472-A960005175CA}" name="FORESTS2" displayName="FORESTS2" ref="A3:AF240" totalsRowCount="1" headerRowDxfId="155" dataDxfId="154">
  <autoFilter ref="A3:AF239" xr:uid="{5567121F-F1A3-4242-835D-F75BDBA76491}">
    <filterColumn colId="13">
      <customFilters>
        <customFilter operator="greaterThan" val="500"/>
        <customFilter operator="lessThan" val="-5000"/>
      </customFilters>
    </filterColumn>
  </autoFilter>
  <sortState xmlns:xlrd2="http://schemas.microsoft.com/office/spreadsheetml/2017/richdata2" ref="A4:AF239">
    <sortCondition descending="1" ref="P3:P239"/>
  </sortState>
  <tableColumns count="32">
    <tableColumn id="1" xr3:uid="{0BBD8B7F-1A1E-3B44-A591-83A030054A3C}" name="ID" totalsRowLabel="Total" dataDxfId="153" totalsRowDxfId="152"/>
    <tableColumn id="2" xr3:uid="{CB9101CB-6DC4-7A48-9E51-0B260752C560}" name="Country" totalsRowFunction="custom" dataDxfId="151" totalsRowDxfId="150">
      <totalsRowFormula xml:space="preserve"> "Country count: " &amp; SUBTOTAL(2,FORESTS2[ID])</totalsRowFormula>
    </tableColumn>
    <tableColumn id="3" xr3:uid="{00D88B71-6B87-8E44-ABA1-B3B12D5064DB}" name="Area_1990" totalsRowFunction="custom" dataDxfId="149" totalsRowDxfId="148">
      <totalsRowFormula>+SUBTOTAL(109,FORESTS2[[#Headers],[#Data],[Area_1990]])</totalsRowFormula>
    </tableColumn>
    <tableColumn id="4" xr3:uid="{EC328D05-8E2D-B04D-8373-FF803F44CA07}" name="Area_2000" totalsRowFunction="custom" dataDxfId="147" totalsRowDxfId="146">
      <totalsRowFormula>+SUBTOTAL(109,FORESTS2[[#Headers],[#Data],[Area_2000]])</totalsRowFormula>
    </tableColumn>
    <tableColumn id="5" xr3:uid="{899AB2F8-E7BD-4F43-82D9-B4C6F60E8AE9}" name="Area_2010" totalsRowFunction="custom" dataDxfId="145" totalsRowDxfId="144">
      <totalsRowFormula>+SUBTOTAL(109,FORESTS2[[#Headers],[#Data],[Area_2010]])</totalsRowFormula>
    </tableColumn>
    <tableColumn id="6" xr3:uid="{1935D453-3B90-8E48-93B1-EC2BF992818C}" name="Area_2015" totalsRowFunction="custom" dataDxfId="143" totalsRowDxfId="142">
      <totalsRowFormula>+SUBTOTAL(109,FORESTS2[[#Headers],[#Data],[Area_2015]])</totalsRowFormula>
    </tableColumn>
    <tableColumn id="7" xr3:uid="{F19F8DC0-15C9-5947-887A-661DD3096259}" name="Area_2020" totalsRowFunction="custom" dataDxfId="141" totalsRowDxfId="140">
      <totalsRowFormula>+SUBTOTAL(109,FORESTS2[[#Headers],[#Data],[Area_2020]])</totalsRowFormula>
    </tableColumn>
    <tableColumn id="8" xr3:uid="{BA046F37-EE33-D54B-A06A-C555A499E100}" name="Total_Land" totalsRowFunction="custom" dataDxfId="139" totalsRowDxfId="138">
      <totalsRowFormula>+SUBTOTAL(109,FORESTS2[Total_Land])</totalsRowFormula>
    </tableColumn>
    <tableColumn id="9" xr3:uid="{B4BA656C-4A2E-EF48-868F-760EB2AFA8F5}" name="Area_1990_%" totalsRowFunction="average" dataDxfId="137" totalsRowDxfId="136">
      <calculatedColumnFormula>C4/$H4</calculatedColumnFormula>
    </tableColumn>
    <tableColumn id="10" xr3:uid="{9D70AEDF-61EB-B240-A721-1B23AEEAF164}" name="Area_2000_%" totalsRowFunction="average" dataDxfId="135" totalsRowDxfId="134">
      <calculatedColumnFormula>D4/$H4</calculatedColumnFormula>
    </tableColumn>
    <tableColumn id="11" xr3:uid="{6A814DC6-C076-E74C-B6CF-C0CF1BD52766}" name="Area_2010_%" totalsRowFunction="average" dataDxfId="133" totalsRowDxfId="132">
      <calculatedColumnFormula>E4/$H4</calculatedColumnFormula>
    </tableColumn>
    <tableColumn id="12" xr3:uid="{CCD31CC1-E3CF-E94F-A329-640284203D60}" name="Area_2015_%" totalsRowFunction="average" dataDxfId="131" totalsRowDxfId="130">
      <calculatedColumnFormula>F4/$H4</calculatedColumnFormula>
    </tableColumn>
    <tableColumn id="13" xr3:uid="{13E5A6FD-4E2D-BD48-B644-81FA66E03562}" name="Area_2020_%" totalsRowFunction="average" dataDxfId="129" totalsRowDxfId="128">
      <calculatedColumnFormula>G4/$H4</calculatedColumnFormula>
    </tableColumn>
    <tableColumn id="31" xr3:uid="{CF6363FE-7ECB-3F48-B4EE-02709B8F957D}" name="Area_Delta" dataDxfId="127" totalsRowDxfId="126">
      <calculatedColumnFormula>FORESTS2[[#This Row],[Area_2020]]-FORESTS2[[#This Row],[Area_1990]]</calculatedColumnFormula>
    </tableColumn>
    <tableColumn id="32" xr3:uid="{1B1C2F61-DFE2-1D4B-A2A1-4CDB1D5CD70D}" name="Area_Delta_ABS" dataDxfId="125" totalsRowDxfId="124">
      <calculatedColumnFormula>ABS(FORESTS2[[#This Row],[Area_Delta]])</calculatedColumnFormula>
    </tableColumn>
    <tableColumn id="30" xr3:uid="{AF7BE6D6-85A9-8145-9E60-2C558710EE62}" name="Net_Gain_%" dataDxfId="123" totalsRowDxfId="122">
      <calculatedColumnFormula>FORESTS2[[#This Row],[Area_2020_%]]-FORESTS2[[#This Row],[Area_1990_%]]</calculatedColumnFormula>
    </tableColumn>
    <tableColumn id="14" xr3:uid="{6A40CB01-ACAB-CB44-BD2D-CDD4D02A686B}" name="Net_Gain" totalsRowFunction="count" dataDxfId="121" totalsRowDxfId="120">
      <calculatedColumnFormula>IF(G4&gt;C4, TRUE, FALSE)</calculatedColumnFormula>
    </tableColumn>
    <tableColumn id="15" xr3:uid="{96CF8F12-E3CD-0149-8B3D-582522BB32BE}" name="GAIN  only" totalsRowFunction="sum" dataDxfId="119" totalsRowDxfId="118">
      <calculatedColumnFormula>IF(Q4=TRUE,G4-C4,0)</calculatedColumnFormula>
    </tableColumn>
    <tableColumn id="16" xr3:uid="{FE792BBA-E447-8645-8152-95171899B183}" name="LOSS only" totalsRowFunction="sum" dataDxfId="117" totalsRowDxfId="116">
      <calculatedColumnFormula>IF(Q4=TRUE,0,C4-G4)</calculatedColumnFormula>
    </tableColumn>
    <tableColumn id="17" xr3:uid="{9C259BD3-CABA-6246-B9EC-8DDFE926929C}" name="Column1" dataDxfId="115" totalsRowDxfId="114">
      <calculatedColumnFormula>IF(J4&lt;I4,1,0)+IF(K4&lt;J4,1,0)+IF(L4&lt;K4,1,0)+IF(M4&lt;L4,1,0)</calculatedColumnFormula>
    </tableColumn>
    <tableColumn id="18" xr3:uid="{A6157CB1-004E-A34A-B947-F76F8BA05F91}" name="Column2" dataDxfId="113" totalsRowDxfId="112"/>
    <tableColumn id="19" xr3:uid="{38F9CED9-70B2-C842-BEE3-4E42ADB2437F}" name="Column3" dataDxfId="111" totalsRowDxfId="110"/>
    <tableColumn id="20" xr3:uid="{3D0189D8-DEDE-E94E-A6E9-5F45B020CDA5}" name="Column4" dataDxfId="109" totalsRowDxfId="108"/>
    <tableColumn id="21" xr3:uid="{6AE9D849-E17F-B642-982E-C53BFB5D67AB}" name="1990-2000" dataDxfId="107" totalsRowDxfId="106">
      <calculatedColumnFormula>D4-C4</calculatedColumnFormula>
    </tableColumn>
    <tableColumn id="22" xr3:uid="{1C50B3F8-9DAC-BA4A-B43F-6D6DA1321439}" name="2000-2010" dataDxfId="105" totalsRowDxfId="104">
      <calculatedColumnFormula>E4-D4</calculatedColumnFormula>
    </tableColumn>
    <tableColumn id="23" xr3:uid="{B11DE774-92DE-2049-BAD6-A54129A97DD8}" name="Column7" dataDxfId="103" totalsRowDxfId="102">
      <calculatedColumnFormula>F4-E4</calculatedColumnFormula>
    </tableColumn>
    <tableColumn id="24" xr3:uid="{E216A5B0-E7FA-2C4F-A886-79CEAB8E2866}" name="Column8" dataDxfId="101" totalsRowDxfId="100">
      <calculatedColumnFormula>G4-F4</calculatedColumnFormula>
    </tableColumn>
    <tableColumn id="29" xr3:uid="{57491608-069D-C14E-86E8-0D9799B9C9F1}" name="2010-2020" dataDxfId="99" totalsRowDxfId="98">
      <calculatedColumnFormula>FORESTS2[[#This Row],[Column7]]+FORESTS2[[#This Row],[Column8]]</calculatedColumnFormula>
    </tableColumn>
    <tableColumn id="25" xr3:uid="{D4E926AA-75F1-A04D-8267-92A1A0E3EC40}" name="PA_growth1" dataDxfId="97" totalsRowDxfId="96">
      <calculatedColumnFormula>(D4-C4)/10</calculatedColumnFormula>
    </tableColumn>
    <tableColumn id="26" xr3:uid="{7ADE8D16-9F94-6B4C-ABD6-AD2F05D98913}" name="PA_growth2" dataDxfId="95" totalsRowDxfId="94">
      <calculatedColumnFormula>(E4-D4)/10</calculatedColumnFormula>
    </tableColumn>
    <tableColumn id="27" xr3:uid="{2B9FA7AB-651D-2B4C-BB4D-01DC78067B2A}" name="PA_growth3" dataDxfId="93" totalsRowDxfId="92">
      <calculatedColumnFormula>(F4-E4)/5</calculatedColumnFormula>
    </tableColumn>
    <tableColumn id="28" xr3:uid="{B80AE010-B72D-F14D-A964-95CFD71D6E64}" name="PA_growth4" totalsRowFunction="sum" dataDxfId="91" totalsRowDxfId="90">
      <calculatedColumnFormula>(G4-F4)/5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o.org/forest-resources-assessment" TargetMode="External"/><Relationship Id="rId2" Type="http://schemas.openxmlformats.org/officeDocument/2006/relationships/hyperlink" Target="https://unstats.un.org/unsd/envstats/country_snapshots.cshtml" TargetMode="External"/><Relationship Id="rId1" Type="http://schemas.openxmlformats.org/officeDocument/2006/relationships/hyperlink" Target="https://unstats.un.org/unsd/envstats/country_file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4060/ca9825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A2ED-C645-8F4A-B7A3-686FE969B043}">
  <sheetPr codeName="Sheet1"/>
  <dimension ref="A1:AH27"/>
  <sheetViews>
    <sheetView showGridLines="0" zoomScale="150" zoomScaleNormal="150" workbookViewId="0">
      <selection activeCell="S13" sqref="S13"/>
    </sheetView>
  </sheetViews>
  <sheetFormatPr baseColWidth="10" defaultColWidth="8.83203125" defaultRowHeight="15" x14ac:dyDescent="0.2"/>
  <cols>
    <col min="1" max="1" width="8.83203125" style="3" customWidth="1"/>
    <col min="2" max="2" width="8.83203125" style="3"/>
    <col min="3" max="3" width="14.5" style="3" customWidth="1"/>
    <col min="4" max="4" width="9.1640625" style="8" customWidth="1"/>
    <col min="5" max="5" width="9.1640625" style="3" customWidth="1"/>
    <col min="6" max="16384" width="8.83203125" style="3"/>
  </cols>
  <sheetData>
    <row r="1" spans="1:34" ht="16" x14ac:dyDescent="0.2">
      <c r="A1" s="35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4" ht="15" customHeight="1" x14ac:dyDescent="0.2">
      <c r="A2" s="1"/>
      <c r="B2" s="1"/>
      <c r="C2" s="131" t="s">
        <v>250</v>
      </c>
      <c r="D2" s="131"/>
      <c r="E2" s="131"/>
      <c r="F2" s="131"/>
      <c r="G2" s="131"/>
      <c r="H2" s="131"/>
      <c r="I2" s="1"/>
      <c r="J2" s="1"/>
      <c r="K2" s="1"/>
      <c r="L2" s="1"/>
      <c r="M2" s="1"/>
      <c r="N2" s="1"/>
      <c r="O2" s="1"/>
    </row>
    <row r="3" spans="1:34" ht="15" customHeight="1" x14ac:dyDescent="0.2">
      <c r="A3" s="1"/>
      <c r="B3" s="1"/>
      <c r="C3" s="131"/>
      <c r="D3" s="131"/>
      <c r="E3" s="131"/>
      <c r="F3" s="131"/>
      <c r="G3" s="131"/>
      <c r="H3" s="131"/>
      <c r="I3" s="1"/>
      <c r="J3" s="1"/>
      <c r="K3" s="1"/>
      <c r="L3" s="1"/>
      <c r="M3" s="1"/>
      <c r="N3" s="1"/>
      <c r="O3" s="1"/>
    </row>
    <row r="4" spans="1:34" x14ac:dyDescent="0.2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4" ht="30" customHeight="1" x14ac:dyDescent="0.2">
      <c r="A5" s="4" t="s">
        <v>259</v>
      </c>
      <c r="B5" s="5"/>
      <c r="C5" s="5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34" x14ac:dyDescent="0.2">
      <c r="D6" s="7"/>
      <c r="E6" s="8"/>
    </row>
    <row r="7" spans="1:34" x14ac:dyDescent="0.2">
      <c r="A7" s="32" t="s">
        <v>251</v>
      </c>
      <c r="B7" s="32"/>
      <c r="C7" s="33">
        <v>44124</v>
      </c>
      <c r="D7" s="34"/>
      <c r="E7" s="32"/>
    </row>
    <row r="8" spans="1:34" x14ac:dyDescent="0.2">
      <c r="A8" s="3" t="s">
        <v>252</v>
      </c>
      <c r="C8" s="8" t="s">
        <v>257</v>
      </c>
    </row>
    <row r="9" spans="1:34" x14ac:dyDescent="0.2">
      <c r="A9" s="3" t="s">
        <v>253</v>
      </c>
      <c r="C9" s="8" t="s">
        <v>258</v>
      </c>
    </row>
    <row r="10" spans="1:34" x14ac:dyDescent="0.2">
      <c r="A10" s="3" t="s">
        <v>254</v>
      </c>
      <c r="C10" s="8" t="s">
        <v>266</v>
      </c>
    </row>
    <row r="12" spans="1:34" x14ac:dyDescent="0.2">
      <c r="A12" s="9" t="s">
        <v>255</v>
      </c>
      <c r="B12" s="10"/>
      <c r="C12" s="10"/>
      <c r="D12" s="11"/>
      <c r="E12" s="12"/>
      <c r="F12" s="13"/>
      <c r="G12" s="14"/>
      <c r="H12" s="15"/>
      <c r="I12" s="11"/>
      <c r="J12" s="13"/>
      <c r="K12" s="16"/>
      <c r="L12" s="10"/>
      <c r="M12" s="17"/>
      <c r="N12" s="10"/>
      <c r="O12" s="17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8"/>
    </row>
    <row r="13" spans="1:34" ht="284" customHeight="1" x14ac:dyDescent="0.2">
      <c r="A13" s="132" t="s">
        <v>271</v>
      </c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9"/>
      <c r="Q13" s="19"/>
      <c r="AH13" s="18"/>
    </row>
    <row r="14" spans="1:34" ht="15" customHeight="1" x14ac:dyDescent="0.2">
      <c r="A14" s="133" t="s">
        <v>260</v>
      </c>
      <c r="B14" s="133"/>
      <c r="C14" s="133"/>
      <c r="D14" s="133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18"/>
    </row>
    <row r="15" spans="1:34" x14ac:dyDescent="0.2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34" x14ac:dyDescent="0.2">
      <c r="A16" s="24" t="s">
        <v>272</v>
      </c>
      <c r="D16" s="3"/>
    </row>
    <row r="17" spans="1:18" x14ac:dyDescent="0.2">
      <c r="A17" s="134" t="s">
        <v>270</v>
      </c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25"/>
      <c r="Q17" s="25"/>
      <c r="R17" s="25"/>
    </row>
    <row r="18" spans="1:18" ht="15" customHeight="1" x14ac:dyDescent="0.2">
      <c r="A18" s="130" t="s">
        <v>268</v>
      </c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25"/>
      <c r="Q18" s="25"/>
      <c r="R18" s="25"/>
    </row>
    <row r="19" spans="1:18" ht="15" customHeight="1" x14ac:dyDescent="0.2">
      <c r="A19" s="130" t="s">
        <v>269</v>
      </c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25"/>
      <c r="Q19" s="25"/>
      <c r="R19" s="25"/>
    </row>
    <row r="20" spans="1:18" x14ac:dyDescent="0.2">
      <c r="A20" s="3" t="s">
        <v>267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8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8" x14ac:dyDescent="0.2">
      <c r="A22" s="9" t="s">
        <v>261</v>
      </c>
    </row>
    <row r="23" spans="1:18" x14ac:dyDescent="0.2">
      <c r="A23" s="128" t="s">
        <v>262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</row>
    <row r="24" spans="1:18" x14ac:dyDescent="0.2">
      <c r="A24" s="128" t="s">
        <v>263</v>
      </c>
      <c r="B24" s="128"/>
      <c r="C24" s="128"/>
    </row>
    <row r="26" spans="1:18" x14ac:dyDescent="0.2">
      <c r="A26" s="9" t="s">
        <v>264</v>
      </c>
    </row>
    <row r="27" spans="1:18" ht="74.25" customHeight="1" x14ac:dyDescent="0.2">
      <c r="A27" s="129" t="s">
        <v>265</v>
      </c>
      <c r="B27" s="129"/>
      <c r="C27" s="129"/>
      <c r="D27" s="129"/>
    </row>
  </sheetData>
  <mergeCells count="9">
    <mergeCell ref="A24:C24"/>
    <mergeCell ref="A27:D27"/>
    <mergeCell ref="A18:O18"/>
    <mergeCell ref="A19:O19"/>
    <mergeCell ref="C2:H3"/>
    <mergeCell ref="A13:O13"/>
    <mergeCell ref="A14:D14"/>
    <mergeCell ref="A17:O17"/>
    <mergeCell ref="A23:O23"/>
  </mergeCells>
  <hyperlinks>
    <hyperlink ref="A23" r:id="rId1" display="Individual country files" xr:uid="{54E496E0-EE7E-084F-A086-6218FCA1B0D1}"/>
    <hyperlink ref="A24" r:id="rId2" xr:uid="{D729F1BB-2D91-4B4B-9CC3-CE930A6B7E0A}"/>
    <hyperlink ref="A18:O18" r:id="rId3" display="http://www.fao.org/forest-resources-assessment " xr:uid="{CD23B61C-C637-4F45-9DE4-ACFA539FC326}"/>
    <hyperlink ref="A19:O19" r:id="rId4" display="https://doi.org/10.4060/ca9825en" xr:uid="{4ED507AC-0762-5546-97AE-B86170C18246}"/>
  </hyperlinks>
  <pageMargins left="0.7" right="0.7" top="0.75" bottom="0.75" header="0.3" footer="0.3"/>
  <pageSetup scale="64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BE456"/>
  <sheetViews>
    <sheetView zoomScale="150" zoomScaleNormal="136" workbookViewId="0">
      <pane xSplit="2" ySplit="10" topLeftCell="C58" activePane="bottomRight" state="frozenSplit"/>
      <selection pane="topRight" activeCell="C1" sqref="C1"/>
      <selection pane="bottomLeft" activeCell="A11" sqref="A11"/>
      <selection pane="bottomRight" activeCell="B11" sqref="B11:B80"/>
    </sheetView>
  </sheetViews>
  <sheetFormatPr baseColWidth="10" defaultColWidth="10.6640625" defaultRowHeight="16" x14ac:dyDescent="0.2"/>
  <cols>
    <col min="1" max="1" width="16.6640625" style="28" customWidth="1"/>
    <col min="2" max="2" width="27.6640625" style="28" customWidth="1"/>
    <col min="3" max="7" width="19.33203125" style="46" customWidth="1"/>
    <col min="8" max="8" width="23" style="46" customWidth="1"/>
    <col min="9" max="13" width="14.1640625" style="54" customWidth="1"/>
    <col min="14" max="14" width="14" style="51" customWidth="1"/>
    <col min="15" max="15" width="11.33203125" style="51" customWidth="1"/>
    <col min="16" max="16" width="11.83203125" style="104" customWidth="1"/>
    <col min="17" max="17" width="10.1640625" style="54" customWidth="1"/>
    <col min="18" max="19" width="12.33203125" style="54" customWidth="1"/>
    <col min="20" max="20" width="12.33203125" style="62" customWidth="1"/>
    <col min="21" max="21" width="13.83203125" style="43" customWidth="1"/>
    <col min="22" max="22" width="13.83203125" style="30" customWidth="1"/>
    <col min="23" max="23" width="13.83203125" style="38" customWidth="1"/>
    <col min="24" max="24" width="15.83203125" style="38" customWidth="1"/>
    <col min="25" max="25" width="14.33203125" style="38" customWidth="1"/>
    <col min="26" max="26" width="15.83203125" style="38" customWidth="1"/>
    <col min="27" max="27" width="0.1640625" style="38" customWidth="1"/>
    <col min="28" max="29" width="15.83203125" style="38" customWidth="1"/>
    <col min="30" max="33" width="14.33203125" style="45" customWidth="1"/>
    <col min="34" max="16384" width="10.6640625" style="28"/>
  </cols>
  <sheetData>
    <row r="1" spans="1:48" ht="64" x14ac:dyDescent="0.2">
      <c r="A1" s="108"/>
      <c r="B1" s="108" t="s">
        <v>359</v>
      </c>
      <c r="C1" s="108" t="s">
        <v>366</v>
      </c>
      <c r="D1" s="108" t="s">
        <v>365</v>
      </c>
      <c r="E1" s="121" t="s">
        <v>368</v>
      </c>
      <c r="F1" s="121" t="s">
        <v>367</v>
      </c>
      <c r="G1" s="121" t="s">
        <v>370</v>
      </c>
      <c r="H1" s="121" t="s">
        <v>371</v>
      </c>
      <c r="I1" s="122" t="s">
        <v>372</v>
      </c>
      <c r="J1" s="122" t="s">
        <v>374</v>
      </c>
      <c r="K1" s="122" t="s">
        <v>373</v>
      </c>
      <c r="L1" s="122"/>
      <c r="M1" s="122"/>
      <c r="N1" s="123"/>
      <c r="O1" s="123"/>
      <c r="P1" s="124"/>
      <c r="Q1" s="122"/>
      <c r="R1" s="122"/>
      <c r="S1" s="122"/>
      <c r="T1" s="125"/>
    </row>
    <row r="2" spans="1:48" x14ac:dyDescent="0.2">
      <c r="A2" s="110" t="s">
        <v>360</v>
      </c>
      <c r="B2" s="110" t="s">
        <v>361</v>
      </c>
      <c r="C2" s="110" t="s">
        <v>364</v>
      </c>
      <c r="D2" s="110" t="s">
        <v>361</v>
      </c>
      <c r="E2" s="110" t="s">
        <v>364</v>
      </c>
      <c r="F2" s="110" t="s">
        <v>361</v>
      </c>
      <c r="G2" s="110" t="s">
        <v>364</v>
      </c>
      <c r="H2" s="110" t="s">
        <v>364</v>
      </c>
      <c r="I2" s="110" t="s">
        <v>361</v>
      </c>
      <c r="J2" s="110" t="s">
        <v>364</v>
      </c>
      <c r="K2" s="117"/>
      <c r="L2" s="117"/>
      <c r="M2" s="117"/>
      <c r="N2" s="114"/>
      <c r="O2" s="114"/>
      <c r="P2" s="118"/>
      <c r="Q2" s="117"/>
      <c r="R2" s="117"/>
      <c r="S2" s="117"/>
      <c r="T2" s="120"/>
    </row>
    <row r="3" spans="1:48" x14ac:dyDescent="0.2">
      <c r="A3" s="76" t="s">
        <v>357</v>
      </c>
      <c r="B3" s="114">
        <f>data!H250</f>
        <v>13038546.750002002</v>
      </c>
      <c r="C3" s="113">
        <v>1</v>
      </c>
      <c r="D3" s="114">
        <f>SUM(FORESTS[Area_1990])</f>
        <v>4236433.4200000018</v>
      </c>
      <c r="E3" s="117">
        <f>D3/B3</f>
        <v>0.32491607394814542</v>
      </c>
      <c r="F3" s="114">
        <f>SUM(FORESTS[Area_2020])</f>
        <v>4058930.8099999987</v>
      </c>
      <c r="G3" s="113">
        <f>F3/$B3</f>
        <v>0.3113023934204458</v>
      </c>
      <c r="H3" s="113">
        <f>AVERAGE(FORESTS[Net_Gain_%])</f>
        <v>-1.1416790796423175E-2</v>
      </c>
      <c r="I3" s="114">
        <f>F3-D3</f>
        <v>-177502.61000000313</v>
      </c>
      <c r="J3" s="117">
        <f>I3/D3</f>
        <v>-4.1899067541583845E-2</v>
      </c>
      <c r="K3" s="114">
        <f>_xlfn.STDEV.P(FORESTS[Area_Delta])</f>
        <v>7918.4364401050952</v>
      </c>
      <c r="L3" s="114"/>
      <c r="M3" s="114"/>
      <c r="N3" s="114"/>
      <c r="O3" s="114"/>
      <c r="P3" s="114"/>
      <c r="Q3" s="114"/>
      <c r="R3" s="114"/>
      <c r="S3" s="114"/>
      <c r="T3" s="114"/>
    </row>
    <row r="4" spans="1:48" ht="64" x14ac:dyDescent="0.2">
      <c r="A4" s="109" t="s">
        <v>358</v>
      </c>
      <c r="B4" s="114">
        <f>SUMIFS(FORESTS[Total_Land], FORESTS[Net_Gain], "=TRUE")</f>
        <v>6401143.7000000002</v>
      </c>
      <c r="C4" s="113">
        <f>B4/B3</f>
        <v>0.49093996614300722</v>
      </c>
      <c r="D4" s="114">
        <f>SUMIFS(FORESTS[Area_1990], FORESTS[Net_Gain], "=TRUE")</f>
        <v>1740288.4900000002</v>
      </c>
      <c r="E4" s="117">
        <f t="shared" ref="E4:E5" si="0">D4/B4</f>
        <v>0.27187149227723167</v>
      </c>
      <c r="F4" s="114">
        <f>SUMIFS(FORESTS[Area_2020], FORESTS[Net_Gain], "=TRUE")</f>
        <v>1862442.89</v>
      </c>
      <c r="G4" s="113">
        <f>F4/$B4</f>
        <v>0.29095470704711718</v>
      </c>
      <c r="H4" s="113">
        <f>AVERAGEIFS(FORESTS[Net_Gain_%], FORESTS[Net_Gain], "=True")</f>
        <v>3.0878189060132653E-2</v>
      </c>
      <c r="I4" s="114">
        <f t="shared" ref="I4:I5" si="1">F4-D4</f>
        <v>122154.39999999967</v>
      </c>
      <c r="J4" s="117">
        <f>I4/D4</f>
        <v>7.0192040401301309E-2</v>
      </c>
      <c r="K4" s="114"/>
      <c r="L4" s="114"/>
      <c r="M4" s="114"/>
      <c r="N4" s="114"/>
      <c r="O4" s="114"/>
      <c r="P4" s="114"/>
      <c r="Q4" s="114"/>
      <c r="R4" s="114"/>
      <c r="S4" s="114"/>
      <c r="T4" s="114"/>
    </row>
    <row r="5" spans="1:48" ht="64" x14ac:dyDescent="0.2">
      <c r="A5" s="109" t="s">
        <v>369</v>
      </c>
      <c r="B5" s="114">
        <f>SUMIFS(FORESTS[Total_Land], FORESTS[Net_Gain], "=FALSE")</f>
        <v>6637403.0500019994</v>
      </c>
      <c r="C5" s="113">
        <f>B5/B3</f>
        <v>0.5090600338569925</v>
      </c>
      <c r="D5" s="114">
        <f>SUMIFS(FORESTS[Area_1990], FORESTS[Net_Gain], "=FALSE")</f>
        <v>2496144.9299999997</v>
      </c>
      <c r="E5" s="117">
        <f t="shared" si="0"/>
        <v>0.3760725258351228</v>
      </c>
      <c r="F5" s="114">
        <f>SUMIFS(FORESTS[Area_2020], FORESTS[Net_Gain], "=FALSE")</f>
        <v>2196487.9199999985</v>
      </c>
      <c r="G5" s="113">
        <f>F5/$B5</f>
        <v>0.33092580086715345</v>
      </c>
      <c r="H5" s="113">
        <f>AVERAGEIFS(FORESTS[Net_Gain_%], FORESTS[Net_Gain], "=False")</f>
        <v>-3.7960536775365129E-2</v>
      </c>
      <c r="I5" s="114">
        <f t="shared" si="1"/>
        <v>-299657.01000000117</v>
      </c>
      <c r="J5" s="117">
        <f>I5/D5</f>
        <v>-0.1200479212559189</v>
      </c>
      <c r="K5" s="114"/>
      <c r="L5" s="114"/>
      <c r="M5" s="114"/>
      <c r="N5" s="114"/>
      <c r="O5" s="114"/>
      <c r="P5" s="114"/>
      <c r="Q5" s="114"/>
      <c r="R5" s="114"/>
      <c r="S5" s="114"/>
      <c r="T5" s="114"/>
    </row>
    <row r="6" spans="1:48" x14ac:dyDescent="0.2">
      <c r="A6" s="76" t="s">
        <v>363</v>
      </c>
      <c r="B6" s="126">
        <f t="shared" ref="B6:I6" si="2">B4/B5</f>
        <v>0.96440485108073581</v>
      </c>
      <c r="C6" s="126">
        <f t="shared" si="2"/>
        <v>0.96440485108073593</v>
      </c>
      <c r="D6" s="127">
        <f t="shared" si="2"/>
        <v>0.69719048324649979</v>
      </c>
      <c r="E6" s="127">
        <f t="shared" si="2"/>
        <v>0.72292303638374589</v>
      </c>
      <c r="F6" s="115">
        <f t="shared" si="2"/>
        <v>0.84791856720067971</v>
      </c>
      <c r="G6" s="115">
        <f t="shared" si="2"/>
        <v>0.87921433229051171</v>
      </c>
      <c r="H6" s="115">
        <f t="shared" si="2"/>
        <v>-0.8134286731206436</v>
      </c>
      <c r="I6" s="115">
        <f t="shared" si="2"/>
        <v>-0.40764739660186555</v>
      </c>
      <c r="J6" s="117"/>
      <c r="K6" s="117"/>
      <c r="L6" s="117"/>
      <c r="M6" s="117"/>
      <c r="N6" s="114"/>
      <c r="O6" s="114"/>
      <c r="P6" s="118"/>
      <c r="Q6" s="117"/>
      <c r="R6" s="117"/>
      <c r="S6" s="117"/>
      <c r="T6" s="116"/>
    </row>
    <row r="7" spans="1:48" x14ac:dyDescent="0.2">
      <c r="B7" s="119"/>
      <c r="C7" s="116"/>
      <c r="D7" s="116"/>
      <c r="E7" s="116"/>
      <c r="F7" s="116"/>
      <c r="G7" s="116"/>
      <c r="H7" s="116"/>
      <c r="I7" s="117"/>
      <c r="J7" s="117"/>
      <c r="K7" s="117"/>
      <c r="L7" s="117"/>
      <c r="M7" s="117"/>
      <c r="N7" s="114"/>
      <c r="O7" s="114"/>
      <c r="P7" s="118"/>
      <c r="Q7" s="117"/>
      <c r="R7" s="117"/>
      <c r="S7" s="117"/>
      <c r="T7" s="116"/>
    </row>
    <row r="8" spans="1:48" ht="101" customHeight="1" x14ac:dyDescent="0.2">
      <c r="A8" s="27" t="s">
        <v>194</v>
      </c>
      <c r="B8" s="27" t="s">
        <v>256</v>
      </c>
      <c r="C8" s="59" t="s">
        <v>186</v>
      </c>
      <c r="D8" s="59" t="s">
        <v>188</v>
      </c>
      <c r="E8" s="59" t="s">
        <v>187</v>
      </c>
      <c r="F8" s="59" t="s">
        <v>189</v>
      </c>
      <c r="G8" s="59" t="s">
        <v>190</v>
      </c>
      <c r="H8" s="59" t="s">
        <v>196</v>
      </c>
      <c r="I8" s="52" t="s">
        <v>278</v>
      </c>
      <c r="J8" s="52" t="s">
        <v>277</v>
      </c>
      <c r="K8" s="52" t="s">
        <v>276</v>
      </c>
      <c r="L8" s="52" t="s">
        <v>275</v>
      </c>
      <c r="M8" s="52" t="s">
        <v>274</v>
      </c>
      <c r="N8" s="72" t="s">
        <v>325</v>
      </c>
      <c r="O8" s="72" t="s">
        <v>326</v>
      </c>
      <c r="P8" s="101" t="s">
        <v>322</v>
      </c>
      <c r="Q8" s="52" t="s">
        <v>279</v>
      </c>
      <c r="R8" s="52" t="s">
        <v>356</v>
      </c>
      <c r="S8" s="52" t="s">
        <v>287</v>
      </c>
      <c r="T8" s="42" t="s">
        <v>292</v>
      </c>
      <c r="U8" s="42" t="s">
        <v>273</v>
      </c>
      <c r="V8" s="41" t="s">
        <v>248</v>
      </c>
      <c r="W8" s="40" t="s">
        <v>249</v>
      </c>
      <c r="X8" s="56" t="s">
        <v>378</v>
      </c>
      <c r="Y8" s="56" t="s">
        <v>380</v>
      </c>
      <c r="Z8" s="56" t="s">
        <v>284</v>
      </c>
      <c r="AA8" s="56" t="s">
        <v>285</v>
      </c>
      <c r="AB8" s="56" t="s">
        <v>379</v>
      </c>
      <c r="AC8" s="56"/>
      <c r="AD8" s="56" t="s">
        <v>384</v>
      </c>
      <c r="AE8" s="44" t="s">
        <v>288</v>
      </c>
      <c r="AF8" s="44" t="s">
        <v>289</v>
      </c>
      <c r="AG8" s="44" t="s">
        <v>290</v>
      </c>
      <c r="AH8" s="44" t="s">
        <v>291</v>
      </c>
      <c r="AI8" s="28" t="s">
        <v>382</v>
      </c>
    </row>
    <row r="9" spans="1:48" ht="24" customHeight="1" x14ac:dyDescent="0.2">
      <c r="A9" s="64"/>
      <c r="B9" s="64" t="s">
        <v>195</v>
      </c>
      <c r="C9" s="65" t="s">
        <v>191</v>
      </c>
      <c r="D9" s="65" t="s">
        <v>191</v>
      </c>
      <c r="E9" s="65" t="s">
        <v>191</v>
      </c>
      <c r="F9" s="65" t="s">
        <v>191</v>
      </c>
      <c r="G9" s="65" t="s">
        <v>191</v>
      </c>
      <c r="H9" s="65" t="s">
        <v>191</v>
      </c>
      <c r="I9" s="66" t="s">
        <v>193</v>
      </c>
      <c r="J9" s="66" t="s">
        <v>193</v>
      </c>
      <c r="K9" s="53" t="s">
        <v>193</v>
      </c>
      <c r="L9" s="53" t="s">
        <v>193</v>
      </c>
      <c r="M9" s="53" t="s">
        <v>193</v>
      </c>
      <c r="N9" s="73" t="s">
        <v>191</v>
      </c>
      <c r="O9" s="73" t="s">
        <v>191</v>
      </c>
      <c r="P9" s="102" t="s">
        <v>193</v>
      </c>
      <c r="Q9" s="53" t="s">
        <v>280</v>
      </c>
      <c r="R9" s="53" t="s">
        <v>191</v>
      </c>
      <c r="S9" s="53"/>
      <c r="T9" s="47" t="s">
        <v>281</v>
      </c>
      <c r="U9" s="47" t="s">
        <v>193</v>
      </c>
      <c r="V9" s="29" t="s">
        <v>192</v>
      </c>
      <c r="W9" s="29" t="s">
        <v>191</v>
      </c>
      <c r="X9" s="57" t="s">
        <v>191</v>
      </c>
      <c r="Y9" s="57" t="s">
        <v>191</v>
      </c>
      <c r="Z9" s="57" t="s">
        <v>191</v>
      </c>
      <c r="AA9" s="57" t="s">
        <v>191</v>
      </c>
      <c r="AB9" s="57" t="s">
        <v>191</v>
      </c>
      <c r="AC9" s="57"/>
      <c r="AD9" s="57" t="s">
        <v>191</v>
      </c>
      <c r="AE9" s="57" t="s">
        <v>191</v>
      </c>
      <c r="AF9" s="57" t="s">
        <v>191</v>
      </c>
      <c r="AG9" s="57" t="s">
        <v>191</v>
      </c>
    </row>
    <row r="10" spans="1:48" ht="24" customHeight="1" x14ac:dyDescent="0.2">
      <c r="A10" s="67" t="s">
        <v>293</v>
      </c>
      <c r="B10" s="67" t="s">
        <v>294</v>
      </c>
      <c r="C10" s="68" t="s">
        <v>295</v>
      </c>
      <c r="D10" s="68" t="s">
        <v>296</v>
      </c>
      <c r="E10" s="68" t="s">
        <v>297</v>
      </c>
      <c r="F10" s="68" t="s">
        <v>298</v>
      </c>
      <c r="G10" s="68" t="s">
        <v>299</v>
      </c>
      <c r="H10" s="68" t="s">
        <v>300</v>
      </c>
      <c r="I10" s="69" t="s">
        <v>301</v>
      </c>
      <c r="J10" s="69" t="s">
        <v>302</v>
      </c>
      <c r="K10" s="69" t="s">
        <v>303</v>
      </c>
      <c r="L10" s="69" t="s">
        <v>304</v>
      </c>
      <c r="M10" s="69" t="s">
        <v>305</v>
      </c>
      <c r="N10" s="74" t="s">
        <v>324</v>
      </c>
      <c r="O10" s="74" t="s">
        <v>327</v>
      </c>
      <c r="P10" s="103" t="s">
        <v>323</v>
      </c>
      <c r="Q10" s="60" t="s">
        <v>306</v>
      </c>
      <c r="R10" s="60" t="s">
        <v>307</v>
      </c>
      <c r="S10" s="60" t="s">
        <v>308</v>
      </c>
      <c r="T10" s="61" t="s">
        <v>292</v>
      </c>
      <c r="U10" s="61" t="s">
        <v>309</v>
      </c>
      <c r="V10" s="55" t="s">
        <v>310</v>
      </c>
      <c r="W10" s="55" t="s">
        <v>311</v>
      </c>
      <c r="X10" s="57" t="s">
        <v>328</v>
      </c>
      <c r="Y10" s="57" t="s">
        <v>329</v>
      </c>
      <c r="Z10" s="57" t="s">
        <v>312</v>
      </c>
      <c r="AA10" s="57" t="s">
        <v>313</v>
      </c>
      <c r="AB10" s="57" t="s">
        <v>330</v>
      </c>
      <c r="AC10" s="57" t="s">
        <v>383</v>
      </c>
      <c r="AD10" s="28" t="s">
        <v>317</v>
      </c>
      <c r="AE10" s="28" t="s">
        <v>318</v>
      </c>
      <c r="AF10" s="28" t="s">
        <v>319</v>
      </c>
      <c r="AG10" s="28" t="s">
        <v>320</v>
      </c>
    </row>
    <row r="11" spans="1:48" ht="24" customHeight="1" x14ac:dyDescent="0.2">
      <c r="A11" s="28">
        <v>630</v>
      </c>
      <c r="B11" s="28" t="s">
        <v>134</v>
      </c>
      <c r="C11" s="30">
        <v>320.33</v>
      </c>
      <c r="D11" s="30">
        <v>429.15</v>
      </c>
      <c r="E11" s="30">
        <v>491.45</v>
      </c>
      <c r="F11" s="30">
        <v>493.88</v>
      </c>
      <c r="G11" s="30">
        <v>496.33</v>
      </c>
      <c r="H11" s="30">
        <v>887</v>
      </c>
      <c r="I11" s="54">
        <f>C11/$H11</f>
        <v>0.36113866967305525</v>
      </c>
      <c r="J11" s="54">
        <f>D11/$H11</f>
        <v>0.48382187147688838</v>
      </c>
      <c r="K11" s="54">
        <f>E11/$H11</f>
        <v>0.55405862457722654</v>
      </c>
      <c r="L11" s="54">
        <f>F11/$H11</f>
        <v>0.55679819616685455</v>
      </c>
      <c r="M11" s="54">
        <f>G11/$H11</f>
        <v>0.55956031567080045</v>
      </c>
      <c r="N11" s="51">
        <f>FORESTS[[#This Row],[Area_2020]]-FORESTS[[#This Row],[Area_1990]]</f>
        <v>176</v>
      </c>
      <c r="O11" s="51">
        <f>ABS(FORESTS[[#This Row],[Area_Delta]])</f>
        <v>176</v>
      </c>
      <c r="P11" s="104">
        <f>FORESTS[[#This Row],[Area_2020_%]]-FORESTS[[#This Row],[Area_1990_%]]</f>
        <v>0.1984216459977452</v>
      </c>
      <c r="Q11" s="54" t="b">
        <f>IF(G11&gt;C11, TRUE, FALSE)</f>
        <v>1</v>
      </c>
      <c r="R11" s="51">
        <f>IF(Q11=TRUE,G11-C11,0)</f>
        <v>176</v>
      </c>
      <c r="S11" s="51">
        <f>IF(Q11=TRUE,0,C11-G11)</f>
        <v>0</v>
      </c>
      <c r="T11" s="48">
        <f>IF(J11&lt;I11,1,0)+IF(K11&lt;J11,1,0)+IF(L11&lt;K11,1,0)+IF(M11&lt;L11,1,0)</f>
        <v>0</v>
      </c>
      <c r="U11" s="48">
        <v>55.96</v>
      </c>
      <c r="V11" s="30" t="s">
        <v>247</v>
      </c>
      <c r="W11" s="30" t="s">
        <v>247</v>
      </c>
      <c r="X11" s="38">
        <f>D11-C11</f>
        <v>108.82</v>
      </c>
      <c r="Y11" s="38">
        <f>E11-D11</f>
        <v>62.300000000000011</v>
      </c>
      <c r="Z11" s="38">
        <f>F11-E11</f>
        <v>2.4300000000000068</v>
      </c>
      <c r="AA11" s="38">
        <f>G11-F11</f>
        <v>2.4499999999999886</v>
      </c>
      <c r="AB11" s="38">
        <f>FORESTS[[#This Row],[Column7]]+FORESTS[[#This Row],[Column8]]</f>
        <v>4.8799999999999955</v>
      </c>
      <c r="AD11" s="63">
        <f>(D11-C11)/10</f>
        <v>10.882</v>
      </c>
      <c r="AE11" s="63">
        <f>(E11-D11)/10</f>
        <v>6.2300000000000013</v>
      </c>
      <c r="AF11" s="63">
        <f>(F11-E11)/5</f>
        <v>0.48600000000000138</v>
      </c>
      <c r="AG11" s="63">
        <f>(G11-F11)/5</f>
        <v>0.48999999999999772</v>
      </c>
      <c r="AH11" s="28">
        <v>1</v>
      </c>
      <c r="AJ11" s="28">
        <v>1</v>
      </c>
    </row>
    <row r="12" spans="1:48" x14ac:dyDescent="0.2">
      <c r="A12" s="28">
        <v>704</v>
      </c>
      <c r="B12" s="28" t="s">
        <v>182</v>
      </c>
      <c r="C12" s="38">
        <v>9375.9599999999991</v>
      </c>
      <c r="D12" s="38">
        <v>11784.1</v>
      </c>
      <c r="E12" s="38">
        <v>13388.06</v>
      </c>
      <c r="F12" s="38">
        <v>14061.86</v>
      </c>
      <c r="G12" s="38">
        <v>14643.09</v>
      </c>
      <c r="H12" s="38">
        <v>31007</v>
      </c>
      <c r="I12" s="54">
        <f>C12/$H12</f>
        <v>0.30238204276453701</v>
      </c>
      <c r="J12" s="54">
        <f>D12/$H12</f>
        <v>0.38004644112619734</v>
      </c>
      <c r="K12" s="54">
        <f>E12/$H12</f>
        <v>0.43177540555358468</v>
      </c>
      <c r="L12" s="54">
        <f>F12/$H12</f>
        <v>0.45350598252007612</v>
      </c>
      <c r="M12" s="54">
        <f>G12/$H12</f>
        <v>0.47225110458928632</v>
      </c>
      <c r="N12" s="51">
        <f>FORESTS[[#This Row],[Area_2020]]-FORESTS[[#This Row],[Area_1990]]</f>
        <v>5267.130000000001</v>
      </c>
      <c r="O12" s="51">
        <f>ABS(FORESTS[[#This Row],[Area_Delta]])</f>
        <v>5267.130000000001</v>
      </c>
      <c r="P12" s="104">
        <f>FORESTS[[#This Row],[Area_2020_%]]-FORESTS[[#This Row],[Area_1990_%]]</f>
        <v>0.16986906182474931</v>
      </c>
      <c r="Q12" s="48" t="b">
        <f>IF(G12&gt;C12, TRUE, FALSE)</f>
        <v>1</v>
      </c>
      <c r="R12" s="51">
        <f>IF(Q12=TRUE,G12-C12,0)</f>
        <v>5267.130000000001</v>
      </c>
      <c r="S12" s="51">
        <f>IF(Q12=TRUE,0,C12-G12)</f>
        <v>0</v>
      </c>
      <c r="T12" s="62">
        <f>IF(J12&lt;I12,1,0)+IF(K12&lt;J12,1,0)+IF(L12&lt;K12,1,0)+IF(M12&lt;L12,1,0)</f>
        <v>0</v>
      </c>
      <c r="U12" s="43">
        <v>47.23</v>
      </c>
      <c r="V12" s="30">
        <v>1.59</v>
      </c>
      <c r="W12" s="38" t="s">
        <v>247</v>
      </c>
      <c r="X12" s="38">
        <f>D12-C12</f>
        <v>2408.1400000000012</v>
      </c>
      <c r="Y12" s="38">
        <f>E12-D12</f>
        <v>1603.9599999999991</v>
      </c>
      <c r="Z12" s="38">
        <f>F12-E12</f>
        <v>673.80000000000109</v>
      </c>
      <c r="AA12" s="38">
        <f>G12-F12</f>
        <v>581.22999999999956</v>
      </c>
      <c r="AB12" s="38">
        <f>FORESTS[[#This Row],[Column7]]+FORESTS[[#This Row],[Column8]]</f>
        <v>1255.0300000000007</v>
      </c>
      <c r="AD12" s="63">
        <f>(D12-C12)/10</f>
        <v>240.81400000000014</v>
      </c>
      <c r="AE12" s="63">
        <f>(E12-D12)/10</f>
        <v>160.3959999999999</v>
      </c>
      <c r="AF12" s="63">
        <f>(F12-E12)/5</f>
        <v>134.76000000000022</v>
      </c>
      <c r="AG12" s="63">
        <f>(G12-F12)/5</f>
        <v>116.24599999999991</v>
      </c>
    </row>
    <row r="13" spans="1:48" x14ac:dyDescent="0.2">
      <c r="A13" s="28">
        <v>499</v>
      </c>
      <c r="B13" s="28" t="s">
        <v>110</v>
      </c>
      <c r="C13" s="30">
        <v>626</v>
      </c>
      <c r="D13" s="30">
        <v>626</v>
      </c>
      <c r="E13" s="30">
        <v>827</v>
      </c>
      <c r="F13" s="30">
        <v>827</v>
      </c>
      <c r="G13" s="30">
        <v>827</v>
      </c>
      <c r="H13" s="30">
        <v>1345</v>
      </c>
      <c r="I13" s="54">
        <f>C13/$H13</f>
        <v>0.46542750929368032</v>
      </c>
      <c r="J13" s="54">
        <f>D13/$H13</f>
        <v>0.46542750929368032</v>
      </c>
      <c r="K13" s="54">
        <f>E13/$H13</f>
        <v>0.61486988847583646</v>
      </c>
      <c r="L13" s="54">
        <f>F13/$H13</f>
        <v>0.61486988847583646</v>
      </c>
      <c r="M13" s="54">
        <f>G13/$H13</f>
        <v>0.61486988847583646</v>
      </c>
      <c r="N13" s="51">
        <f>FORESTS[[#This Row],[Area_2020]]-FORESTS[[#This Row],[Area_1990]]</f>
        <v>201</v>
      </c>
      <c r="O13" s="51">
        <f>ABS(FORESTS[[#This Row],[Area_Delta]])</f>
        <v>201</v>
      </c>
      <c r="P13" s="104">
        <f>FORESTS[[#This Row],[Area_2020_%]]-FORESTS[[#This Row],[Area_1990_%]]</f>
        <v>0.14944237918215614</v>
      </c>
      <c r="Q13" s="54" t="b">
        <f>IF(G13&gt;C13, TRUE, FALSE)</f>
        <v>1</v>
      </c>
      <c r="R13" s="51">
        <f>IF(Q13=TRUE,G13-C13,0)</f>
        <v>201</v>
      </c>
      <c r="S13" s="51">
        <f>IF(Q13=TRUE,0,C13-G13)</f>
        <v>0</v>
      </c>
      <c r="T13" s="48">
        <f>IF(J13&lt;I13,1,0)+IF(K13&lt;J13,1,0)+IF(L13&lt;K13,1,0)+IF(M13&lt;L13,1,0)</f>
        <v>0</v>
      </c>
      <c r="U13" s="48">
        <v>61.49</v>
      </c>
      <c r="V13" s="30">
        <v>12</v>
      </c>
      <c r="W13" s="30">
        <v>2.34</v>
      </c>
      <c r="X13" s="38">
        <f>D13-C13</f>
        <v>0</v>
      </c>
      <c r="Y13" s="38">
        <f>E13-D13</f>
        <v>201</v>
      </c>
      <c r="Z13" s="38">
        <f>F13-E13</f>
        <v>0</v>
      </c>
      <c r="AA13" s="38">
        <f>G13-F13</f>
        <v>0</v>
      </c>
      <c r="AB13" s="38">
        <f>FORESTS[[#This Row],[Column7]]+FORESTS[[#This Row],[Column8]]</f>
        <v>0</v>
      </c>
      <c r="AD13" s="63">
        <f>(D13-C13)/10</f>
        <v>0</v>
      </c>
      <c r="AE13" s="63">
        <f>(E13-D13)/10</f>
        <v>20.100000000000001</v>
      </c>
      <c r="AF13" s="63">
        <f>(F13-E13)/5</f>
        <v>0</v>
      </c>
      <c r="AG13" s="63">
        <f>(G13-F13)/5</f>
        <v>0</v>
      </c>
      <c r="AJ13" s="28">
        <v>2</v>
      </c>
      <c r="AL13" s="28">
        <f>SUMSQ(AJ11:AJ16)</f>
        <v>30</v>
      </c>
      <c r="AT13" s="28">
        <v>1</v>
      </c>
      <c r="AU13" s="28">
        <v>2</v>
      </c>
      <c r="AV13" s="28">
        <v>3</v>
      </c>
    </row>
    <row r="14" spans="1:48" x14ac:dyDescent="0.2">
      <c r="A14" s="28">
        <v>192</v>
      </c>
      <c r="B14" s="28" t="s">
        <v>39</v>
      </c>
      <c r="C14" s="38">
        <v>2058</v>
      </c>
      <c r="D14" s="38">
        <v>2435</v>
      </c>
      <c r="E14" s="38">
        <v>2932</v>
      </c>
      <c r="F14" s="38">
        <v>3184</v>
      </c>
      <c r="G14" s="38">
        <v>3242</v>
      </c>
      <c r="H14" s="38">
        <v>10402</v>
      </c>
      <c r="I14" s="54">
        <f>C14/$H14</f>
        <v>0.19784656796769853</v>
      </c>
      <c r="J14" s="54">
        <f>D14/$H14</f>
        <v>0.23408959815420111</v>
      </c>
      <c r="K14" s="54">
        <f>E14/$H14</f>
        <v>0.28186887137089023</v>
      </c>
      <c r="L14" s="54">
        <f>F14/$H14</f>
        <v>0.30609498173428185</v>
      </c>
      <c r="M14" s="54">
        <f>G14/$H14</f>
        <v>0.31167083253220534</v>
      </c>
      <c r="N14" s="51">
        <f>FORESTS[[#This Row],[Area_2020]]-FORESTS[[#This Row],[Area_1990]]</f>
        <v>1184</v>
      </c>
      <c r="O14" s="51">
        <f>ABS(FORESTS[[#This Row],[Area_Delta]])</f>
        <v>1184</v>
      </c>
      <c r="P14" s="104">
        <f>FORESTS[[#This Row],[Area_2020_%]]-FORESTS[[#This Row],[Area_1990_%]]</f>
        <v>0.11382426456450681</v>
      </c>
      <c r="Q14" s="48" t="b">
        <f>IF(G14&gt;C14, TRUE, FALSE)</f>
        <v>1</v>
      </c>
      <c r="R14" s="51">
        <f>IF(Q14=TRUE,G14-C14,0)</f>
        <v>1184</v>
      </c>
      <c r="S14" s="51">
        <f>IF(Q14=TRUE,0,C14-G14)</f>
        <v>0</v>
      </c>
      <c r="T14" s="48">
        <f>IF(J14&lt;I14,1,0)+IF(K14&lt;J14,1,0)+IF(L14&lt;K14,1,0)+IF(M14&lt;L14,1,0)</f>
        <v>0</v>
      </c>
      <c r="U14" s="43">
        <v>31.17</v>
      </c>
      <c r="V14" s="30">
        <v>0</v>
      </c>
      <c r="W14" s="38">
        <v>8.39</v>
      </c>
      <c r="X14" s="38">
        <f>D14-C14</f>
        <v>377</v>
      </c>
      <c r="Y14" s="38">
        <f>E14-D14</f>
        <v>497</v>
      </c>
      <c r="Z14" s="38">
        <f>F14-E14</f>
        <v>252</v>
      </c>
      <c r="AA14" s="38">
        <f>G14-F14</f>
        <v>58</v>
      </c>
      <c r="AB14" s="38">
        <f>FORESTS[[#This Row],[Column7]]+FORESTS[[#This Row],[Column8]]</f>
        <v>310</v>
      </c>
      <c r="AD14" s="63">
        <f>(D14-C14)/10</f>
        <v>37.700000000000003</v>
      </c>
      <c r="AE14" s="63">
        <f>(E14-D14)/10</f>
        <v>49.7</v>
      </c>
      <c r="AF14" s="63">
        <f>(F14-E14)/5</f>
        <v>50.4</v>
      </c>
      <c r="AG14" s="63">
        <f>(G14-F14)/5</f>
        <v>11.6</v>
      </c>
    </row>
    <row r="15" spans="1:48" x14ac:dyDescent="0.2">
      <c r="A15" s="28">
        <v>214</v>
      </c>
      <c r="B15" s="28" t="s">
        <v>46</v>
      </c>
      <c r="C15" s="30">
        <v>1594.89</v>
      </c>
      <c r="D15" s="30">
        <v>1972.47</v>
      </c>
      <c r="E15" s="30">
        <v>2073.12</v>
      </c>
      <c r="F15" s="30">
        <v>2103.65</v>
      </c>
      <c r="G15" s="30">
        <v>2144.1</v>
      </c>
      <c r="H15" s="30">
        <v>4831</v>
      </c>
      <c r="I15" s="54">
        <f>C15/$H15</f>
        <v>0.33013661767749952</v>
      </c>
      <c r="J15" s="54">
        <f>D15/$H15</f>
        <v>0.40829434899606709</v>
      </c>
      <c r="K15" s="54">
        <f>E15/$H15</f>
        <v>0.42912854481473811</v>
      </c>
      <c r="L15" s="54">
        <f>F15/$H15</f>
        <v>0.43544814738149451</v>
      </c>
      <c r="M15" s="54">
        <f>G15/$H15</f>
        <v>0.44382115504036429</v>
      </c>
      <c r="N15" s="51">
        <f>FORESTS[[#This Row],[Area_2020]]-FORESTS[[#This Row],[Area_1990]]</f>
        <v>549.20999999999981</v>
      </c>
      <c r="O15" s="51">
        <f>ABS(FORESTS[[#This Row],[Area_Delta]])</f>
        <v>549.20999999999981</v>
      </c>
      <c r="P15" s="104">
        <f>FORESTS[[#This Row],[Area_2020_%]]-FORESTS[[#This Row],[Area_1990_%]]</f>
        <v>0.11368453736286477</v>
      </c>
      <c r="Q15" s="48" t="b">
        <f>IF(G15&gt;C15, TRUE, FALSE)</f>
        <v>1</v>
      </c>
      <c r="R15" s="51">
        <f>IF(Q15=TRUE,G15-C15,0)</f>
        <v>549.20999999999981</v>
      </c>
      <c r="S15" s="51">
        <f>IF(Q15=TRUE,0,C15-G15)</f>
        <v>0</v>
      </c>
      <c r="T15" s="48">
        <f>IF(J15&lt;I15,1,0)+IF(K15&lt;J15,1,0)+IF(L15&lt;K15,1,0)+IF(M15&lt;L15,1,0)</f>
        <v>0</v>
      </c>
      <c r="U15" s="48">
        <v>44.38</v>
      </c>
      <c r="V15" s="30" t="s">
        <v>247</v>
      </c>
      <c r="W15" s="30">
        <v>11.6</v>
      </c>
      <c r="X15" s="38">
        <f>D15-C15</f>
        <v>377.57999999999993</v>
      </c>
      <c r="Y15" s="38">
        <f>E15-D15</f>
        <v>100.64999999999986</v>
      </c>
      <c r="Z15" s="38">
        <f>F15-E15</f>
        <v>30.5300000000002</v>
      </c>
      <c r="AA15" s="38">
        <f>G15-F15</f>
        <v>40.449999999999818</v>
      </c>
      <c r="AB15" s="38">
        <f>FORESTS[[#This Row],[Column7]]+FORESTS[[#This Row],[Column8]]</f>
        <v>70.980000000000018</v>
      </c>
      <c r="AD15" s="63">
        <f>(D15-C15)/10</f>
        <v>37.757999999999996</v>
      </c>
      <c r="AE15" s="63">
        <f>(E15-D15)/10</f>
        <v>10.064999999999987</v>
      </c>
      <c r="AF15" s="63">
        <f>(F15-E15)/5</f>
        <v>6.1060000000000398</v>
      </c>
      <c r="AG15" s="63">
        <f>(G15-F15)/5</f>
        <v>8.0899999999999643</v>
      </c>
      <c r="AJ15" s="28">
        <v>3</v>
      </c>
      <c r="AT15" s="28">
        <v>4</v>
      </c>
      <c r="AU15" s="28">
        <v>5</v>
      </c>
      <c r="AV15" s="28">
        <v>6</v>
      </c>
    </row>
    <row r="16" spans="1:48" x14ac:dyDescent="0.2">
      <c r="A16" s="28">
        <v>242</v>
      </c>
      <c r="B16" s="28" t="s">
        <v>55</v>
      </c>
      <c r="C16" s="30">
        <v>939.69</v>
      </c>
      <c r="D16" s="30">
        <v>1006.47</v>
      </c>
      <c r="E16" s="30">
        <v>1073.24</v>
      </c>
      <c r="F16" s="30">
        <v>1106.6199999999999</v>
      </c>
      <c r="G16" s="30">
        <v>1140.02</v>
      </c>
      <c r="H16" s="30">
        <v>1827</v>
      </c>
      <c r="I16" s="54">
        <f>C16/$H16</f>
        <v>0.51433497536945816</v>
      </c>
      <c r="J16" s="54">
        <f>D16/$H16</f>
        <v>0.55088669950738922</v>
      </c>
      <c r="K16" s="54">
        <f>E16/$H16</f>
        <v>0.58743295019157094</v>
      </c>
      <c r="L16" s="54">
        <f>F16/$H16</f>
        <v>0.60570333880678706</v>
      </c>
      <c r="M16" s="54">
        <f>G16/$H16</f>
        <v>0.62398467432950189</v>
      </c>
      <c r="N16" s="51">
        <f>FORESTS[[#This Row],[Area_2020]]-FORESTS[[#This Row],[Area_1990]]</f>
        <v>200.32999999999993</v>
      </c>
      <c r="O16" s="51">
        <f>ABS(FORESTS[[#This Row],[Area_Delta]])</f>
        <v>200.32999999999993</v>
      </c>
      <c r="P16" s="104">
        <f>FORESTS[[#This Row],[Area_2020_%]]-FORESTS[[#This Row],[Area_1990_%]]</f>
        <v>0.10964969896004373</v>
      </c>
      <c r="Q16" s="54" t="b">
        <f>IF(G16&gt;C16, TRUE, FALSE)</f>
        <v>1</v>
      </c>
      <c r="R16" s="51">
        <f>IF(Q16=TRUE,G16-C16,0)</f>
        <v>200.32999999999993</v>
      </c>
      <c r="S16" s="51">
        <f>IF(Q16=TRUE,0,C16-G16)</f>
        <v>0</v>
      </c>
      <c r="T16" s="48">
        <f>IF(J16&lt;I16,1,0)+IF(K16&lt;J16,1,0)+IF(L16&lt;K16,1,0)+IF(M16&lt;L16,1,0)</f>
        <v>0</v>
      </c>
      <c r="U16" s="48">
        <v>62.4</v>
      </c>
      <c r="V16" s="30" t="s">
        <v>247</v>
      </c>
      <c r="W16" s="30" t="s">
        <v>247</v>
      </c>
      <c r="X16" s="38">
        <f>D16-C16</f>
        <v>66.779999999999973</v>
      </c>
      <c r="Y16" s="38">
        <f>E16-D16</f>
        <v>66.769999999999982</v>
      </c>
      <c r="Z16" s="38">
        <f>F16-E16</f>
        <v>33.379999999999882</v>
      </c>
      <c r="AA16" s="38">
        <f>G16-F16</f>
        <v>33.400000000000091</v>
      </c>
      <c r="AB16" s="38">
        <f>FORESTS[[#This Row],[Column7]]+FORESTS[[#This Row],[Column8]]</f>
        <v>66.779999999999973</v>
      </c>
      <c r="AD16" s="63">
        <f>(D16-C16)/10</f>
        <v>6.6779999999999973</v>
      </c>
      <c r="AE16" s="63">
        <f>(E16-D16)/10</f>
        <v>6.6769999999999978</v>
      </c>
      <c r="AF16" s="63">
        <f>(F16-E16)/5</f>
        <v>6.6759999999999762</v>
      </c>
      <c r="AG16" s="63">
        <f>(G16-F16)/5</f>
        <v>6.6800000000000184</v>
      </c>
      <c r="AJ16" s="28">
        <v>4</v>
      </c>
      <c r="AT16" s="28">
        <v>7</v>
      </c>
      <c r="AU16" s="28">
        <v>8</v>
      </c>
      <c r="AV16" s="28">
        <v>9</v>
      </c>
    </row>
    <row r="17" spans="1:48" x14ac:dyDescent="0.2">
      <c r="A17" s="28">
        <v>724</v>
      </c>
      <c r="B17" s="28" t="s">
        <v>155</v>
      </c>
      <c r="C17" s="38">
        <v>13904.66</v>
      </c>
      <c r="D17" s="38">
        <v>17093.93</v>
      </c>
      <c r="E17" s="38">
        <v>18545.34</v>
      </c>
      <c r="F17" s="38">
        <v>18551.18</v>
      </c>
      <c r="G17" s="38">
        <v>18572.169999999998</v>
      </c>
      <c r="H17" s="38">
        <v>49966.1</v>
      </c>
      <c r="I17" s="54">
        <f>C17/$H17</f>
        <v>0.27828187511132546</v>
      </c>
      <c r="J17" s="54">
        <f>D17/$H17</f>
        <v>0.34211055095354653</v>
      </c>
      <c r="K17" s="54">
        <f>E17/$H17</f>
        <v>0.37115844542599885</v>
      </c>
      <c r="L17" s="54">
        <f>F17/$H17</f>
        <v>0.37127532467012636</v>
      </c>
      <c r="M17" s="54">
        <f>G17/$H17</f>
        <v>0.37169540948763258</v>
      </c>
      <c r="N17" s="51">
        <f>FORESTS[[#This Row],[Area_2020]]-FORESTS[[#This Row],[Area_1990]]</f>
        <v>4667.5099999999984</v>
      </c>
      <c r="O17" s="51">
        <f>ABS(FORESTS[[#This Row],[Area_Delta]])</f>
        <v>4667.5099999999984</v>
      </c>
      <c r="P17" s="104">
        <f>FORESTS[[#This Row],[Area_2020_%]]-FORESTS[[#This Row],[Area_1990_%]]</f>
        <v>9.3413534376307117E-2</v>
      </c>
      <c r="Q17" s="48" t="b">
        <f>IF(G17&gt;C17, TRUE, FALSE)</f>
        <v>1</v>
      </c>
      <c r="R17" s="51">
        <f>IF(Q17=TRUE,G17-C17,0)</f>
        <v>4667.5099999999984</v>
      </c>
      <c r="S17" s="51">
        <f>IF(Q17=TRUE,0,C17-G17)</f>
        <v>0</v>
      </c>
      <c r="T17" s="62">
        <f>IF(J17&lt;I17,1,0)+IF(K17&lt;J17,1,0)+IF(L17&lt;K17,1,0)+IF(M17&lt;L17,1,0)</f>
        <v>0</v>
      </c>
      <c r="U17" s="43">
        <v>37.17</v>
      </c>
      <c r="V17" s="30">
        <v>3.74</v>
      </c>
      <c r="W17" s="38">
        <v>32.880000000000003</v>
      </c>
      <c r="X17" s="38">
        <f>D17-C17</f>
        <v>3189.2700000000004</v>
      </c>
      <c r="Y17" s="38">
        <f>E17-D17</f>
        <v>1451.4099999999999</v>
      </c>
      <c r="Z17" s="38">
        <f>F17-E17</f>
        <v>5.8400000000001455</v>
      </c>
      <c r="AA17" s="38">
        <f>G17-F17</f>
        <v>20.989999999997963</v>
      </c>
      <c r="AB17" s="38">
        <f>FORESTS[[#This Row],[Column7]]+FORESTS[[#This Row],[Column8]]</f>
        <v>26.829999999998108</v>
      </c>
      <c r="AD17" s="63">
        <f>(D17-C17)/10</f>
        <v>318.92700000000002</v>
      </c>
      <c r="AE17" s="63">
        <f>(E17-D17)/10</f>
        <v>145.14099999999999</v>
      </c>
      <c r="AF17" s="63">
        <f>(F17-E17)/5</f>
        <v>1.168000000000029</v>
      </c>
      <c r="AG17" s="63">
        <f>(G17-F17)/5</f>
        <v>4.1979999999995927</v>
      </c>
    </row>
    <row r="18" spans="1:48" x14ac:dyDescent="0.2">
      <c r="A18" s="28">
        <v>132</v>
      </c>
      <c r="B18" s="28" t="s">
        <v>25</v>
      </c>
      <c r="C18" s="30">
        <v>15.38</v>
      </c>
      <c r="D18" s="30">
        <v>39.72</v>
      </c>
      <c r="E18" s="30">
        <v>42.72</v>
      </c>
      <c r="F18" s="30">
        <v>44.22</v>
      </c>
      <c r="G18" s="30">
        <v>45.72</v>
      </c>
      <c r="H18" s="30">
        <v>403</v>
      </c>
      <c r="I18" s="54">
        <f>C18/$H18</f>
        <v>3.816377171215881E-2</v>
      </c>
      <c r="J18" s="54">
        <f>D18/$H18</f>
        <v>9.8560794044665015E-2</v>
      </c>
      <c r="K18" s="54">
        <f>E18/$H18</f>
        <v>0.10600496277915633</v>
      </c>
      <c r="L18" s="54">
        <f>F18/$H18</f>
        <v>0.10972704714640198</v>
      </c>
      <c r="M18" s="54">
        <f>G18/$H18</f>
        <v>0.11344913151364763</v>
      </c>
      <c r="N18" s="51">
        <f>FORESTS[[#This Row],[Area_2020]]-FORESTS[[#This Row],[Area_1990]]</f>
        <v>30.339999999999996</v>
      </c>
      <c r="O18" s="51">
        <f>ABS(FORESTS[[#This Row],[Area_Delta]])</f>
        <v>30.339999999999996</v>
      </c>
      <c r="P18" s="104">
        <f>FORESTS[[#This Row],[Area_2020_%]]-FORESTS[[#This Row],[Area_1990_%]]</f>
        <v>7.5285359801488816E-2</v>
      </c>
      <c r="Q18" s="54" t="b">
        <f>IF(G18&gt;C18, TRUE, FALSE)</f>
        <v>1</v>
      </c>
      <c r="R18" s="51">
        <f>IF(Q18=TRUE,G18-C18,0)</f>
        <v>30.339999999999996</v>
      </c>
      <c r="S18" s="51">
        <f>IF(Q18=TRUE,0,C18-G18)</f>
        <v>0</v>
      </c>
      <c r="T18" s="48">
        <f>IF(J18&lt;I18,1,0)+IF(K18&lt;J18,1,0)+IF(L18&lt;K18,1,0)+IF(M18&lt;L18,1,0)</f>
        <v>0</v>
      </c>
      <c r="U18" s="48">
        <v>11.34</v>
      </c>
      <c r="V18" s="30">
        <v>0.82</v>
      </c>
      <c r="W18" s="30">
        <v>0.8</v>
      </c>
      <c r="X18" s="38">
        <f>D18-C18</f>
        <v>24.339999999999996</v>
      </c>
      <c r="Y18" s="38">
        <f>E18-D18</f>
        <v>3</v>
      </c>
      <c r="Z18" s="38">
        <f>F18-E18</f>
        <v>1.5</v>
      </c>
      <c r="AA18" s="38">
        <f>G18-F18</f>
        <v>1.5</v>
      </c>
      <c r="AB18" s="38">
        <f>FORESTS[[#This Row],[Column7]]+FORESTS[[#This Row],[Column8]]</f>
        <v>3</v>
      </c>
      <c r="AD18" s="63">
        <f>(D18-C18)/10</f>
        <v>2.4339999999999997</v>
      </c>
      <c r="AE18" s="63">
        <f>(E18-D18)/10</f>
        <v>0.3</v>
      </c>
      <c r="AF18" s="63">
        <f>(F18-E18)/5</f>
        <v>0.3</v>
      </c>
      <c r="AG18" s="63">
        <f>(G18-F18)/5</f>
        <v>0.3</v>
      </c>
    </row>
    <row r="19" spans="1:48" x14ac:dyDescent="0.2">
      <c r="A19" s="28">
        <v>316</v>
      </c>
      <c r="B19" s="28" t="s">
        <v>67</v>
      </c>
      <c r="C19" s="30">
        <v>24</v>
      </c>
      <c r="D19" s="30">
        <v>24</v>
      </c>
      <c r="E19" s="30">
        <v>24</v>
      </c>
      <c r="F19" s="30">
        <v>25</v>
      </c>
      <c r="G19" s="30">
        <v>28</v>
      </c>
      <c r="H19" s="30">
        <v>54</v>
      </c>
      <c r="I19" s="54">
        <f>C19/$H19</f>
        <v>0.44444444444444442</v>
      </c>
      <c r="J19" s="54">
        <f>D19/$H19</f>
        <v>0.44444444444444442</v>
      </c>
      <c r="K19" s="54">
        <f>E19/$H19</f>
        <v>0.44444444444444442</v>
      </c>
      <c r="L19" s="54">
        <f>F19/$H19</f>
        <v>0.46296296296296297</v>
      </c>
      <c r="M19" s="54">
        <f>G19/$H19</f>
        <v>0.51851851851851849</v>
      </c>
      <c r="N19" s="51">
        <f>FORESTS[[#This Row],[Area_2020]]-FORESTS[[#This Row],[Area_1990]]</f>
        <v>4</v>
      </c>
      <c r="O19" s="51">
        <f>ABS(FORESTS[[#This Row],[Area_Delta]])</f>
        <v>4</v>
      </c>
      <c r="P19" s="104">
        <f>FORESTS[[#This Row],[Area_2020_%]]-FORESTS[[#This Row],[Area_1990_%]]</f>
        <v>7.407407407407407E-2</v>
      </c>
      <c r="Q19" s="54" t="b">
        <f>IF(G19&gt;C19, TRUE, FALSE)</f>
        <v>1</v>
      </c>
      <c r="R19" s="51">
        <f>IF(Q19=TRUE,G19-C19,0)</f>
        <v>4</v>
      </c>
      <c r="S19" s="51">
        <f>IF(Q19=TRUE,0,C19-G19)</f>
        <v>0</v>
      </c>
      <c r="T19" s="48">
        <f>IF(J19&lt;I19,1,0)+IF(K19&lt;J19,1,0)+IF(L19&lt;K19,1,0)+IF(M19&lt;L19,1,0)</f>
        <v>0</v>
      </c>
      <c r="U19" s="48">
        <v>51.85</v>
      </c>
      <c r="V19" s="30" t="s">
        <v>247</v>
      </c>
      <c r="W19" s="30" t="s">
        <v>247</v>
      </c>
      <c r="X19" s="38">
        <f>D19-C19</f>
        <v>0</v>
      </c>
      <c r="Y19" s="38">
        <f>E19-D19</f>
        <v>0</v>
      </c>
      <c r="Z19" s="38">
        <f>F19-E19</f>
        <v>1</v>
      </c>
      <c r="AA19" s="38">
        <f>G19-F19</f>
        <v>3</v>
      </c>
      <c r="AB19" s="38">
        <f>FORESTS[[#This Row],[Column7]]+FORESTS[[#This Row],[Column8]]</f>
        <v>4</v>
      </c>
      <c r="AD19" s="63">
        <f>(D19-C19)/10</f>
        <v>0</v>
      </c>
      <c r="AE19" s="63">
        <f>(E19-D19)/10</f>
        <v>0</v>
      </c>
      <c r="AF19" s="63">
        <f>(F19-E19)/5</f>
        <v>0.2</v>
      </c>
      <c r="AG19" s="63">
        <f>(G19-F19)/5</f>
        <v>0.6</v>
      </c>
    </row>
    <row r="20" spans="1:48" x14ac:dyDescent="0.2">
      <c r="A20" s="28">
        <v>585</v>
      </c>
      <c r="B20" s="28" t="s">
        <v>126</v>
      </c>
      <c r="C20" s="30">
        <v>38.15</v>
      </c>
      <c r="D20" s="30">
        <v>39.58</v>
      </c>
      <c r="E20" s="30">
        <v>40.56</v>
      </c>
      <c r="F20" s="30">
        <v>40.99</v>
      </c>
      <c r="G20" s="30">
        <v>41.41</v>
      </c>
      <c r="H20" s="30">
        <v>46</v>
      </c>
      <c r="I20" s="54">
        <f>C20/$H20</f>
        <v>0.82934782608695645</v>
      </c>
      <c r="J20" s="54">
        <f>D20/$H20</f>
        <v>0.86043478260869566</v>
      </c>
      <c r="K20" s="54">
        <f>E20/$H20</f>
        <v>0.88173913043478269</v>
      </c>
      <c r="L20" s="54">
        <f>F20/$H20</f>
        <v>0.89108695652173919</v>
      </c>
      <c r="M20" s="54">
        <f>G20/$H20</f>
        <v>0.90021739130434775</v>
      </c>
      <c r="N20" s="51">
        <f>FORESTS[[#This Row],[Area_2020]]-FORESTS[[#This Row],[Area_1990]]</f>
        <v>3.259999999999998</v>
      </c>
      <c r="O20" s="51">
        <f>ABS(FORESTS[[#This Row],[Area_Delta]])</f>
        <v>3.259999999999998</v>
      </c>
      <c r="P20" s="104">
        <f>FORESTS[[#This Row],[Area_2020_%]]-FORESTS[[#This Row],[Area_1990_%]]</f>
        <v>7.0869565217391295E-2</v>
      </c>
      <c r="Q20" s="54" t="b">
        <f>IF(G20&gt;C20, TRUE, FALSE)</f>
        <v>1</v>
      </c>
      <c r="R20" s="51">
        <f>IF(Q20=TRUE,G20-C20,0)</f>
        <v>3.259999999999998</v>
      </c>
      <c r="S20" s="51">
        <f>IF(Q20=TRUE,0,C20-G20)</f>
        <v>0</v>
      </c>
      <c r="T20" s="48">
        <f>IF(J20&lt;I20,1,0)+IF(K20&lt;J20,1,0)+IF(L20&lt;K20,1,0)+IF(M20&lt;L20,1,0)</f>
        <v>0</v>
      </c>
      <c r="U20" s="48">
        <v>90.02</v>
      </c>
      <c r="V20" s="30" t="s">
        <v>247</v>
      </c>
      <c r="W20" s="30" t="s">
        <v>247</v>
      </c>
      <c r="X20" s="38">
        <f>D20-C20</f>
        <v>1.4299999999999997</v>
      </c>
      <c r="Y20" s="38">
        <f>E20-D20</f>
        <v>0.98000000000000398</v>
      </c>
      <c r="Z20" s="38">
        <f>F20-E20</f>
        <v>0.42999999999999972</v>
      </c>
      <c r="AA20" s="38">
        <f>G20-F20</f>
        <v>0.4199999999999946</v>
      </c>
      <c r="AB20" s="38">
        <f>FORESTS[[#This Row],[Column7]]+FORESTS[[#This Row],[Column8]]</f>
        <v>0.84999999999999432</v>
      </c>
      <c r="AD20" s="63">
        <f>(D20-C20)/10</f>
        <v>0.14299999999999996</v>
      </c>
      <c r="AE20" s="63">
        <f>(E20-D20)/10</f>
        <v>9.8000000000000392E-2</v>
      </c>
      <c r="AF20" s="63">
        <f>(F20-E20)/5</f>
        <v>8.5999999999999938E-2</v>
      </c>
      <c r="AG20" s="63">
        <f>(G20-F20)/5</f>
        <v>8.3999999999998923E-2</v>
      </c>
    </row>
    <row r="21" spans="1:48" x14ac:dyDescent="0.2">
      <c r="A21" s="28">
        <v>858</v>
      </c>
      <c r="B21" s="28" t="s">
        <v>178</v>
      </c>
      <c r="C21" s="38">
        <v>798</v>
      </c>
      <c r="D21" s="38">
        <v>1369</v>
      </c>
      <c r="E21" s="38">
        <v>1731.3</v>
      </c>
      <c r="F21" s="38">
        <v>1920</v>
      </c>
      <c r="G21" s="38">
        <v>2031</v>
      </c>
      <c r="H21" s="38">
        <v>17502</v>
      </c>
      <c r="I21" s="54">
        <f>C21/$H21</f>
        <v>4.5594789166952351E-2</v>
      </c>
      <c r="J21" s="54">
        <f>D21/$H21</f>
        <v>7.8219632042052331E-2</v>
      </c>
      <c r="K21" s="54">
        <f>E21/$H21</f>
        <v>9.8920123414466918E-2</v>
      </c>
      <c r="L21" s="54">
        <f>F21/$H21</f>
        <v>0.10970174837161467</v>
      </c>
      <c r="M21" s="54">
        <f>G21/$H21</f>
        <v>0.11604388069934865</v>
      </c>
      <c r="N21" s="51">
        <f>FORESTS[[#This Row],[Area_2020]]-FORESTS[[#This Row],[Area_1990]]</f>
        <v>1233</v>
      </c>
      <c r="O21" s="51">
        <f>ABS(FORESTS[[#This Row],[Area_Delta]])</f>
        <v>1233</v>
      </c>
      <c r="P21" s="104">
        <f>FORESTS[[#This Row],[Area_2020_%]]-FORESTS[[#This Row],[Area_1990_%]]</f>
        <v>7.0449091532396299E-2</v>
      </c>
      <c r="Q21" s="48" t="b">
        <f>IF(G21&gt;C21, TRUE, FALSE)</f>
        <v>1</v>
      </c>
      <c r="R21" s="51">
        <f>IF(Q21=TRUE,G21-C21,0)</f>
        <v>1233</v>
      </c>
      <c r="S21" s="51">
        <f>IF(Q21=TRUE,0,C21-G21)</f>
        <v>0</v>
      </c>
      <c r="T21" s="48">
        <f>IF(J21&lt;I21,1,0)+IF(K21&lt;J21,1,0)+IF(L21&lt;K21,1,0)+IF(M21&lt;L21,1,0)</f>
        <v>0</v>
      </c>
      <c r="U21" s="43">
        <v>11.6</v>
      </c>
      <c r="V21" s="30" t="s">
        <v>247</v>
      </c>
      <c r="W21" s="38" t="s">
        <v>247</v>
      </c>
      <c r="X21" s="38">
        <f>D21-C21</f>
        <v>571</v>
      </c>
      <c r="Y21" s="38">
        <f>E21-D21</f>
        <v>362.29999999999995</v>
      </c>
      <c r="Z21" s="38">
        <f>F21-E21</f>
        <v>188.70000000000005</v>
      </c>
      <c r="AA21" s="38">
        <f>G21-F21</f>
        <v>111</v>
      </c>
      <c r="AB21" s="38">
        <f>FORESTS[[#This Row],[Column7]]+FORESTS[[#This Row],[Column8]]</f>
        <v>299.70000000000005</v>
      </c>
      <c r="AD21" s="63">
        <f>(D21-C21)/10</f>
        <v>57.1</v>
      </c>
      <c r="AE21" s="63">
        <f>(E21-D21)/10</f>
        <v>36.229999999999997</v>
      </c>
      <c r="AF21" s="63">
        <f>(F21-E21)/5</f>
        <v>37.740000000000009</v>
      </c>
      <c r="AG21" s="63">
        <f>(G21-F21)/5</f>
        <v>22.2</v>
      </c>
    </row>
    <row r="22" spans="1:48" x14ac:dyDescent="0.2">
      <c r="A22" s="28">
        <v>388</v>
      </c>
      <c r="B22" s="28" t="s">
        <v>82</v>
      </c>
      <c r="C22" s="30">
        <v>521.28</v>
      </c>
      <c r="D22" s="30">
        <v>521</v>
      </c>
      <c r="E22" s="30">
        <v>558.45000000000005</v>
      </c>
      <c r="F22" s="30">
        <v>577.46</v>
      </c>
      <c r="G22" s="30">
        <v>596.89</v>
      </c>
      <c r="H22" s="30">
        <v>1083</v>
      </c>
      <c r="I22" s="54">
        <f>C22/$H22</f>
        <v>0.48132963988919664</v>
      </c>
      <c r="J22" s="54">
        <f>D22/$H22</f>
        <v>0.48107109879963067</v>
      </c>
      <c r="K22" s="54">
        <f>E22/$H22</f>
        <v>0.51565096952908596</v>
      </c>
      <c r="L22" s="54">
        <f>F22/$H22</f>
        <v>0.53320406278855037</v>
      </c>
      <c r="M22" s="54">
        <f>G22/$H22</f>
        <v>0.55114496768236376</v>
      </c>
      <c r="N22" s="51">
        <f>FORESTS[[#This Row],[Area_2020]]-FORESTS[[#This Row],[Area_1990]]</f>
        <v>75.610000000000014</v>
      </c>
      <c r="O22" s="51">
        <f>ABS(FORESTS[[#This Row],[Area_Delta]])</f>
        <v>75.610000000000014</v>
      </c>
      <c r="P22" s="104">
        <f>FORESTS[[#This Row],[Area_2020_%]]-FORESTS[[#This Row],[Area_1990_%]]</f>
        <v>6.9815327793167126E-2</v>
      </c>
      <c r="Q22" s="54" t="b">
        <f>IF(G22&gt;C22, TRUE, FALSE)</f>
        <v>1</v>
      </c>
      <c r="R22" s="51">
        <f>IF(Q22=TRUE,G22-C22,0)</f>
        <v>75.610000000000014</v>
      </c>
      <c r="S22" s="51">
        <f>IF(Q22=TRUE,0,C22-G22)</f>
        <v>0</v>
      </c>
      <c r="T22" s="48">
        <f>IF(J22&lt;I22,1,0)+IF(K22&lt;J22,1,0)+IF(L22&lt;K22,1,0)+IF(M22&lt;L22,1,0)</f>
        <v>1</v>
      </c>
      <c r="U22" s="48">
        <v>55.11</v>
      </c>
      <c r="V22" s="30">
        <v>0.54</v>
      </c>
      <c r="W22" s="30" t="s">
        <v>247</v>
      </c>
      <c r="X22" s="38">
        <f>D22-C22</f>
        <v>-0.27999999999997272</v>
      </c>
      <c r="Y22" s="38">
        <f>E22-D22</f>
        <v>37.450000000000045</v>
      </c>
      <c r="Z22" s="38">
        <f>F22-E22</f>
        <v>19.009999999999991</v>
      </c>
      <c r="AA22" s="38">
        <f>G22-F22</f>
        <v>19.42999999999995</v>
      </c>
      <c r="AB22" s="38">
        <f>FORESTS[[#This Row],[Column7]]+FORESTS[[#This Row],[Column8]]</f>
        <v>38.439999999999941</v>
      </c>
      <c r="AD22" s="63">
        <f>(D22-C22)/10</f>
        <v>-2.799999999999727E-2</v>
      </c>
      <c r="AE22" s="63">
        <f>(E22-D22)/10</f>
        <v>3.7450000000000045</v>
      </c>
      <c r="AF22" s="63">
        <f>(F22-E22)/5</f>
        <v>3.8019999999999983</v>
      </c>
      <c r="AG22" s="63">
        <f>(G22-F22)/5</f>
        <v>3.8859999999999899</v>
      </c>
    </row>
    <row r="23" spans="1:48" x14ac:dyDescent="0.2">
      <c r="A23" s="28">
        <v>380</v>
      </c>
      <c r="B23" s="28" t="s">
        <v>81</v>
      </c>
      <c r="C23" s="38">
        <v>7589.75</v>
      </c>
      <c r="D23" s="38">
        <v>8369.25</v>
      </c>
      <c r="E23" s="38">
        <v>9028.0400000000009</v>
      </c>
      <c r="F23" s="38">
        <v>9297.08</v>
      </c>
      <c r="G23" s="38">
        <v>9566.1299999999992</v>
      </c>
      <c r="H23" s="38">
        <v>29414</v>
      </c>
      <c r="I23" s="54">
        <f>C23/$H23</f>
        <v>0.25803188957639217</v>
      </c>
      <c r="J23" s="54">
        <f>D23/$H23</f>
        <v>0.28453287550146189</v>
      </c>
      <c r="K23" s="54">
        <f>E23/$H23</f>
        <v>0.30693003331746788</v>
      </c>
      <c r="L23" s="54">
        <f>F23/$H23</f>
        <v>0.31607669817093903</v>
      </c>
      <c r="M23" s="54">
        <f>G23/$H23</f>
        <v>0.32522370299857206</v>
      </c>
      <c r="N23" s="51">
        <f>FORESTS[[#This Row],[Area_2020]]-FORESTS[[#This Row],[Area_1990]]</f>
        <v>1976.3799999999992</v>
      </c>
      <c r="O23" s="51">
        <f>ABS(FORESTS[[#This Row],[Area_Delta]])</f>
        <v>1976.3799999999992</v>
      </c>
      <c r="P23" s="104">
        <f>FORESTS[[#This Row],[Area_2020_%]]-FORESTS[[#This Row],[Area_1990_%]]</f>
        <v>6.7191813422179891E-2</v>
      </c>
      <c r="Q23" s="48" t="b">
        <f>IF(G23&gt;C23, TRUE, FALSE)</f>
        <v>1</v>
      </c>
      <c r="R23" s="51">
        <f>IF(Q23=TRUE,G23-C23,0)</f>
        <v>1976.3799999999992</v>
      </c>
      <c r="S23" s="51">
        <f>IF(Q23=TRUE,0,C23-G23)</f>
        <v>0</v>
      </c>
      <c r="T23" s="48">
        <f>IF(J23&lt;I23,1,0)+IF(K23&lt;J23,1,0)+IF(L23&lt;K23,1,0)+IF(M23&lt;L23,1,0)</f>
        <v>0</v>
      </c>
      <c r="U23" s="43">
        <v>32.520000000000003</v>
      </c>
      <c r="V23" s="30" t="s">
        <v>247</v>
      </c>
      <c r="W23" s="38">
        <v>25.87</v>
      </c>
      <c r="X23" s="38">
        <f>D23-C23</f>
        <v>779.5</v>
      </c>
      <c r="Y23" s="38">
        <f>E23-D23</f>
        <v>658.79000000000087</v>
      </c>
      <c r="Z23" s="38">
        <f>F23-E23</f>
        <v>269.03999999999905</v>
      </c>
      <c r="AA23" s="38">
        <f>G23-F23</f>
        <v>269.04999999999927</v>
      </c>
      <c r="AB23" s="38">
        <f>FORESTS[[#This Row],[Column7]]+FORESTS[[#This Row],[Column8]]</f>
        <v>538.08999999999833</v>
      </c>
      <c r="AD23" s="63">
        <f>(D23-C23)/10</f>
        <v>77.95</v>
      </c>
      <c r="AE23" s="63">
        <f>(E23-D23)/10</f>
        <v>65.87900000000009</v>
      </c>
      <c r="AF23" s="63">
        <f>(F23-E23)/5</f>
        <v>53.807999999999808</v>
      </c>
      <c r="AG23" s="63">
        <f>(G23-F23)/5</f>
        <v>53.809999999999853</v>
      </c>
      <c r="AT23" s="28" cm="1">
        <f t="array" ref="AT23:AV23">_xlfn.BYCOL(AT13:AV15, _xlfn.LAMBDA(_xlpm.array, SUMSQ(_xlpm.array)))</f>
        <v>17</v>
      </c>
      <c r="AU23" s="28">
        <v>29</v>
      </c>
      <c r="AV23" s="28">
        <v>45</v>
      </c>
    </row>
    <row r="24" spans="1:48" x14ac:dyDescent="0.2">
      <c r="A24" s="28">
        <v>156</v>
      </c>
      <c r="B24" s="28" t="s">
        <v>32</v>
      </c>
      <c r="C24" s="38">
        <v>157140.59</v>
      </c>
      <c r="D24" s="38">
        <v>177000.55</v>
      </c>
      <c r="E24" s="38">
        <v>200610.38</v>
      </c>
      <c r="F24" s="38">
        <v>210294.25</v>
      </c>
      <c r="G24" s="38">
        <v>219978.18</v>
      </c>
      <c r="H24" s="38">
        <v>942470</v>
      </c>
      <c r="I24" s="54">
        <f>C24/$H24</f>
        <v>0.16673272358801872</v>
      </c>
      <c r="J24" s="54">
        <f>D24/$H24</f>
        <v>0.18780496991946691</v>
      </c>
      <c r="K24" s="54">
        <f>E24/$H24</f>
        <v>0.21285598480588241</v>
      </c>
      <c r="L24" s="54">
        <f>F24/$H24</f>
        <v>0.2231309749912464</v>
      </c>
      <c r="M24" s="54">
        <f>G24/$H24</f>
        <v>0.23340602883911424</v>
      </c>
      <c r="N24" s="51">
        <f>FORESTS[[#This Row],[Area_2020]]-FORESTS[[#This Row],[Area_1990]]</f>
        <v>62837.59</v>
      </c>
      <c r="O24" s="51">
        <f>ABS(FORESTS[[#This Row],[Area_Delta]])</f>
        <v>62837.59</v>
      </c>
      <c r="P24" s="104">
        <f>FORESTS[[#This Row],[Area_2020_%]]-FORESTS[[#This Row],[Area_1990_%]]</f>
        <v>6.6673305251095522E-2</v>
      </c>
      <c r="Q24" s="48" t="b">
        <f>IF(G24&gt;C24, TRUE, FALSE)</f>
        <v>1</v>
      </c>
      <c r="R24" s="51">
        <f>IF(Q24=TRUE,G24-C24,0)</f>
        <v>62837.59</v>
      </c>
      <c r="S24" s="51">
        <f>IF(Q24=TRUE,0,C24-G24)</f>
        <v>0</v>
      </c>
      <c r="T24" s="62">
        <f>IF(J24&lt;I24,1,0)+IF(K24&lt;J24,1,0)+IF(L24&lt;K24,1,0)+IF(M24&lt;L24,1,0)</f>
        <v>0</v>
      </c>
      <c r="U24" s="43">
        <v>23.34</v>
      </c>
      <c r="V24" s="30">
        <v>133.19999999999999</v>
      </c>
      <c r="W24" s="38">
        <v>12.94</v>
      </c>
      <c r="X24" s="38">
        <f>D24-C24</f>
        <v>19859.959999999992</v>
      </c>
      <c r="Y24" s="38">
        <f>E24-D24</f>
        <v>23609.830000000016</v>
      </c>
      <c r="Z24" s="38">
        <f>F24-E24</f>
        <v>9683.8699999999953</v>
      </c>
      <c r="AA24" s="38">
        <f>G24-F24</f>
        <v>9683.929999999993</v>
      </c>
      <c r="AB24" s="38">
        <f>FORESTS[[#This Row],[Column7]]+FORESTS[[#This Row],[Column8]]</f>
        <v>19367.799999999988</v>
      </c>
      <c r="AD24" s="63">
        <f>(D24-C24)/10</f>
        <v>1985.9959999999992</v>
      </c>
      <c r="AE24" s="63">
        <f>(E24-D24)/10</f>
        <v>2360.9830000000015</v>
      </c>
      <c r="AF24" s="63">
        <f>(F24-E24)/5</f>
        <v>1936.773999999999</v>
      </c>
      <c r="AG24" s="63">
        <f>(G24-F24)/5</f>
        <v>1936.7859999999987</v>
      </c>
    </row>
    <row r="25" spans="1:48" x14ac:dyDescent="0.2">
      <c r="A25" s="28">
        <v>64</v>
      </c>
      <c r="B25" s="28" t="s">
        <v>17</v>
      </c>
      <c r="C25" s="30">
        <v>2506.7199999999998</v>
      </c>
      <c r="D25" s="30">
        <v>2606</v>
      </c>
      <c r="E25" s="30">
        <v>2705.29</v>
      </c>
      <c r="F25" s="30">
        <v>2715.18</v>
      </c>
      <c r="G25" s="30">
        <v>2725.08</v>
      </c>
      <c r="H25" s="30">
        <v>3812</v>
      </c>
      <c r="I25" s="54">
        <f>C25/$H25</f>
        <v>0.65758656873032528</v>
      </c>
      <c r="J25" s="54">
        <f>D25/$H25</f>
        <v>0.68363064008394547</v>
      </c>
      <c r="K25" s="54">
        <f>E25/$H25</f>
        <v>0.70967733473242389</v>
      </c>
      <c r="L25" s="54">
        <f>F25/$H25</f>
        <v>0.71227177334732417</v>
      </c>
      <c r="M25" s="54">
        <f>G25/$H25</f>
        <v>0.71486883525708289</v>
      </c>
      <c r="N25" s="51">
        <f>FORESTS[[#This Row],[Area_2020]]-FORESTS[[#This Row],[Area_1990]]</f>
        <v>218.36000000000013</v>
      </c>
      <c r="O25" s="51">
        <f>ABS(FORESTS[[#This Row],[Area_Delta]])</f>
        <v>218.36000000000013</v>
      </c>
      <c r="P25" s="104">
        <f>FORESTS[[#This Row],[Area_2020_%]]-FORESTS[[#This Row],[Area_1990_%]]</f>
        <v>5.7282266526757608E-2</v>
      </c>
      <c r="Q25" s="54" t="b">
        <f>IF(G25&gt;C25, TRUE, FALSE)</f>
        <v>1</v>
      </c>
      <c r="R25" s="51">
        <f>IF(Q25=TRUE,G25-C25,0)</f>
        <v>218.36000000000013</v>
      </c>
      <c r="S25" s="51">
        <f>IF(Q25=TRUE,0,C25-G25)</f>
        <v>0</v>
      </c>
      <c r="T25" s="48">
        <f>IF(J25&lt;I25,1,0)+IF(K25&lt;J25,1,0)+IF(L25&lt;K25,1,0)+IF(M25&lt;L25,1,0)</f>
        <v>0</v>
      </c>
      <c r="U25" s="48">
        <v>71.489999999999995</v>
      </c>
      <c r="V25" s="30">
        <v>0.43</v>
      </c>
      <c r="W25" s="30">
        <v>6.2</v>
      </c>
      <c r="X25" s="38">
        <f>D25-C25</f>
        <v>99.2800000000002</v>
      </c>
      <c r="Y25" s="38">
        <f>E25-D25</f>
        <v>99.289999999999964</v>
      </c>
      <c r="Z25" s="38">
        <f>F25-E25</f>
        <v>9.8899999999998727</v>
      </c>
      <c r="AA25" s="38">
        <f>G25-F25</f>
        <v>9.9000000000000909</v>
      </c>
      <c r="AB25" s="38">
        <f>FORESTS[[#This Row],[Column7]]+FORESTS[[#This Row],[Column8]]</f>
        <v>19.789999999999964</v>
      </c>
      <c r="AD25" s="63">
        <f>(D25-C25)/10</f>
        <v>9.9280000000000204</v>
      </c>
      <c r="AE25" s="63">
        <f>(E25-D25)/10</f>
        <v>9.9289999999999967</v>
      </c>
      <c r="AF25" s="63">
        <f>(F25-E25)/5</f>
        <v>1.9779999999999744</v>
      </c>
      <c r="AG25" s="63">
        <f>(G25-F25)/5</f>
        <v>1.9800000000000182</v>
      </c>
    </row>
    <row r="26" spans="1:48" x14ac:dyDescent="0.2">
      <c r="A26" s="28">
        <v>233</v>
      </c>
      <c r="B26" s="28" t="s">
        <v>52</v>
      </c>
      <c r="C26" s="30">
        <v>2205.9</v>
      </c>
      <c r="D26" s="30">
        <v>2238.89</v>
      </c>
      <c r="E26" s="30">
        <v>2336.02</v>
      </c>
      <c r="F26" s="30">
        <v>2421.0100000000002</v>
      </c>
      <c r="G26" s="30">
        <v>2438.4</v>
      </c>
      <c r="H26" s="30">
        <v>4347</v>
      </c>
      <c r="I26" s="54">
        <f>C26/$H26</f>
        <v>0.50745341614906836</v>
      </c>
      <c r="J26" s="54">
        <f>D26/$H26</f>
        <v>0.51504255808603627</v>
      </c>
      <c r="K26" s="54">
        <f>E26/$H26</f>
        <v>0.53738670347366002</v>
      </c>
      <c r="L26" s="54">
        <f>F26/$H26</f>
        <v>0.55693811824246608</v>
      </c>
      <c r="M26" s="54">
        <f>G26/$H26</f>
        <v>0.5609385783298827</v>
      </c>
      <c r="N26" s="51">
        <f>FORESTS[[#This Row],[Area_2020]]-FORESTS[[#This Row],[Area_1990]]</f>
        <v>232.5</v>
      </c>
      <c r="O26" s="51">
        <f>ABS(FORESTS[[#This Row],[Area_Delta]])</f>
        <v>232.5</v>
      </c>
      <c r="P26" s="104">
        <f>FORESTS[[#This Row],[Area_2020_%]]-FORESTS[[#This Row],[Area_1990_%]]</f>
        <v>5.3485162180814338E-2</v>
      </c>
      <c r="Q26" s="54" t="b">
        <f>IF(G26&gt;C26, TRUE, FALSE)</f>
        <v>1</v>
      </c>
      <c r="R26" s="51">
        <f>IF(Q26=TRUE,G26-C26,0)</f>
        <v>232.5</v>
      </c>
      <c r="S26" s="51">
        <f>IF(Q26=TRUE,0,C26-G26)</f>
        <v>0</v>
      </c>
      <c r="T26" s="48">
        <f>IF(J26&lt;I26,1,0)+IF(K26&lt;J26,1,0)+IF(L26&lt;K26,1,0)+IF(M26&lt;L26,1,0)</f>
        <v>0</v>
      </c>
      <c r="U26" s="48">
        <v>56.09</v>
      </c>
      <c r="V26" s="30">
        <v>5.01</v>
      </c>
      <c r="W26" s="30">
        <v>0.08</v>
      </c>
      <c r="X26" s="38">
        <f>D26-C26</f>
        <v>32.989999999999782</v>
      </c>
      <c r="Y26" s="38">
        <f>E26-D26</f>
        <v>97.130000000000109</v>
      </c>
      <c r="Z26" s="38">
        <f>F26-E26</f>
        <v>84.990000000000236</v>
      </c>
      <c r="AA26" s="38">
        <f>G26-F26</f>
        <v>17.389999999999873</v>
      </c>
      <c r="AB26" s="38">
        <f>FORESTS[[#This Row],[Column7]]+FORESTS[[#This Row],[Column8]]</f>
        <v>102.38000000000011</v>
      </c>
      <c r="AD26" s="63">
        <f>(D26-C26)/10</f>
        <v>3.2989999999999782</v>
      </c>
      <c r="AE26" s="63">
        <f>(E26-D26)/10</f>
        <v>9.7130000000000116</v>
      </c>
      <c r="AF26" s="63">
        <f>(F26-E26)/5</f>
        <v>16.998000000000047</v>
      </c>
      <c r="AG26" s="63">
        <f>(G26-F26)/5</f>
        <v>3.4779999999999744</v>
      </c>
    </row>
    <row r="27" spans="1:48" x14ac:dyDescent="0.2">
      <c r="A27" s="28">
        <v>100</v>
      </c>
      <c r="B27" s="28" t="s">
        <v>22</v>
      </c>
      <c r="C27" s="38">
        <v>3327</v>
      </c>
      <c r="D27" s="38">
        <v>3375</v>
      </c>
      <c r="E27" s="38">
        <v>3737</v>
      </c>
      <c r="F27" s="38">
        <v>3833</v>
      </c>
      <c r="G27" s="38">
        <v>3893</v>
      </c>
      <c r="H27" s="38">
        <v>10856</v>
      </c>
      <c r="I27" s="54">
        <f>C27/$H27</f>
        <v>0.30646647015475315</v>
      </c>
      <c r="J27" s="54">
        <f>D27/$H27</f>
        <v>0.3108879882092852</v>
      </c>
      <c r="K27" s="54">
        <f>E27/$H27</f>
        <v>0.34423360353721444</v>
      </c>
      <c r="L27" s="54">
        <f>F27/$H27</f>
        <v>0.35307663964627856</v>
      </c>
      <c r="M27" s="54">
        <f>G27/$H27</f>
        <v>0.3586035372144436</v>
      </c>
      <c r="N27" s="51">
        <f>FORESTS[[#This Row],[Area_2020]]-FORESTS[[#This Row],[Area_1990]]</f>
        <v>566</v>
      </c>
      <c r="O27" s="51">
        <f>ABS(FORESTS[[#This Row],[Area_Delta]])</f>
        <v>566</v>
      </c>
      <c r="P27" s="104">
        <f>FORESTS[[#This Row],[Area_2020_%]]-FORESTS[[#This Row],[Area_1990_%]]</f>
        <v>5.2137067059690456E-2</v>
      </c>
      <c r="Q27" s="48" t="b">
        <f>IF(G27&gt;C27, TRUE, FALSE)</f>
        <v>1</v>
      </c>
      <c r="R27" s="51">
        <f>IF(Q27=TRUE,G27-C27,0)</f>
        <v>566</v>
      </c>
      <c r="S27" s="51">
        <f>IF(Q27=TRUE,0,C27-G27)</f>
        <v>0</v>
      </c>
      <c r="T27" s="48">
        <f>IF(J27&lt;I27,1,0)+IF(K27&lt;J27,1,0)+IF(L27&lt;K27,1,0)+IF(M27&lt;L27,1,0)</f>
        <v>0</v>
      </c>
      <c r="U27" s="43">
        <v>35.86</v>
      </c>
      <c r="V27" s="30">
        <v>0</v>
      </c>
      <c r="W27" s="38">
        <v>4.3</v>
      </c>
      <c r="X27" s="38">
        <f>D27-C27</f>
        <v>48</v>
      </c>
      <c r="Y27" s="38">
        <f>E27-D27</f>
        <v>362</v>
      </c>
      <c r="Z27" s="38">
        <f>F27-E27</f>
        <v>96</v>
      </c>
      <c r="AA27" s="38">
        <f>G27-F27</f>
        <v>60</v>
      </c>
      <c r="AB27" s="38">
        <f>FORESTS[[#This Row],[Column7]]+FORESTS[[#This Row],[Column8]]</f>
        <v>156</v>
      </c>
      <c r="AD27" s="63">
        <f>(D27-C27)/10</f>
        <v>4.8</v>
      </c>
      <c r="AE27" s="63">
        <f>(E27-D27)/10</f>
        <v>36.200000000000003</v>
      </c>
      <c r="AF27" s="63">
        <f>(F27-E27)/5</f>
        <v>19.2</v>
      </c>
      <c r="AG27" s="63">
        <f>(G27-F27)/5</f>
        <v>12</v>
      </c>
    </row>
    <row r="28" spans="1:48" x14ac:dyDescent="0.2">
      <c r="A28" s="28">
        <v>250</v>
      </c>
      <c r="B28" s="28" t="s">
        <v>57</v>
      </c>
      <c r="C28" s="38">
        <v>14436</v>
      </c>
      <c r="D28" s="38">
        <v>15288</v>
      </c>
      <c r="E28" s="38">
        <v>16419</v>
      </c>
      <c r="F28" s="38">
        <v>16836</v>
      </c>
      <c r="G28" s="38">
        <v>17253</v>
      </c>
      <c r="H28" s="38">
        <v>54756</v>
      </c>
      <c r="I28" s="54">
        <f>C28/$H28</f>
        <v>0.26364234056541747</v>
      </c>
      <c r="J28" s="54">
        <f>D28/$H28</f>
        <v>0.27920227920227919</v>
      </c>
      <c r="K28" s="54">
        <f>E28/$H28</f>
        <v>0.29985754985754987</v>
      </c>
      <c r="L28" s="54">
        <f>F28/$H28</f>
        <v>0.30747315362699978</v>
      </c>
      <c r="M28" s="54">
        <f>G28/$H28</f>
        <v>0.3150887573964497</v>
      </c>
      <c r="N28" s="51">
        <f>FORESTS[[#This Row],[Area_2020]]-FORESTS[[#This Row],[Area_1990]]</f>
        <v>2817</v>
      </c>
      <c r="O28" s="51">
        <f>ABS(FORESTS[[#This Row],[Area_Delta]])</f>
        <v>2817</v>
      </c>
      <c r="P28" s="104">
        <f>FORESTS[[#This Row],[Area_2020_%]]-FORESTS[[#This Row],[Area_1990_%]]</f>
        <v>5.1446416831032238E-2</v>
      </c>
      <c r="Q28" s="48" t="b">
        <f>IF(G28&gt;C28, TRUE, FALSE)</f>
        <v>1</v>
      </c>
      <c r="R28" s="51">
        <f>IF(Q28=TRUE,G28-C28,0)</f>
        <v>2817</v>
      </c>
      <c r="S28" s="51">
        <f>IF(Q28=TRUE,0,C28-G28)</f>
        <v>0</v>
      </c>
      <c r="T28" s="62">
        <f>IF(J28&lt;I28,1,0)+IF(K28&lt;J28,1,0)+IF(L28&lt;K28,1,0)+IF(M28&lt;L28,1,0)</f>
        <v>0</v>
      </c>
      <c r="U28" s="43">
        <v>31.51</v>
      </c>
      <c r="V28" s="30" t="s">
        <v>247</v>
      </c>
      <c r="W28" s="38">
        <v>6.21</v>
      </c>
      <c r="X28" s="38">
        <f>D28-C28</f>
        <v>852</v>
      </c>
      <c r="Y28" s="38">
        <f>E28-D28</f>
        <v>1131</v>
      </c>
      <c r="Z28" s="38">
        <f>F28-E28</f>
        <v>417</v>
      </c>
      <c r="AA28" s="38">
        <f>G28-F28</f>
        <v>417</v>
      </c>
      <c r="AB28" s="38">
        <f>FORESTS[[#This Row],[Column7]]+FORESTS[[#This Row],[Column8]]</f>
        <v>834</v>
      </c>
      <c r="AD28" s="63">
        <f>(D28-C28)/10</f>
        <v>85.2</v>
      </c>
      <c r="AE28" s="63">
        <f>(E28-D28)/10</f>
        <v>113.1</v>
      </c>
      <c r="AF28" s="63">
        <f>(F28-E28)/5</f>
        <v>83.4</v>
      </c>
      <c r="AG28" s="63">
        <f>(G28-F28)/5</f>
        <v>83.4</v>
      </c>
    </row>
    <row r="29" spans="1:48" x14ac:dyDescent="0.2">
      <c r="A29" s="28">
        <v>112</v>
      </c>
      <c r="B29" s="28" t="s">
        <v>13</v>
      </c>
      <c r="C29" s="38">
        <v>7780</v>
      </c>
      <c r="D29" s="38">
        <v>8273</v>
      </c>
      <c r="E29" s="38">
        <v>8630</v>
      </c>
      <c r="F29" s="38">
        <v>8633.5</v>
      </c>
      <c r="G29" s="38">
        <v>8767.6</v>
      </c>
      <c r="H29" s="38">
        <v>20297.8</v>
      </c>
      <c r="I29" s="54">
        <f>C29/$H29</f>
        <v>0.38329277064509454</v>
      </c>
      <c r="J29" s="54">
        <f>D29/$H29</f>
        <v>0.40758111716540713</v>
      </c>
      <c r="K29" s="54">
        <f>E29/$H29</f>
        <v>0.42516923016287483</v>
      </c>
      <c r="L29" s="54">
        <f>F29/$H29</f>
        <v>0.42534166264324214</v>
      </c>
      <c r="M29" s="54">
        <f>G29/$H29</f>
        <v>0.43194828996245904</v>
      </c>
      <c r="N29" s="51">
        <f>FORESTS[[#This Row],[Area_2020]]-FORESTS[[#This Row],[Area_1990]]</f>
        <v>987.60000000000036</v>
      </c>
      <c r="O29" s="51">
        <f>ABS(FORESTS[[#This Row],[Area_Delta]])</f>
        <v>987.60000000000036</v>
      </c>
      <c r="P29" s="104">
        <f>FORESTS[[#This Row],[Area_2020_%]]-FORESTS[[#This Row],[Area_1990_%]]</f>
        <v>4.8655519317364504E-2</v>
      </c>
      <c r="Q29" s="48" t="b">
        <f>IF(G29&gt;C29, TRUE, FALSE)</f>
        <v>1</v>
      </c>
      <c r="R29" s="51">
        <f>IF(Q29=TRUE,G29-C29,0)</f>
        <v>987.60000000000036</v>
      </c>
      <c r="S29" s="51">
        <f>IF(Q29=TRUE,0,C29-G29)</f>
        <v>0</v>
      </c>
      <c r="T29" s="48">
        <f>IF(J29&lt;I29,1,0)+IF(K29&lt;J29,1,0)+IF(L29&lt;K29,1,0)+IF(M29&lt;L29,1,0)</f>
        <v>0</v>
      </c>
      <c r="U29" s="43">
        <v>43.19</v>
      </c>
      <c r="V29" s="30">
        <v>3.5</v>
      </c>
      <c r="W29" s="38">
        <v>13.89</v>
      </c>
      <c r="X29" s="38">
        <f>D29-C29</f>
        <v>493</v>
      </c>
      <c r="Y29" s="38">
        <f>E29-D29</f>
        <v>357</v>
      </c>
      <c r="Z29" s="38">
        <f>F29-E29</f>
        <v>3.5</v>
      </c>
      <c r="AA29" s="38">
        <f>G29-F29</f>
        <v>134.10000000000036</v>
      </c>
      <c r="AB29" s="38">
        <f>FORESTS[[#This Row],[Column7]]+FORESTS[[#This Row],[Column8]]</f>
        <v>137.60000000000036</v>
      </c>
      <c r="AD29" s="63">
        <f>(D29-C29)/10</f>
        <v>49.3</v>
      </c>
      <c r="AE29" s="63">
        <f>(E29-D29)/10</f>
        <v>35.700000000000003</v>
      </c>
      <c r="AF29" s="63">
        <f>(F29-E29)/5</f>
        <v>0.7</v>
      </c>
      <c r="AG29" s="63">
        <f>(G29-F29)/5</f>
        <v>26.820000000000071</v>
      </c>
    </row>
    <row r="30" spans="1:48" x14ac:dyDescent="0.2">
      <c r="A30" s="28">
        <v>688</v>
      </c>
      <c r="B30" s="28" t="s">
        <v>145</v>
      </c>
      <c r="C30" s="38">
        <v>2313</v>
      </c>
      <c r="D30" s="38">
        <v>2460</v>
      </c>
      <c r="E30" s="38">
        <v>2713</v>
      </c>
      <c r="F30" s="38">
        <v>2719.53</v>
      </c>
      <c r="G30" s="38">
        <v>2722.65</v>
      </c>
      <c r="H30" s="38">
        <v>8746</v>
      </c>
      <c r="I30" s="54">
        <f>C30/$H30</f>
        <v>0.2644637548593643</v>
      </c>
      <c r="J30" s="54">
        <f>D30/$H30</f>
        <v>0.28127143837182711</v>
      </c>
      <c r="K30" s="54">
        <f>E30/$H30</f>
        <v>0.3101989480905557</v>
      </c>
      <c r="L30" s="54">
        <f>F30/$H30</f>
        <v>0.31094557512005488</v>
      </c>
      <c r="M30" s="54">
        <f>G30/$H30</f>
        <v>0.31130230962725819</v>
      </c>
      <c r="N30" s="51">
        <f>FORESTS[[#This Row],[Area_2020]]-FORESTS[[#This Row],[Area_1990]]</f>
        <v>409.65000000000009</v>
      </c>
      <c r="O30" s="51">
        <f>ABS(FORESTS[[#This Row],[Area_Delta]])</f>
        <v>409.65000000000009</v>
      </c>
      <c r="P30" s="104">
        <f>FORESTS[[#This Row],[Area_2020_%]]-FORESTS[[#This Row],[Area_1990_%]]</f>
        <v>4.6838554767893892E-2</v>
      </c>
      <c r="Q30" s="54" t="b">
        <f>IF(G30&gt;C30, TRUE, FALSE)</f>
        <v>1</v>
      </c>
      <c r="R30" s="51">
        <f>IF(Q30=TRUE,G30-C30,0)</f>
        <v>409.65000000000009</v>
      </c>
      <c r="S30" s="51">
        <f>IF(Q30=TRUE,0,C30-G30)</f>
        <v>0</v>
      </c>
      <c r="T30" s="48">
        <f>IF(J30&lt;I30,1,0)+IF(K30&lt;J30,1,0)+IF(L30&lt;K30,1,0)+IF(M30&lt;L30,1,0)</f>
        <v>0</v>
      </c>
      <c r="U30" s="43">
        <v>31.13</v>
      </c>
      <c r="V30" s="30">
        <v>0.04</v>
      </c>
      <c r="W30" s="38">
        <v>1.85</v>
      </c>
      <c r="X30" s="38">
        <f>D30-C30</f>
        <v>147</v>
      </c>
      <c r="Y30" s="38">
        <f>E30-D30</f>
        <v>253</v>
      </c>
      <c r="Z30" s="38">
        <f>F30-E30</f>
        <v>6.5300000000002001</v>
      </c>
      <c r="AA30" s="38">
        <f>G30-F30</f>
        <v>3.1199999999998909</v>
      </c>
      <c r="AB30" s="38">
        <f>FORESTS[[#This Row],[Column7]]+FORESTS[[#This Row],[Column8]]</f>
        <v>9.6500000000000909</v>
      </c>
      <c r="AD30" s="63">
        <f>(D30-C30)/10</f>
        <v>14.7</v>
      </c>
      <c r="AE30" s="63">
        <f>(E30-D30)/10</f>
        <v>25.3</v>
      </c>
      <c r="AF30" s="63">
        <f>(F30-E30)/5</f>
        <v>1.30600000000004</v>
      </c>
      <c r="AG30" s="63">
        <f>(G30-F30)/5</f>
        <v>0.62399999999997813</v>
      </c>
      <c r="AH30" s="28">
        <v>1</v>
      </c>
    </row>
    <row r="31" spans="1:48" x14ac:dyDescent="0.2">
      <c r="A31" s="28">
        <v>300</v>
      </c>
      <c r="B31" s="28" t="s">
        <v>63</v>
      </c>
      <c r="C31" s="38">
        <v>3298.55</v>
      </c>
      <c r="D31" s="38">
        <v>3600.23</v>
      </c>
      <c r="E31" s="38">
        <v>3901.8</v>
      </c>
      <c r="F31" s="38">
        <v>3901.8</v>
      </c>
      <c r="G31" s="38">
        <v>3901.8</v>
      </c>
      <c r="H31" s="38">
        <v>12890</v>
      </c>
      <c r="I31" s="54">
        <f>C31/$H31</f>
        <v>0.25589992242048099</v>
      </c>
      <c r="J31" s="54">
        <f>D31/$H31</f>
        <v>0.27930411171450736</v>
      </c>
      <c r="K31" s="54">
        <f>E31/$H31</f>
        <v>0.30269976726144299</v>
      </c>
      <c r="L31" s="54">
        <f>F31/$H31</f>
        <v>0.30269976726144299</v>
      </c>
      <c r="M31" s="54">
        <f>G31/$H31</f>
        <v>0.30269976726144299</v>
      </c>
      <c r="N31" s="51">
        <f>FORESTS[[#This Row],[Area_2020]]-FORESTS[[#This Row],[Area_1990]]</f>
        <v>603.25</v>
      </c>
      <c r="O31" s="51">
        <f>ABS(FORESTS[[#This Row],[Area_Delta]])</f>
        <v>603.25</v>
      </c>
      <c r="P31" s="104">
        <f>FORESTS[[#This Row],[Area_2020_%]]-FORESTS[[#This Row],[Area_1990_%]]</f>
        <v>4.6799844840962002E-2</v>
      </c>
      <c r="Q31" s="48" t="b">
        <f>IF(G31&gt;C31, TRUE, FALSE)</f>
        <v>1</v>
      </c>
      <c r="R31" s="51">
        <f>IF(Q31=TRUE,G31-C31,0)</f>
        <v>603.25</v>
      </c>
      <c r="S31" s="51">
        <f>IF(Q31=TRUE,0,C31-G31)</f>
        <v>0</v>
      </c>
      <c r="T31" s="48">
        <f>IF(J31&lt;I31,1,0)+IF(K31&lt;J31,1,0)+IF(L31&lt;K31,1,0)+IF(M31&lt;L31,1,0)</f>
        <v>0</v>
      </c>
      <c r="U31" s="43">
        <v>30.27</v>
      </c>
      <c r="V31" s="30" t="s">
        <v>247</v>
      </c>
      <c r="W31" s="38" t="s">
        <v>247</v>
      </c>
      <c r="X31" s="38">
        <f>D31-C31</f>
        <v>301.67999999999984</v>
      </c>
      <c r="Y31" s="38">
        <f>E31-D31</f>
        <v>301.57000000000016</v>
      </c>
      <c r="Z31" s="38">
        <f>F31-E31</f>
        <v>0</v>
      </c>
      <c r="AA31" s="38">
        <f>G31-F31</f>
        <v>0</v>
      </c>
      <c r="AB31" s="38">
        <f>FORESTS[[#This Row],[Column7]]+FORESTS[[#This Row],[Column8]]</f>
        <v>0</v>
      </c>
      <c r="AD31" s="63">
        <f>(D31-C31)/10</f>
        <v>30.167999999999985</v>
      </c>
      <c r="AE31" s="63">
        <f>(E31-D31)/10</f>
        <v>30.157000000000018</v>
      </c>
      <c r="AF31" s="63">
        <f>(F31-E31)/5</f>
        <v>0</v>
      </c>
      <c r="AG31" s="63">
        <f>(G31-F31)/5</f>
        <v>0</v>
      </c>
      <c r="AH31" s="28">
        <v>1</v>
      </c>
    </row>
    <row r="32" spans="1:48" x14ac:dyDescent="0.2">
      <c r="A32" s="28">
        <v>372</v>
      </c>
      <c r="B32" s="28" t="s">
        <v>79</v>
      </c>
      <c r="C32" s="38">
        <v>461.64</v>
      </c>
      <c r="D32" s="38">
        <v>630.36</v>
      </c>
      <c r="E32" s="38">
        <v>720.38</v>
      </c>
      <c r="F32" s="38">
        <v>754.67</v>
      </c>
      <c r="G32" s="38">
        <v>782.02</v>
      </c>
      <c r="H32" s="38">
        <v>6889</v>
      </c>
      <c r="I32" s="54">
        <f>C32/$H32</f>
        <v>6.7011177239076791E-2</v>
      </c>
      <c r="J32" s="54">
        <f>D32/$H32</f>
        <v>9.1502395122659314E-2</v>
      </c>
      <c r="K32" s="54">
        <f>E32/$H32</f>
        <v>0.10456960371606909</v>
      </c>
      <c r="L32" s="54">
        <f>F32/$H32</f>
        <v>0.10954710407896646</v>
      </c>
      <c r="M32" s="54">
        <f>G32/$H32</f>
        <v>0.11351720133546232</v>
      </c>
      <c r="N32" s="51">
        <f>FORESTS[[#This Row],[Area_2020]]-FORESTS[[#This Row],[Area_1990]]</f>
        <v>320.38</v>
      </c>
      <c r="O32" s="51">
        <f>ABS(FORESTS[[#This Row],[Area_Delta]])</f>
        <v>320.38</v>
      </c>
      <c r="P32" s="104">
        <f>FORESTS[[#This Row],[Area_2020_%]]-FORESTS[[#This Row],[Area_1990_%]]</f>
        <v>4.6506024096385531E-2</v>
      </c>
      <c r="Q32" s="54" t="b">
        <f>IF(G32&gt;C32, TRUE, FALSE)</f>
        <v>1</v>
      </c>
      <c r="R32" s="51">
        <f>IF(Q32=TRUE,G32-C32,0)</f>
        <v>320.38</v>
      </c>
      <c r="S32" s="51">
        <f>IF(Q32=TRUE,0,C32-G32)</f>
        <v>0</v>
      </c>
      <c r="T32" s="48">
        <f>IF(J32&lt;I32,1,0)+IF(K32&lt;J32,1,0)+IF(L32&lt;K32,1,0)+IF(M32&lt;L32,1,0)</f>
        <v>0</v>
      </c>
      <c r="U32" s="43">
        <v>11.35</v>
      </c>
      <c r="V32" s="30">
        <v>0.62</v>
      </c>
      <c r="W32" s="38">
        <v>0.18</v>
      </c>
      <c r="X32" s="38">
        <f>D32-C32</f>
        <v>168.72000000000003</v>
      </c>
      <c r="Y32" s="38">
        <f>E32-D32</f>
        <v>90.019999999999982</v>
      </c>
      <c r="Z32" s="38">
        <f>F32-E32</f>
        <v>34.289999999999964</v>
      </c>
      <c r="AA32" s="38">
        <f>G32-F32</f>
        <v>27.350000000000023</v>
      </c>
      <c r="AB32" s="38">
        <f>FORESTS[[#This Row],[Column7]]+FORESTS[[#This Row],[Column8]]</f>
        <v>61.639999999999986</v>
      </c>
      <c r="AD32" s="63">
        <f>(D32-C32)/10</f>
        <v>16.872000000000003</v>
      </c>
      <c r="AE32" s="63">
        <f>(E32-D32)/10</f>
        <v>9.0019999999999989</v>
      </c>
      <c r="AF32" s="63">
        <f>(F32-E32)/5</f>
        <v>6.8579999999999925</v>
      </c>
      <c r="AG32" s="63">
        <f>(G32-F32)/5</f>
        <v>5.4700000000000042</v>
      </c>
    </row>
    <row r="33" spans="1:48" x14ac:dyDescent="0.2">
      <c r="A33" s="28">
        <v>474</v>
      </c>
      <c r="B33" s="28" t="s">
        <v>103</v>
      </c>
      <c r="C33" s="30">
        <v>47.84</v>
      </c>
      <c r="D33" s="30">
        <v>48.74</v>
      </c>
      <c r="E33" s="30">
        <v>50.29</v>
      </c>
      <c r="F33" s="30">
        <v>51.29</v>
      </c>
      <c r="G33" s="30">
        <v>52.29</v>
      </c>
      <c r="H33" s="30">
        <v>106</v>
      </c>
      <c r="I33" s="54">
        <f>C33/$H33</f>
        <v>0.45132075471698119</v>
      </c>
      <c r="J33" s="54">
        <f>D33/$H33</f>
        <v>0.45981132075471698</v>
      </c>
      <c r="K33" s="54">
        <f>E33/$H33</f>
        <v>0.47443396226415091</v>
      </c>
      <c r="L33" s="54">
        <f>F33/$H33</f>
        <v>0.48386792452830185</v>
      </c>
      <c r="M33" s="54">
        <f>G33/$H33</f>
        <v>0.49330188679245285</v>
      </c>
      <c r="N33" s="51">
        <f>FORESTS[[#This Row],[Area_2020]]-FORESTS[[#This Row],[Area_1990]]</f>
        <v>4.4499999999999957</v>
      </c>
      <c r="O33" s="51">
        <f>ABS(FORESTS[[#This Row],[Area_Delta]])</f>
        <v>4.4499999999999957</v>
      </c>
      <c r="P33" s="104">
        <f>FORESTS[[#This Row],[Area_2020_%]]-FORESTS[[#This Row],[Area_1990_%]]</f>
        <v>4.1981132075471661E-2</v>
      </c>
      <c r="Q33" s="54" t="b">
        <f>IF(G33&gt;C33, TRUE, FALSE)</f>
        <v>1</v>
      </c>
      <c r="R33" s="51">
        <f>IF(Q33=TRUE,G33-C33,0)</f>
        <v>4.4499999999999957</v>
      </c>
      <c r="S33" s="51">
        <f>IF(Q33=TRUE,0,C33-G33)</f>
        <v>0</v>
      </c>
      <c r="T33" s="48">
        <f>IF(J33&lt;I33,1,0)+IF(K33&lt;J33,1,0)+IF(L33&lt;K33,1,0)+IF(M33&lt;L33,1,0)</f>
        <v>0</v>
      </c>
      <c r="U33" s="48">
        <v>49.33</v>
      </c>
      <c r="V33" s="30">
        <v>0.16</v>
      </c>
      <c r="W33" s="30" t="s">
        <v>247</v>
      </c>
      <c r="X33" s="38">
        <f>D33-C33</f>
        <v>0.89999999999999858</v>
      </c>
      <c r="Y33" s="38">
        <f>E33-D33</f>
        <v>1.5499999999999972</v>
      </c>
      <c r="Z33" s="38">
        <f>F33-E33</f>
        <v>1</v>
      </c>
      <c r="AA33" s="38">
        <f>G33-F33</f>
        <v>1</v>
      </c>
      <c r="AB33" s="38">
        <f>FORESTS[[#This Row],[Column7]]+FORESTS[[#This Row],[Column8]]</f>
        <v>2</v>
      </c>
      <c r="AD33" s="63">
        <f>(D33-C33)/10</f>
        <v>8.9999999999999858E-2</v>
      </c>
      <c r="AE33" s="63">
        <f>(E33-D33)/10</f>
        <v>0.15499999999999972</v>
      </c>
      <c r="AF33" s="63">
        <f>(F33-E33)/5</f>
        <v>0.2</v>
      </c>
      <c r="AG33" s="63">
        <f>(G33-F33)/5</f>
        <v>0.2</v>
      </c>
    </row>
    <row r="34" spans="1:48" x14ac:dyDescent="0.2">
      <c r="A34" s="28">
        <v>638</v>
      </c>
      <c r="B34" s="28" t="s">
        <v>139</v>
      </c>
      <c r="C34" s="30">
        <v>87.95</v>
      </c>
      <c r="D34" s="30">
        <v>90.97</v>
      </c>
      <c r="E34" s="30">
        <v>93.99</v>
      </c>
      <c r="F34" s="30">
        <v>96.04</v>
      </c>
      <c r="G34" s="30">
        <v>98.44</v>
      </c>
      <c r="H34" s="30">
        <v>251</v>
      </c>
      <c r="I34" s="54">
        <f>C34/$H34</f>
        <v>0.35039840637450198</v>
      </c>
      <c r="J34" s="54">
        <f>D34/$H34</f>
        <v>0.36243027888446216</v>
      </c>
      <c r="K34" s="54">
        <f>E34/$H34</f>
        <v>0.37446215139442229</v>
      </c>
      <c r="L34" s="54">
        <f>F34/$H34</f>
        <v>0.38262948207171316</v>
      </c>
      <c r="M34" s="54">
        <f>G34/$H34</f>
        <v>0.39219123505976095</v>
      </c>
      <c r="N34" s="51">
        <f>FORESTS[[#This Row],[Area_2020]]-FORESTS[[#This Row],[Area_1990]]</f>
        <v>10.489999999999995</v>
      </c>
      <c r="O34" s="51">
        <f>ABS(FORESTS[[#This Row],[Area_Delta]])</f>
        <v>10.489999999999995</v>
      </c>
      <c r="P34" s="104">
        <f>FORESTS[[#This Row],[Area_2020_%]]-FORESTS[[#This Row],[Area_1990_%]]</f>
        <v>4.1792828685258965E-2</v>
      </c>
      <c r="Q34" s="54" t="b">
        <f>IF(G34&gt;C34, TRUE, FALSE)</f>
        <v>1</v>
      </c>
      <c r="R34" s="51">
        <f>IF(Q34=TRUE,G34-C34,0)</f>
        <v>10.489999999999995</v>
      </c>
      <c r="S34" s="51">
        <f>IF(Q34=TRUE,0,C34-G34)</f>
        <v>0</v>
      </c>
      <c r="T34" s="48">
        <f>IF(J34&lt;I34,1,0)+IF(K34&lt;J34,1,0)+IF(L34&lt;K34,1,0)+IF(M34&lt;L34,1,0)</f>
        <v>0</v>
      </c>
      <c r="U34" s="48">
        <v>39.22</v>
      </c>
      <c r="V34" s="30">
        <v>0</v>
      </c>
      <c r="W34" s="30">
        <v>0</v>
      </c>
      <c r="X34" s="38">
        <f>D34-C34</f>
        <v>3.019999999999996</v>
      </c>
      <c r="Y34" s="38">
        <f>E34-D34</f>
        <v>3.019999999999996</v>
      </c>
      <c r="Z34" s="38">
        <f>F34-E34</f>
        <v>2.0500000000000114</v>
      </c>
      <c r="AA34" s="38">
        <f>G34-F34</f>
        <v>2.3999999999999915</v>
      </c>
      <c r="AB34" s="38">
        <f>FORESTS[[#This Row],[Column7]]+FORESTS[[#This Row],[Column8]]</f>
        <v>4.4500000000000028</v>
      </c>
      <c r="AD34" s="63">
        <f>(D34-C34)/10</f>
        <v>0.3019999999999996</v>
      </c>
      <c r="AE34" s="63">
        <f>(E34-D34)/10</f>
        <v>0.3019999999999996</v>
      </c>
      <c r="AF34" s="63">
        <f>(F34-E34)/5</f>
        <v>0.41000000000000225</v>
      </c>
      <c r="AG34" s="63">
        <f>(G34-F34)/5</f>
        <v>0.47999999999999832</v>
      </c>
    </row>
    <row r="35" spans="1:48" x14ac:dyDescent="0.2">
      <c r="A35" s="28">
        <v>440</v>
      </c>
      <c r="B35" s="28" t="s">
        <v>94</v>
      </c>
      <c r="C35" s="38">
        <v>1945</v>
      </c>
      <c r="D35" s="38">
        <v>2020</v>
      </c>
      <c r="E35" s="38">
        <v>2170</v>
      </c>
      <c r="F35" s="38">
        <v>2187</v>
      </c>
      <c r="G35" s="38">
        <v>2201</v>
      </c>
      <c r="H35" s="38">
        <v>6265</v>
      </c>
      <c r="I35" s="54">
        <f>C35/$H35</f>
        <v>0.31045490822027133</v>
      </c>
      <c r="J35" s="54">
        <f>D35/$H35</f>
        <v>0.3224261771747805</v>
      </c>
      <c r="K35" s="54">
        <f>E35/$H35</f>
        <v>0.34636871508379891</v>
      </c>
      <c r="L35" s="54">
        <f>F35/$H35</f>
        <v>0.34908220271348761</v>
      </c>
      <c r="M35" s="54">
        <f>G35/$H35</f>
        <v>0.35131683958499599</v>
      </c>
      <c r="N35" s="51">
        <f>FORESTS[[#This Row],[Area_2020]]-FORESTS[[#This Row],[Area_1990]]</f>
        <v>256</v>
      </c>
      <c r="O35" s="51">
        <f>ABS(FORESTS[[#This Row],[Area_Delta]])</f>
        <v>256</v>
      </c>
      <c r="P35" s="104">
        <f>FORESTS[[#This Row],[Area_2020_%]]-FORESTS[[#This Row],[Area_1990_%]]</f>
        <v>4.0861931364724657E-2</v>
      </c>
      <c r="Q35" s="54" t="b">
        <f>IF(G35&gt;C35, TRUE, FALSE)</f>
        <v>1</v>
      </c>
      <c r="R35" s="51">
        <f>IF(Q35=TRUE,G35-C35,0)</f>
        <v>256</v>
      </c>
      <c r="S35" s="51">
        <f>IF(Q35=TRUE,0,C35-G35)</f>
        <v>0</v>
      </c>
      <c r="T35" s="48">
        <f>IF(J35&lt;I35,1,0)+IF(K35&lt;J35,1,0)+IF(L35&lt;K35,1,0)+IF(M35&lt;L35,1,0)</f>
        <v>0</v>
      </c>
      <c r="U35" s="43">
        <v>35.130000000000003</v>
      </c>
      <c r="V35" s="30">
        <v>0.14000000000000001</v>
      </c>
      <c r="W35" s="38">
        <v>7.0000000000000007E-2</v>
      </c>
      <c r="X35" s="38">
        <f>D35-C35</f>
        <v>75</v>
      </c>
      <c r="Y35" s="38">
        <f>E35-D35</f>
        <v>150</v>
      </c>
      <c r="Z35" s="38">
        <f>F35-E35</f>
        <v>17</v>
      </c>
      <c r="AA35" s="38">
        <f>G35-F35</f>
        <v>14</v>
      </c>
      <c r="AB35" s="38">
        <f>FORESTS[[#This Row],[Column7]]+FORESTS[[#This Row],[Column8]]</f>
        <v>31</v>
      </c>
      <c r="AD35" s="63">
        <f>(D35-C35)/10</f>
        <v>7.5</v>
      </c>
      <c r="AE35" s="63">
        <f>(E35-D35)/10</f>
        <v>15</v>
      </c>
      <c r="AF35" s="63">
        <f>(F35-E35)/5</f>
        <v>3.4</v>
      </c>
      <c r="AG35" s="63">
        <f>(G35-F35)/5</f>
        <v>2.8</v>
      </c>
    </row>
    <row r="36" spans="1:48" x14ac:dyDescent="0.2">
      <c r="A36" s="28">
        <v>152</v>
      </c>
      <c r="B36" s="28" t="s">
        <v>31</v>
      </c>
      <c r="C36" s="38">
        <v>15246.05</v>
      </c>
      <c r="D36" s="38">
        <v>15817.06</v>
      </c>
      <c r="E36" s="38">
        <v>16725.259999999998</v>
      </c>
      <c r="F36" s="38">
        <v>17596.080000000002</v>
      </c>
      <c r="G36" s="38">
        <v>18210.7</v>
      </c>
      <c r="H36" s="38">
        <v>74353</v>
      </c>
      <c r="I36" s="54">
        <f>C36/$H36</f>
        <v>0.20504956087851195</v>
      </c>
      <c r="J36" s="54">
        <f>D36/$H36</f>
        <v>0.21272927790405227</v>
      </c>
      <c r="K36" s="54">
        <f>E36/$H36</f>
        <v>0.22494398343039285</v>
      </c>
      <c r="L36" s="54">
        <f>F36/$H36</f>
        <v>0.23665595201269621</v>
      </c>
      <c r="M36" s="54">
        <f>G36/$H36</f>
        <v>0.24492219547294664</v>
      </c>
      <c r="N36" s="51">
        <f>FORESTS[[#This Row],[Area_2020]]-FORESTS[[#This Row],[Area_1990]]</f>
        <v>2964.6500000000015</v>
      </c>
      <c r="O36" s="51">
        <f>ABS(FORESTS[[#This Row],[Area_Delta]])</f>
        <v>2964.6500000000015</v>
      </c>
      <c r="P36" s="104">
        <f>FORESTS[[#This Row],[Area_2020_%]]-FORESTS[[#This Row],[Area_1990_%]]</f>
        <v>3.9872634594434686E-2</v>
      </c>
      <c r="Q36" s="48" t="b">
        <f>IF(G36&gt;C36, TRUE, FALSE)</f>
        <v>1</v>
      </c>
      <c r="R36" s="51">
        <f>IF(Q36=TRUE,G36-C36,0)</f>
        <v>2964.6500000000015</v>
      </c>
      <c r="S36" s="51">
        <f>IF(Q36=TRUE,0,C36-G36)</f>
        <v>0</v>
      </c>
      <c r="T36" s="62">
        <f>IF(J36&lt;I36,1,0)+IF(K36&lt;J36,1,0)+IF(L36&lt;K36,1,0)+IF(M36&lt;L36,1,0)</f>
        <v>0</v>
      </c>
      <c r="U36" s="43">
        <v>24.49</v>
      </c>
      <c r="V36" s="30">
        <v>9.4</v>
      </c>
      <c r="W36" s="38">
        <v>74.95</v>
      </c>
      <c r="X36" s="38">
        <f>D36-C36</f>
        <v>571.01000000000022</v>
      </c>
      <c r="Y36" s="38">
        <f>E36-D36</f>
        <v>908.19999999999891</v>
      </c>
      <c r="Z36" s="38">
        <f>F36-E36</f>
        <v>870.82000000000335</v>
      </c>
      <c r="AA36" s="38">
        <f>G36-F36</f>
        <v>614.61999999999898</v>
      </c>
      <c r="AB36" s="38">
        <f>FORESTS[[#This Row],[Column7]]+FORESTS[[#This Row],[Column8]]</f>
        <v>1485.4400000000023</v>
      </c>
      <c r="AD36" s="63">
        <f>(D36-C36)/10</f>
        <v>57.10100000000002</v>
      </c>
      <c r="AE36" s="63">
        <f>(E36-D36)/10</f>
        <v>90.819999999999894</v>
      </c>
      <c r="AF36" s="63">
        <f>(F36-E36)/5</f>
        <v>174.16400000000067</v>
      </c>
      <c r="AG36" s="63">
        <f>(G36-F36)/5</f>
        <v>122.92399999999979</v>
      </c>
      <c r="AH36" s="28">
        <v>1</v>
      </c>
    </row>
    <row r="37" spans="1:48" x14ac:dyDescent="0.2">
      <c r="A37" s="28">
        <v>428</v>
      </c>
      <c r="B37" s="28" t="s">
        <v>89</v>
      </c>
      <c r="C37" s="38">
        <v>3173</v>
      </c>
      <c r="D37" s="38">
        <v>3241</v>
      </c>
      <c r="E37" s="38">
        <v>3372.12</v>
      </c>
      <c r="F37" s="38">
        <v>3391.44</v>
      </c>
      <c r="G37" s="38">
        <v>3410.79</v>
      </c>
      <c r="H37" s="38">
        <v>6218</v>
      </c>
      <c r="I37" s="54">
        <f>C37/$H37</f>
        <v>0.51029269861691862</v>
      </c>
      <c r="J37" s="54">
        <f>D37/$H37</f>
        <v>0.52122869089739465</v>
      </c>
      <c r="K37" s="54">
        <f>E37/$H37</f>
        <v>0.5423158571888067</v>
      </c>
      <c r="L37" s="54">
        <f>F37/$H37</f>
        <v>0.545422965583789</v>
      </c>
      <c r="M37" s="54">
        <f>G37/$H37</f>
        <v>0.54853489868124794</v>
      </c>
      <c r="N37" s="51">
        <f>FORESTS[[#This Row],[Area_2020]]-FORESTS[[#This Row],[Area_1990]]</f>
        <v>237.78999999999996</v>
      </c>
      <c r="O37" s="51">
        <f>ABS(FORESTS[[#This Row],[Area_Delta]])</f>
        <v>237.78999999999996</v>
      </c>
      <c r="P37" s="104">
        <f>FORESTS[[#This Row],[Area_2020_%]]-FORESTS[[#This Row],[Area_1990_%]]</f>
        <v>3.8242200064329324E-2</v>
      </c>
      <c r="Q37" s="54" t="b">
        <f>IF(G37&gt;C37, TRUE, FALSE)</f>
        <v>1</v>
      </c>
      <c r="R37" s="51">
        <f>IF(Q37=TRUE,G37-C37,0)</f>
        <v>237.78999999999996</v>
      </c>
      <c r="S37" s="51">
        <f>IF(Q37=TRUE,0,C37-G37)</f>
        <v>0</v>
      </c>
      <c r="T37" s="48">
        <f>IF(J37&lt;I37,1,0)+IF(K37&lt;J37,1,0)+IF(L37&lt;K37,1,0)+IF(M37&lt;L37,1,0)</f>
        <v>0</v>
      </c>
      <c r="U37" s="43">
        <v>54.85</v>
      </c>
      <c r="V37" s="30">
        <v>0.36</v>
      </c>
      <c r="W37" s="38">
        <v>0.32</v>
      </c>
      <c r="X37" s="38">
        <f>D37-C37</f>
        <v>68</v>
      </c>
      <c r="Y37" s="38">
        <f>E37-D37</f>
        <v>131.11999999999989</v>
      </c>
      <c r="Z37" s="38">
        <f>F37-E37</f>
        <v>19.320000000000164</v>
      </c>
      <c r="AA37" s="38">
        <f>G37-F37</f>
        <v>19.349999999999909</v>
      </c>
      <c r="AB37" s="38">
        <f>FORESTS[[#This Row],[Column7]]+FORESTS[[#This Row],[Column8]]</f>
        <v>38.670000000000073</v>
      </c>
      <c r="AD37" s="63">
        <f>(D37-C37)/10</f>
        <v>6.8</v>
      </c>
      <c r="AE37" s="63">
        <f>(E37-D37)/10</f>
        <v>13.111999999999989</v>
      </c>
      <c r="AF37" s="63">
        <f>(F37-E37)/5</f>
        <v>3.8640000000000327</v>
      </c>
      <c r="AG37" s="63">
        <f>(G37-F37)/5</f>
        <v>3.8699999999999819</v>
      </c>
    </row>
    <row r="38" spans="1:48" x14ac:dyDescent="0.2">
      <c r="A38" s="28">
        <v>807</v>
      </c>
      <c r="B38" s="28" t="s">
        <v>236</v>
      </c>
      <c r="C38" s="30">
        <v>912</v>
      </c>
      <c r="D38" s="30">
        <v>957.55</v>
      </c>
      <c r="E38" s="30">
        <v>960.43</v>
      </c>
      <c r="F38" s="30">
        <v>994.4</v>
      </c>
      <c r="G38" s="30">
        <v>1001.49</v>
      </c>
      <c r="H38" s="30">
        <v>2522</v>
      </c>
      <c r="I38" s="54">
        <f>C38/$H38</f>
        <v>0.36161776367961934</v>
      </c>
      <c r="J38" s="54">
        <f>D38/$H38</f>
        <v>0.37967882632831085</v>
      </c>
      <c r="K38" s="54">
        <f>E38/$H38</f>
        <v>0.38082077716098334</v>
      </c>
      <c r="L38" s="54">
        <f>F38/$H38</f>
        <v>0.39429024583663758</v>
      </c>
      <c r="M38" s="54">
        <f>G38/$H38</f>
        <v>0.39710150674068201</v>
      </c>
      <c r="N38" s="51">
        <f>FORESTS[[#This Row],[Area_2020]]-FORESTS[[#This Row],[Area_1990]]</f>
        <v>89.490000000000009</v>
      </c>
      <c r="O38" s="51">
        <f>ABS(FORESTS[[#This Row],[Area_Delta]])</f>
        <v>89.490000000000009</v>
      </c>
      <c r="P38" s="104">
        <f>FORESTS[[#This Row],[Area_2020_%]]-FORESTS[[#This Row],[Area_1990_%]]</f>
        <v>3.5483743061062667E-2</v>
      </c>
      <c r="Q38" s="54" t="b">
        <f>IF(G38&gt;C38, TRUE, FALSE)</f>
        <v>1</v>
      </c>
      <c r="R38" s="51">
        <f>IF(Q38=TRUE,G38-C38,0)</f>
        <v>89.490000000000009</v>
      </c>
      <c r="S38" s="51">
        <f>IF(Q38=TRUE,0,C38-G38)</f>
        <v>0</v>
      </c>
      <c r="T38" s="48">
        <f>IF(J38&lt;I38,1,0)+IF(K38&lt;J38,1,0)+IF(L38&lt;K38,1,0)+IF(M38&lt;L38,1,0)</f>
        <v>0</v>
      </c>
      <c r="U38" s="48">
        <v>39.71</v>
      </c>
      <c r="V38" s="30" t="s">
        <v>247</v>
      </c>
      <c r="W38" s="30">
        <v>3.17</v>
      </c>
      <c r="X38" s="38">
        <f>D38-C38</f>
        <v>45.549999999999955</v>
      </c>
      <c r="Y38" s="38">
        <f>E38-D38</f>
        <v>2.8799999999999955</v>
      </c>
      <c r="Z38" s="38">
        <f>F38-E38</f>
        <v>33.970000000000027</v>
      </c>
      <c r="AA38" s="38">
        <f>G38-F38</f>
        <v>7.0900000000000318</v>
      </c>
      <c r="AB38" s="38">
        <f>FORESTS[[#This Row],[Column7]]+FORESTS[[#This Row],[Column8]]</f>
        <v>41.060000000000059</v>
      </c>
      <c r="AD38" s="63">
        <f>(D38-C38)/10</f>
        <v>4.5549999999999953</v>
      </c>
      <c r="AE38" s="63">
        <f>(E38-D38)/10</f>
        <v>0.28799999999999953</v>
      </c>
      <c r="AF38" s="63">
        <f>(F38-E38)/5</f>
        <v>6.7940000000000058</v>
      </c>
      <c r="AG38" s="63">
        <f>(G38-F38)/5</f>
        <v>1.4180000000000064</v>
      </c>
    </row>
    <row r="39" spans="1:48" x14ac:dyDescent="0.2">
      <c r="A39" s="28">
        <v>792</v>
      </c>
      <c r="B39" s="28" t="s">
        <v>170</v>
      </c>
      <c r="C39" s="38">
        <v>19783.48</v>
      </c>
      <c r="D39" s="38">
        <v>20148.349999999999</v>
      </c>
      <c r="E39" s="38">
        <v>21083.08</v>
      </c>
      <c r="F39" s="38">
        <v>21630.3</v>
      </c>
      <c r="G39" s="38">
        <v>22220.36</v>
      </c>
      <c r="H39" s="38">
        <v>76963</v>
      </c>
      <c r="I39" s="54">
        <f>C39/$H39</f>
        <v>0.25705183010017801</v>
      </c>
      <c r="J39" s="54">
        <f>D39/$H39</f>
        <v>0.26179267959928793</v>
      </c>
      <c r="K39" s="54">
        <f>E39/$H39</f>
        <v>0.27393786624741762</v>
      </c>
      <c r="L39" s="54">
        <f>F39/$H39</f>
        <v>0.28104803606928003</v>
      </c>
      <c r="M39" s="54">
        <f>G39/$H39</f>
        <v>0.28871483699959721</v>
      </c>
      <c r="N39" s="51">
        <f>FORESTS[[#This Row],[Area_2020]]-FORESTS[[#This Row],[Area_1990]]</f>
        <v>2436.880000000001</v>
      </c>
      <c r="O39" s="51">
        <f>ABS(FORESTS[[#This Row],[Area_Delta]])</f>
        <v>2436.880000000001</v>
      </c>
      <c r="P39" s="104">
        <f>FORESTS[[#This Row],[Area_2020_%]]-FORESTS[[#This Row],[Area_1990_%]]</f>
        <v>3.1663006899419199E-2</v>
      </c>
      <c r="Q39" s="48" t="b">
        <f>IF(G39&gt;C39, TRUE, FALSE)</f>
        <v>1</v>
      </c>
      <c r="R39" s="51">
        <f>IF(Q39=TRUE,G39-C39,0)</f>
        <v>2436.880000000001</v>
      </c>
      <c r="S39" s="51">
        <f>IF(Q39=TRUE,0,C39-G39)</f>
        <v>0</v>
      </c>
      <c r="T39" s="62">
        <f>IF(J39&lt;I39,1,0)+IF(K39&lt;J39,1,0)+IF(L39&lt;K39,1,0)+IF(M39&lt;L39,1,0)</f>
        <v>0</v>
      </c>
      <c r="U39" s="43">
        <v>28.87</v>
      </c>
      <c r="V39" s="30">
        <v>1.17</v>
      </c>
      <c r="W39" s="38">
        <v>3.22</v>
      </c>
      <c r="X39" s="38">
        <f>D39-C39</f>
        <v>364.86999999999898</v>
      </c>
      <c r="Y39" s="38">
        <f>E39-D39</f>
        <v>934.7300000000032</v>
      </c>
      <c r="Z39" s="38">
        <f>F39-E39</f>
        <v>547.21999999999753</v>
      </c>
      <c r="AA39" s="38">
        <f>G39-F39</f>
        <v>590.06000000000131</v>
      </c>
      <c r="AB39" s="38">
        <f>FORESTS[[#This Row],[Column7]]+FORESTS[[#This Row],[Column8]]</f>
        <v>1137.2799999999988</v>
      </c>
      <c r="AD39" s="63">
        <f>(D39-C39)/10</f>
        <v>36.486999999999895</v>
      </c>
      <c r="AE39" s="63">
        <f>(E39-D39)/10</f>
        <v>93.473000000000326</v>
      </c>
      <c r="AF39" s="63">
        <f>(F39-E39)/5</f>
        <v>109.44399999999951</v>
      </c>
      <c r="AG39" s="63">
        <f>(G39-F39)/5</f>
        <v>118.01200000000026</v>
      </c>
      <c r="AH39" s="28">
        <v>1</v>
      </c>
    </row>
    <row r="40" spans="1:48" x14ac:dyDescent="0.2">
      <c r="A40" s="28">
        <v>756</v>
      </c>
      <c r="B40" s="28" t="s">
        <v>161</v>
      </c>
      <c r="C40" s="30">
        <v>1153.5</v>
      </c>
      <c r="D40" s="30">
        <v>1196.18</v>
      </c>
      <c r="E40" s="30">
        <v>1234.72</v>
      </c>
      <c r="F40" s="30">
        <v>1251.9100000000001</v>
      </c>
      <c r="G40" s="30">
        <v>1269.1099999999999</v>
      </c>
      <c r="H40" s="30">
        <v>3952</v>
      </c>
      <c r="I40" s="54">
        <f>C40/$H40</f>
        <v>0.29187753036437247</v>
      </c>
      <c r="J40" s="54">
        <f>D40/$H40</f>
        <v>0.3026771255060729</v>
      </c>
      <c r="K40" s="54">
        <f>E40/$H40</f>
        <v>0.31242914979757086</v>
      </c>
      <c r="L40" s="54">
        <f>F40/$H40</f>
        <v>0.31677884615384616</v>
      </c>
      <c r="M40" s="54">
        <f>G40/$H40</f>
        <v>0.32113107287449388</v>
      </c>
      <c r="N40" s="51">
        <f>FORESTS[[#This Row],[Area_2020]]-FORESTS[[#This Row],[Area_1990]]</f>
        <v>115.6099999999999</v>
      </c>
      <c r="O40" s="51">
        <f>ABS(FORESTS[[#This Row],[Area_Delta]])</f>
        <v>115.6099999999999</v>
      </c>
      <c r="P40" s="104">
        <f>FORESTS[[#This Row],[Area_2020_%]]-FORESTS[[#This Row],[Area_1990_%]]</f>
        <v>2.9253542510121411E-2</v>
      </c>
      <c r="Q40" s="54" t="b">
        <f>IF(G40&gt;C40, TRUE, FALSE)</f>
        <v>1</v>
      </c>
      <c r="R40" s="51">
        <f>IF(Q40=TRUE,G40-C40,0)</f>
        <v>115.6099999999999</v>
      </c>
      <c r="S40" s="51">
        <f>IF(Q40=TRUE,0,C40-G40)</f>
        <v>0</v>
      </c>
      <c r="T40" s="48">
        <f>IF(J40&lt;I40,1,0)+IF(K40&lt;J40,1,0)+IF(L40&lt;K40,1,0)+IF(M40&lt;L40,1,0)</f>
        <v>0</v>
      </c>
      <c r="U40" s="48">
        <v>32.11</v>
      </c>
      <c r="V40" s="30">
        <v>1.34</v>
      </c>
      <c r="W40" s="30">
        <v>0.02</v>
      </c>
      <c r="X40" s="38">
        <f>D40-C40</f>
        <v>42.680000000000064</v>
      </c>
      <c r="Y40" s="38">
        <f>E40-D40</f>
        <v>38.539999999999964</v>
      </c>
      <c r="Z40" s="38">
        <f>F40-E40</f>
        <v>17.190000000000055</v>
      </c>
      <c r="AA40" s="38">
        <f>G40-F40</f>
        <v>17.199999999999818</v>
      </c>
      <c r="AB40" s="38">
        <f>FORESTS[[#This Row],[Column7]]+FORESTS[[#This Row],[Column8]]</f>
        <v>34.389999999999873</v>
      </c>
      <c r="AD40" s="63">
        <f>(D40-C40)/10</f>
        <v>4.268000000000006</v>
      </c>
      <c r="AE40" s="63">
        <f>(E40-D40)/10</f>
        <v>3.8539999999999965</v>
      </c>
      <c r="AF40" s="63">
        <f>(F40-E40)/5</f>
        <v>3.4380000000000108</v>
      </c>
      <c r="AG40" s="63">
        <f>(G40-F40)/5</f>
        <v>3.4399999999999635</v>
      </c>
    </row>
    <row r="41" spans="1:48" x14ac:dyDescent="0.2">
      <c r="A41" s="28">
        <v>184</v>
      </c>
      <c r="B41" s="28" t="s">
        <v>36</v>
      </c>
      <c r="C41" s="30">
        <v>14.91</v>
      </c>
      <c r="D41" s="30">
        <v>15.57</v>
      </c>
      <c r="E41" s="30">
        <v>15.59</v>
      </c>
      <c r="F41" s="30">
        <v>15.59</v>
      </c>
      <c r="G41" s="30">
        <v>15.59</v>
      </c>
      <c r="H41" s="30">
        <v>24</v>
      </c>
      <c r="I41" s="54">
        <f>C41/$H41</f>
        <v>0.62124999999999997</v>
      </c>
      <c r="J41" s="54">
        <f>D41/$H41</f>
        <v>0.64875000000000005</v>
      </c>
      <c r="K41" s="54">
        <f>E41/$H41</f>
        <v>0.64958333333333329</v>
      </c>
      <c r="L41" s="54">
        <f>F41/$H41</f>
        <v>0.64958333333333329</v>
      </c>
      <c r="M41" s="54">
        <f>G41/$H41</f>
        <v>0.64958333333333329</v>
      </c>
      <c r="N41" s="51">
        <f>FORESTS[[#This Row],[Area_2020]]-FORESTS[[#This Row],[Area_1990]]</f>
        <v>0.67999999999999972</v>
      </c>
      <c r="O41" s="51">
        <f>ABS(FORESTS[[#This Row],[Area_Delta]])</f>
        <v>0.67999999999999972</v>
      </c>
      <c r="P41" s="104">
        <f>FORESTS[[#This Row],[Area_2020_%]]-FORESTS[[#This Row],[Area_1990_%]]</f>
        <v>2.8333333333333321E-2</v>
      </c>
      <c r="Q41" s="54" t="b">
        <f>IF(G41&gt;C41, TRUE, FALSE)</f>
        <v>1</v>
      </c>
      <c r="R41" s="51">
        <f>IF(Q41=TRUE,G41-C41,0)</f>
        <v>0.67999999999999972</v>
      </c>
      <c r="S41" s="51">
        <f>IF(Q41=TRUE,0,C41-G41)</f>
        <v>0</v>
      </c>
      <c r="T41" s="48">
        <f>IF(J41&lt;I41,1,0)+IF(K41&lt;J41,1,0)+IF(L41&lt;K41,1,0)+IF(M41&lt;L41,1,0)</f>
        <v>0</v>
      </c>
      <c r="U41" s="48">
        <v>64.959999999999994</v>
      </c>
      <c r="V41" s="30" t="s">
        <v>247</v>
      </c>
      <c r="W41" s="30" t="s">
        <v>247</v>
      </c>
      <c r="X41" s="38">
        <f>D41-C41</f>
        <v>0.66000000000000014</v>
      </c>
      <c r="Y41" s="38">
        <f>E41-D41</f>
        <v>1.9999999999999574E-2</v>
      </c>
      <c r="Z41" s="38">
        <f>F41-E41</f>
        <v>0</v>
      </c>
      <c r="AA41" s="38">
        <f>G41-F41</f>
        <v>0</v>
      </c>
      <c r="AB41" s="38">
        <f>FORESTS[[#This Row],[Column7]]+FORESTS[[#This Row],[Column8]]</f>
        <v>0</v>
      </c>
      <c r="AD41" s="63">
        <f>(D41-C41)/10</f>
        <v>6.6000000000000017E-2</v>
      </c>
      <c r="AE41" s="63">
        <f>(E41-D41)/10</f>
        <v>1.9999999999999575E-3</v>
      </c>
      <c r="AF41" s="63">
        <f>(F41-E41)/5</f>
        <v>0</v>
      </c>
      <c r="AG41" s="63">
        <f>(G41-F41)/5</f>
        <v>0</v>
      </c>
      <c r="AT41" cm="1">
        <f t="array" ref="AT41:AV43">_xlfn.MAKEARRAY(3, 3, _xlfn.LAMBDA(_xlpm.r,_xlpm.c, _xlpm.r*_xlpm.c))</f>
        <v>1</v>
      </c>
      <c r="AU41" s="28">
        <v>2</v>
      </c>
      <c r="AV41" s="28">
        <v>3</v>
      </c>
    </row>
    <row r="42" spans="1:48" x14ac:dyDescent="0.2">
      <c r="A42" s="28">
        <v>356</v>
      </c>
      <c r="B42" s="28" t="s">
        <v>75</v>
      </c>
      <c r="C42" s="38">
        <v>63938</v>
      </c>
      <c r="D42" s="38">
        <v>67591</v>
      </c>
      <c r="E42" s="38">
        <v>69496</v>
      </c>
      <c r="F42" s="38">
        <v>70828</v>
      </c>
      <c r="G42" s="38">
        <v>72160</v>
      </c>
      <c r="H42" s="38">
        <v>297319</v>
      </c>
      <c r="I42" s="54">
        <f>C42/$H42</f>
        <v>0.21504848327890247</v>
      </c>
      <c r="J42" s="54">
        <f>D42/$H42</f>
        <v>0.22733495000319523</v>
      </c>
      <c r="K42" s="54">
        <f>E42/$H42</f>
        <v>0.23374220954597588</v>
      </c>
      <c r="L42" s="54">
        <f>F42/$H42</f>
        <v>0.23822224613966816</v>
      </c>
      <c r="M42" s="54">
        <f>G42/$H42</f>
        <v>0.24270228273336047</v>
      </c>
      <c r="N42" s="51">
        <f>FORESTS[[#This Row],[Area_2020]]-FORESTS[[#This Row],[Area_1990]]</f>
        <v>8222</v>
      </c>
      <c r="O42" s="51">
        <f>ABS(FORESTS[[#This Row],[Area_Delta]])</f>
        <v>8222</v>
      </c>
      <c r="P42" s="104">
        <f>FORESTS[[#This Row],[Area_2020_%]]-FORESTS[[#This Row],[Area_1990_%]]</f>
        <v>2.7653799454458006E-2</v>
      </c>
      <c r="Q42" s="48" t="b">
        <f>IF(G42&gt;C42, TRUE, FALSE)</f>
        <v>1</v>
      </c>
      <c r="R42" s="51">
        <f>IF(Q42=TRUE,G42-C42,0)</f>
        <v>8222</v>
      </c>
      <c r="S42" s="51">
        <f>IF(Q42=TRUE,0,C42-G42)</f>
        <v>0</v>
      </c>
      <c r="T42" s="62">
        <f>IF(J42&lt;I42,1,0)+IF(K42&lt;J42,1,0)+IF(L42&lt;K42,1,0)+IF(M42&lt;L42,1,0)</f>
        <v>0</v>
      </c>
      <c r="U42" s="43">
        <v>24.27</v>
      </c>
      <c r="V42" s="30">
        <v>668.4</v>
      </c>
      <c r="W42" s="38">
        <v>3577</v>
      </c>
      <c r="X42" s="38">
        <f>D42-C42</f>
        <v>3653</v>
      </c>
      <c r="Y42" s="38">
        <f>E42-D42</f>
        <v>1905</v>
      </c>
      <c r="Z42" s="38">
        <f>F42-E42</f>
        <v>1332</v>
      </c>
      <c r="AA42" s="38">
        <f>G42-F42</f>
        <v>1332</v>
      </c>
      <c r="AB42" s="38">
        <f>FORESTS[[#This Row],[Column7]]+FORESTS[[#This Row],[Column8]]</f>
        <v>2664</v>
      </c>
      <c r="AD42" s="63">
        <f>(D42-C42)/10</f>
        <v>365.3</v>
      </c>
      <c r="AE42" s="63">
        <f>(E42-D42)/10</f>
        <v>190.5</v>
      </c>
      <c r="AF42" s="63">
        <f>(F42-E42)/5</f>
        <v>266.39999999999998</v>
      </c>
      <c r="AG42" s="63">
        <f>(G42-F42)/5</f>
        <v>266.39999999999998</v>
      </c>
      <c r="AT42" s="28">
        <v>2</v>
      </c>
      <c r="AU42" s="28">
        <v>4</v>
      </c>
      <c r="AV42" s="28">
        <v>6</v>
      </c>
    </row>
    <row r="43" spans="1:48" x14ac:dyDescent="0.2">
      <c r="A43" s="28">
        <v>860</v>
      </c>
      <c r="B43" s="28" t="s">
        <v>179</v>
      </c>
      <c r="C43" s="38">
        <v>2549.37</v>
      </c>
      <c r="D43" s="38">
        <v>2961.46</v>
      </c>
      <c r="E43" s="38">
        <v>3349.6</v>
      </c>
      <c r="F43" s="38">
        <v>3549.4</v>
      </c>
      <c r="G43" s="38">
        <v>3689.66</v>
      </c>
      <c r="H43" s="38">
        <v>42540</v>
      </c>
      <c r="I43" s="54">
        <f>C43/$H43</f>
        <v>5.9928772919605078E-2</v>
      </c>
      <c r="J43" s="54">
        <f>D43/$H43</f>
        <v>6.9615890926187113E-2</v>
      </c>
      <c r="K43" s="54">
        <f>E43/$H43</f>
        <v>7.8740009402914896E-2</v>
      </c>
      <c r="L43" s="54">
        <f>F43/$H43</f>
        <v>8.3436765397273155E-2</v>
      </c>
      <c r="M43" s="54">
        <f>G43/$H43</f>
        <v>8.6733897508227548E-2</v>
      </c>
      <c r="N43" s="51">
        <f>FORESTS[[#This Row],[Area_2020]]-FORESTS[[#This Row],[Area_1990]]</f>
        <v>1140.29</v>
      </c>
      <c r="O43" s="51">
        <f>ABS(FORESTS[[#This Row],[Area_Delta]])</f>
        <v>1140.29</v>
      </c>
      <c r="P43" s="104">
        <f>FORESTS[[#This Row],[Area_2020_%]]-FORESTS[[#This Row],[Area_1990_%]]</f>
        <v>2.680512458862247E-2</v>
      </c>
      <c r="Q43" s="48" t="b">
        <f>IF(G43&gt;C43, TRUE, FALSE)</f>
        <v>1</v>
      </c>
      <c r="R43" s="51">
        <f>IF(Q43=TRUE,G43-C43,0)</f>
        <v>1140.29</v>
      </c>
      <c r="S43" s="51">
        <f>IF(Q43=TRUE,0,C43-G43)</f>
        <v>0</v>
      </c>
      <c r="T43" s="48">
        <f>IF(J43&lt;I43,1,0)+IF(K43&lt;J43,1,0)+IF(L43&lt;K43,1,0)+IF(M43&lt;L43,1,0)</f>
        <v>0</v>
      </c>
      <c r="U43" s="43">
        <v>8.67</v>
      </c>
      <c r="V43" s="30">
        <v>14.15</v>
      </c>
      <c r="W43" s="38">
        <v>0.17</v>
      </c>
      <c r="X43" s="38">
        <f>D43-C43</f>
        <v>412.09000000000015</v>
      </c>
      <c r="Y43" s="38">
        <f>E43-D43</f>
        <v>388.13999999999987</v>
      </c>
      <c r="Z43" s="38">
        <f>F43-E43</f>
        <v>199.80000000000018</v>
      </c>
      <c r="AA43" s="38">
        <f>G43-F43</f>
        <v>140.25999999999976</v>
      </c>
      <c r="AB43" s="38">
        <f>FORESTS[[#This Row],[Column7]]+FORESTS[[#This Row],[Column8]]</f>
        <v>340.05999999999995</v>
      </c>
      <c r="AD43" s="63">
        <f>(D43-C43)/10</f>
        <v>41.209000000000017</v>
      </c>
      <c r="AE43" s="63">
        <f>(E43-D43)/10</f>
        <v>38.813999999999986</v>
      </c>
      <c r="AF43" s="63">
        <f>(F43-E43)/5</f>
        <v>39.960000000000036</v>
      </c>
      <c r="AG43" s="63">
        <f>(G43-F43)/5</f>
        <v>28.051999999999953</v>
      </c>
      <c r="AT43" s="28">
        <v>3</v>
      </c>
      <c r="AU43" s="28">
        <v>6</v>
      </c>
      <c r="AV43" s="28">
        <v>9</v>
      </c>
    </row>
    <row r="44" spans="1:48" x14ac:dyDescent="0.2">
      <c r="A44" s="28">
        <v>348</v>
      </c>
      <c r="B44" s="28" t="s">
        <v>73</v>
      </c>
      <c r="C44" s="38">
        <v>1813.9</v>
      </c>
      <c r="D44" s="38">
        <v>1921.17</v>
      </c>
      <c r="E44" s="38">
        <v>2046.39</v>
      </c>
      <c r="F44" s="38">
        <v>2060.8200000000002</v>
      </c>
      <c r="G44" s="38">
        <v>2053.0100000000002</v>
      </c>
      <c r="H44" s="38">
        <v>9053</v>
      </c>
      <c r="I44" s="54">
        <f>C44/$H44</f>
        <v>0.2003645200486027</v>
      </c>
      <c r="J44" s="54">
        <f>D44/$H44</f>
        <v>0.21221363084060532</v>
      </c>
      <c r="K44" s="54">
        <f>E44/$H44</f>
        <v>0.22604550977576496</v>
      </c>
      <c r="L44" s="54">
        <f>F44/$H44</f>
        <v>0.22763945653374573</v>
      </c>
      <c r="M44" s="54">
        <f>G44/$H44</f>
        <v>0.22677675908538608</v>
      </c>
      <c r="N44" s="51">
        <f>FORESTS[[#This Row],[Area_2020]]-FORESTS[[#This Row],[Area_1990]]</f>
        <v>239.11000000000013</v>
      </c>
      <c r="O44" s="51">
        <f>ABS(FORESTS[[#This Row],[Area_Delta]])</f>
        <v>239.11000000000013</v>
      </c>
      <c r="P44" s="104">
        <f>FORESTS[[#This Row],[Area_2020_%]]-FORESTS[[#This Row],[Area_1990_%]]</f>
        <v>2.6412239036783386E-2</v>
      </c>
      <c r="Q44" s="54" t="b">
        <f>IF(G44&gt;C44, TRUE, FALSE)</f>
        <v>1</v>
      </c>
      <c r="R44" s="51">
        <f>IF(Q44=TRUE,G44-C44,0)</f>
        <v>239.11000000000013</v>
      </c>
      <c r="S44" s="51">
        <f>IF(Q44=TRUE,0,C44-G44)</f>
        <v>0</v>
      </c>
      <c r="T44" s="48">
        <f>IF(J44&lt;I44,1,0)+IF(K44&lt;J44,1,0)+IF(L44&lt;K44,1,0)+IF(M44&lt;L44,1,0)</f>
        <v>1</v>
      </c>
      <c r="U44" s="43">
        <v>22.68</v>
      </c>
      <c r="V44" s="30">
        <v>3.14</v>
      </c>
      <c r="W44" s="38">
        <v>1.6</v>
      </c>
      <c r="X44" s="38">
        <f>D44-C44</f>
        <v>107.26999999999998</v>
      </c>
      <c r="Y44" s="38">
        <f>E44-D44</f>
        <v>125.22000000000003</v>
      </c>
      <c r="Z44" s="38">
        <f>F44-E44</f>
        <v>14.430000000000064</v>
      </c>
      <c r="AA44" s="38">
        <f>G44-F44</f>
        <v>-7.8099999999999454</v>
      </c>
      <c r="AB44" s="38">
        <f>FORESTS[[#This Row],[Column7]]+FORESTS[[#This Row],[Column8]]</f>
        <v>6.6200000000001182</v>
      </c>
      <c r="AD44" s="63">
        <f>(D44-C44)/10</f>
        <v>10.726999999999999</v>
      </c>
      <c r="AE44" s="63">
        <f>(E44-D44)/10</f>
        <v>12.522000000000002</v>
      </c>
      <c r="AF44" s="63">
        <f>(F44-E44)/5</f>
        <v>2.8860000000000126</v>
      </c>
      <c r="AG44" s="63">
        <f>(G44-F44)/5</f>
        <v>-1.5619999999999892</v>
      </c>
    </row>
    <row r="45" spans="1:48" x14ac:dyDescent="0.2">
      <c r="A45" s="28">
        <v>670</v>
      </c>
      <c r="B45" s="28" t="s">
        <v>141</v>
      </c>
      <c r="C45" s="30">
        <v>27.54</v>
      </c>
      <c r="D45" s="30">
        <v>28.54</v>
      </c>
      <c r="E45" s="30">
        <v>28.54</v>
      </c>
      <c r="F45" s="30">
        <v>28.54</v>
      </c>
      <c r="G45" s="30">
        <v>28.54</v>
      </c>
      <c r="H45" s="30">
        <v>39</v>
      </c>
      <c r="I45" s="54">
        <f>C45/$H45</f>
        <v>0.70615384615384613</v>
      </c>
      <c r="J45" s="54">
        <f>D45/$H45</f>
        <v>0.73179487179487179</v>
      </c>
      <c r="K45" s="54">
        <f>E45/$H45</f>
        <v>0.73179487179487179</v>
      </c>
      <c r="L45" s="54">
        <f>F45/$H45</f>
        <v>0.73179487179487179</v>
      </c>
      <c r="M45" s="54">
        <f>G45/$H45</f>
        <v>0.73179487179487179</v>
      </c>
      <c r="N45" s="51">
        <f>FORESTS[[#This Row],[Area_2020]]-FORESTS[[#This Row],[Area_1990]]</f>
        <v>1</v>
      </c>
      <c r="O45" s="51">
        <f>ABS(FORESTS[[#This Row],[Area_Delta]])</f>
        <v>1</v>
      </c>
      <c r="P45" s="104">
        <f>FORESTS[[#This Row],[Area_2020_%]]-FORESTS[[#This Row],[Area_1990_%]]</f>
        <v>2.5641025641025661E-2</v>
      </c>
      <c r="Q45" s="54" t="b">
        <f>IF(G45&gt;C45, TRUE, FALSE)</f>
        <v>1</v>
      </c>
      <c r="R45" s="51">
        <f>IF(Q45=TRUE,G45-C45,0)</f>
        <v>1</v>
      </c>
      <c r="S45" s="51">
        <f>IF(Q45=TRUE,0,C45-G45)</f>
        <v>0</v>
      </c>
      <c r="T45" s="48">
        <f>IF(J45&lt;I45,1,0)+IF(K45&lt;J45,1,0)+IF(L45&lt;K45,1,0)+IF(M45&lt;L45,1,0)</f>
        <v>0</v>
      </c>
      <c r="U45" s="48">
        <v>73.180000000000007</v>
      </c>
      <c r="V45" s="30" t="s">
        <v>247</v>
      </c>
      <c r="W45" s="30" t="s">
        <v>247</v>
      </c>
      <c r="X45" s="38">
        <f>D45-C45</f>
        <v>1</v>
      </c>
      <c r="Y45" s="38">
        <f>E45-D45</f>
        <v>0</v>
      </c>
      <c r="Z45" s="38">
        <f>F45-E45</f>
        <v>0</v>
      </c>
      <c r="AA45" s="38">
        <f>G45-F45</f>
        <v>0</v>
      </c>
      <c r="AB45" s="38">
        <f>FORESTS[[#This Row],[Column7]]+FORESTS[[#This Row],[Column8]]</f>
        <v>0</v>
      </c>
      <c r="AD45" s="63">
        <f>(D45-C45)/10</f>
        <v>0.1</v>
      </c>
      <c r="AE45" s="63">
        <f>(E45-D45)/10</f>
        <v>0</v>
      </c>
      <c r="AF45" s="63">
        <f>(F45-E45)/5</f>
        <v>0</v>
      </c>
      <c r="AG45" s="63">
        <f>(G45-F45)/5</f>
        <v>0</v>
      </c>
    </row>
    <row r="46" spans="1:48" x14ac:dyDescent="0.2">
      <c r="A46" s="28">
        <v>188</v>
      </c>
      <c r="B46" s="28" t="s">
        <v>37</v>
      </c>
      <c r="C46" s="38">
        <v>2907.4</v>
      </c>
      <c r="D46" s="38">
        <v>2857.22</v>
      </c>
      <c r="E46" s="38">
        <v>2871.2</v>
      </c>
      <c r="F46" s="38">
        <v>2953.03</v>
      </c>
      <c r="G46" s="38">
        <v>3034.87</v>
      </c>
      <c r="H46" s="38">
        <v>5106</v>
      </c>
      <c r="I46" s="54">
        <f>C46/$H46</f>
        <v>0.56940853897375643</v>
      </c>
      <c r="J46" s="54">
        <f>D46/$H46</f>
        <v>0.55958088523305916</v>
      </c>
      <c r="K46" s="54">
        <f>E46/$H46</f>
        <v>0.56231884057971016</v>
      </c>
      <c r="L46" s="54">
        <f>F46/$H46</f>
        <v>0.57834508421464947</v>
      </c>
      <c r="M46" s="54">
        <f>G46/$H46</f>
        <v>0.59437328632980801</v>
      </c>
      <c r="N46" s="51">
        <f>FORESTS[[#This Row],[Area_2020]]-FORESTS[[#This Row],[Area_1990]]</f>
        <v>127.4699999999998</v>
      </c>
      <c r="O46" s="51">
        <f>ABS(FORESTS[[#This Row],[Area_Delta]])</f>
        <v>127.4699999999998</v>
      </c>
      <c r="P46" s="104">
        <f>FORESTS[[#This Row],[Area_2020_%]]-FORESTS[[#This Row],[Area_1990_%]]</f>
        <v>2.4964747356051586E-2</v>
      </c>
      <c r="Q46" s="54" t="b">
        <f>IF(G46&gt;C46, TRUE, FALSE)</f>
        <v>1</v>
      </c>
      <c r="R46" s="51">
        <f>IF(Q46=TRUE,G46-C46,0)</f>
        <v>127.4699999999998</v>
      </c>
      <c r="S46" s="51">
        <f>IF(Q46=TRUE,0,C46-G46)</f>
        <v>0</v>
      </c>
      <c r="T46" s="48">
        <f>IF(J46&lt;I46,1,0)+IF(K46&lt;J46,1,0)+IF(L46&lt;K46,1,0)+IF(M46&lt;L46,1,0)</f>
        <v>1</v>
      </c>
      <c r="U46" s="43">
        <v>59.44</v>
      </c>
      <c r="V46" s="30">
        <v>0</v>
      </c>
      <c r="W46" s="38">
        <v>2</v>
      </c>
      <c r="X46" s="38">
        <f>D46-C46</f>
        <v>-50.180000000000291</v>
      </c>
      <c r="Y46" s="38">
        <f>E46-D46</f>
        <v>13.980000000000018</v>
      </c>
      <c r="Z46" s="38">
        <f>F46-E46</f>
        <v>81.830000000000382</v>
      </c>
      <c r="AA46" s="38">
        <f>G46-F46</f>
        <v>81.839999999999691</v>
      </c>
      <c r="AB46" s="38">
        <f>FORESTS[[#This Row],[Column7]]+FORESTS[[#This Row],[Column8]]</f>
        <v>163.67000000000007</v>
      </c>
      <c r="AD46" s="63">
        <f>(D46-C46)/10</f>
        <v>-5.0180000000000291</v>
      </c>
      <c r="AE46" s="63">
        <f>(E46-D46)/10</f>
        <v>1.3980000000000019</v>
      </c>
      <c r="AF46" s="63">
        <f>(F46-E46)/5</f>
        <v>16.366000000000078</v>
      </c>
      <c r="AG46" s="63">
        <f>(G46-F46)/5</f>
        <v>16.367999999999938</v>
      </c>
      <c r="AH46" s="28">
        <v>1</v>
      </c>
    </row>
    <row r="47" spans="1:48" x14ac:dyDescent="0.2">
      <c r="A47" s="28">
        <v>705</v>
      </c>
      <c r="B47" s="28" t="s">
        <v>150</v>
      </c>
      <c r="C47" s="30">
        <v>1188</v>
      </c>
      <c r="D47" s="30">
        <v>1233</v>
      </c>
      <c r="E47" s="30">
        <v>1247</v>
      </c>
      <c r="F47" s="30">
        <v>1248</v>
      </c>
      <c r="G47" s="30">
        <v>1237.83</v>
      </c>
      <c r="H47" s="30">
        <v>2014</v>
      </c>
      <c r="I47" s="54">
        <f>C47/$H47</f>
        <v>0.58987090367428008</v>
      </c>
      <c r="J47" s="54">
        <f>D47/$H47</f>
        <v>0.61221449851042697</v>
      </c>
      <c r="K47" s="54">
        <f>E47/$H47</f>
        <v>0.61916583912611722</v>
      </c>
      <c r="L47" s="54">
        <f>F47/$H47</f>
        <v>0.61966236345580938</v>
      </c>
      <c r="M47" s="54">
        <f>G47/$H47</f>
        <v>0.6146127110228401</v>
      </c>
      <c r="N47" s="51">
        <f>FORESTS[[#This Row],[Area_2020]]-FORESTS[[#This Row],[Area_1990]]</f>
        <v>49.829999999999927</v>
      </c>
      <c r="O47" s="51">
        <f>ABS(FORESTS[[#This Row],[Area_Delta]])</f>
        <v>49.829999999999927</v>
      </c>
      <c r="P47" s="104">
        <f>FORESTS[[#This Row],[Area_2020_%]]-FORESTS[[#This Row],[Area_1990_%]]</f>
        <v>2.4741807348560019E-2</v>
      </c>
      <c r="Q47" s="54" t="b">
        <f>IF(G47&gt;C47, TRUE, FALSE)</f>
        <v>1</v>
      </c>
      <c r="R47" s="51">
        <f>IF(Q47=TRUE,G47-C47,0)</f>
        <v>49.829999999999927</v>
      </c>
      <c r="S47" s="51">
        <f>IF(Q47=TRUE,0,C47-G47)</f>
        <v>0</v>
      </c>
      <c r="T47" s="48">
        <f>IF(J47&lt;I47,1,0)+IF(K47&lt;J47,1,0)+IF(L47&lt;K47,1,0)+IF(M47&lt;L47,1,0)</f>
        <v>1</v>
      </c>
      <c r="U47" s="48">
        <v>61.46</v>
      </c>
      <c r="V47" s="30">
        <v>2.0299999999999998</v>
      </c>
      <c r="W47" s="30">
        <v>0.06</v>
      </c>
      <c r="X47" s="38">
        <f>D47-C47</f>
        <v>45</v>
      </c>
      <c r="Y47" s="38">
        <f>E47-D47</f>
        <v>14</v>
      </c>
      <c r="Z47" s="38">
        <f>F47-E47</f>
        <v>1</v>
      </c>
      <c r="AA47" s="38">
        <f>G47-F47</f>
        <v>-10.170000000000073</v>
      </c>
      <c r="AB47" s="38">
        <f>FORESTS[[#This Row],[Column7]]+FORESTS[[#This Row],[Column8]]</f>
        <v>-9.1700000000000728</v>
      </c>
      <c r="AD47" s="63">
        <f>(D47-C47)/10</f>
        <v>4.5</v>
      </c>
      <c r="AE47" s="63">
        <f>(E47-D47)/10</f>
        <v>1.4</v>
      </c>
      <c r="AF47" s="63">
        <f>(F47-E47)/5</f>
        <v>0.2</v>
      </c>
      <c r="AG47" s="63">
        <f>(G47-F47)/5</f>
        <v>-2.0340000000000145</v>
      </c>
    </row>
    <row r="48" spans="1:48" x14ac:dyDescent="0.2">
      <c r="A48" s="28">
        <v>642</v>
      </c>
      <c r="B48" s="28" t="s">
        <v>137</v>
      </c>
      <c r="C48" s="38">
        <v>6371</v>
      </c>
      <c r="D48" s="38">
        <v>6366</v>
      </c>
      <c r="E48" s="38">
        <v>6515</v>
      </c>
      <c r="F48" s="38">
        <v>6900.96</v>
      </c>
      <c r="G48" s="38">
        <v>6929.05</v>
      </c>
      <c r="H48" s="38">
        <v>23008</v>
      </c>
      <c r="I48" s="54">
        <f>C48/$H48</f>
        <v>0.27690368567454798</v>
      </c>
      <c r="J48" s="54">
        <f>D48/$H48</f>
        <v>0.27668636995827539</v>
      </c>
      <c r="K48" s="54">
        <f>E48/$H48</f>
        <v>0.2831623783031989</v>
      </c>
      <c r="L48" s="54">
        <f>F48/$H48</f>
        <v>0.29993741307371347</v>
      </c>
      <c r="M48" s="54">
        <f>G48/$H48</f>
        <v>0.30115829276773298</v>
      </c>
      <c r="N48" s="51">
        <f>FORESTS[[#This Row],[Area_2020]]-FORESTS[[#This Row],[Area_1990]]</f>
        <v>558.05000000000018</v>
      </c>
      <c r="O48" s="51">
        <f>ABS(FORESTS[[#This Row],[Area_Delta]])</f>
        <v>558.05000000000018</v>
      </c>
      <c r="P48" s="104">
        <f>FORESTS[[#This Row],[Area_2020_%]]-FORESTS[[#This Row],[Area_1990_%]]</f>
        <v>2.4254607093184999E-2</v>
      </c>
      <c r="Q48" s="48" t="b">
        <f>IF(G48&gt;C48, TRUE, FALSE)</f>
        <v>1</v>
      </c>
      <c r="R48" s="51">
        <f>IF(Q48=TRUE,G48-C48,0)</f>
        <v>558.05000000000018</v>
      </c>
      <c r="S48" s="51">
        <f>IF(Q48=TRUE,0,C48-G48)</f>
        <v>0</v>
      </c>
      <c r="T48" s="48">
        <f>IF(J48&lt;I48,1,0)+IF(K48&lt;J48,1,0)+IF(L48&lt;K48,1,0)+IF(M48&lt;L48,1,0)</f>
        <v>1</v>
      </c>
      <c r="U48" s="43">
        <v>30.12</v>
      </c>
      <c r="V48" s="30">
        <v>0.02</v>
      </c>
      <c r="W48" s="38">
        <v>1.67</v>
      </c>
      <c r="X48" s="38">
        <f>D48-C48</f>
        <v>-5</v>
      </c>
      <c r="Y48" s="38">
        <f>E48-D48</f>
        <v>149</v>
      </c>
      <c r="Z48" s="38">
        <f>F48-E48</f>
        <v>385.96000000000004</v>
      </c>
      <c r="AA48" s="38">
        <f>G48-F48</f>
        <v>28.090000000000146</v>
      </c>
      <c r="AB48" s="38">
        <f>FORESTS[[#This Row],[Column7]]+FORESTS[[#This Row],[Column8]]</f>
        <v>414.05000000000018</v>
      </c>
      <c r="AD48" s="63">
        <f>(D48-C48)/10</f>
        <v>-0.5</v>
      </c>
      <c r="AE48" s="63">
        <f>(E48-D48)/10</f>
        <v>14.9</v>
      </c>
      <c r="AF48" s="63">
        <f>(F48-E48)/5</f>
        <v>77.192000000000007</v>
      </c>
      <c r="AG48" s="63">
        <f>(G48-F48)/5</f>
        <v>5.6180000000000287</v>
      </c>
    </row>
    <row r="49" spans="1:48" x14ac:dyDescent="0.2">
      <c r="A49" s="28">
        <v>831</v>
      </c>
      <c r="B49" s="28" t="s">
        <v>228</v>
      </c>
      <c r="C49" s="30">
        <v>0.23</v>
      </c>
      <c r="D49" s="30">
        <v>0.23</v>
      </c>
      <c r="E49" s="30">
        <v>0.42</v>
      </c>
      <c r="F49" s="30">
        <v>0.42</v>
      </c>
      <c r="G49" s="30">
        <v>0.42</v>
      </c>
      <c r="H49" s="30">
        <v>8</v>
      </c>
      <c r="I49" s="54">
        <f>C49/$H49</f>
        <v>2.8750000000000001E-2</v>
      </c>
      <c r="J49" s="54">
        <f>D49/$H49</f>
        <v>2.8750000000000001E-2</v>
      </c>
      <c r="K49" s="54">
        <f>E49/$H49</f>
        <v>5.2499999999999998E-2</v>
      </c>
      <c r="L49" s="54">
        <f>F49/$H49</f>
        <v>5.2499999999999998E-2</v>
      </c>
      <c r="M49" s="54">
        <f>G49/$H49</f>
        <v>5.2499999999999998E-2</v>
      </c>
      <c r="N49" s="51">
        <f>FORESTS[[#This Row],[Area_2020]]-FORESTS[[#This Row],[Area_1990]]</f>
        <v>0.18999999999999997</v>
      </c>
      <c r="O49" s="51">
        <f>ABS(FORESTS[[#This Row],[Area_Delta]])</f>
        <v>0.18999999999999997</v>
      </c>
      <c r="P49" s="104">
        <f>FORESTS[[#This Row],[Area_2020_%]]-FORESTS[[#This Row],[Area_1990_%]]</f>
        <v>2.3749999999999997E-2</v>
      </c>
      <c r="Q49" s="54" t="b">
        <f>IF(G49&gt;C49, TRUE, FALSE)</f>
        <v>1</v>
      </c>
      <c r="R49" s="51">
        <f>IF(Q49=TRUE,G49-C49,0)</f>
        <v>0.18999999999999997</v>
      </c>
      <c r="S49" s="51">
        <f>IF(Q49=TRUE,0,C49-G49)</f>
        <v>0</v>
      </c>
      <c r="T49" s="48">
        <f>IF(J49&lt;I49,1,0)+IF(K49&lt;J49,1,0)+IF(L49&lt;K49,1,0)+IF(M49&lt;L49,1,0)</f>
        <v>0</v>
      </c>
      <c r="U49" s="48">
        <v>5.25</v>
      </c>
      <c r="V49" s="30" t="s">
        <v>247</v>
      </c>
      <c r="W49" s="30" t="s">
        <v>247</v>
      </c>
      <c r="X49" s="38">
        <f>D49-C49</f>
        <v>0</v>
      </c>
      <c r="Y49" s="38">
        <f>E49-D49</f>
        <v>0.18999999999999997</v>
      </c>
      <c r="Z49" s="38">
        <f>F49-E49</f>
        <v>0</v>
      </c>
      <c r="AA49" s="38">
        <f>G49-F49</f>
        <v>0</v>
      </c>
      <c r="AB49" s="38">
        <f>FORESTS[[#This Row],[Column7]]+FORESTS[[#This Row],[Column8]]</f>
        <v>0</v>
      </c>
      <c r="AD49" s="63">
        <f>(D49-C49)/10</f>
        <v>0</v>
      </c>
      <c r="AE49" s="63">
        <f>(E49-D49)/10</f>
        <v>1.8999999999999996E-2</v>
      </c>
      <c r="AF49" s="63">
        <f>(F49-E49)/5</f>
        <v>0</v>
      </c>
      <c r="AG49" s="63">
        <f>(G49-F49)/5</f>
        <v>0</v>
      </c>
    </row>
    <row r="50" spans="1:48" x14ac:dyDescent="0.2">
      <c r="A50" s="28">
        <v>208</v>
      </c>
      <c r="B50" s="28" t="s">
        <v>43</v>
      </c>
      <c r="C50" s="30">
        <v>531.44000000000005</v>
      </c>
      <c r="D50" s="30">
        <v>571.6</v>
      </c>
      <c r="E50" s="30">
        <v>586.49</v>
      </c>
      <c r="F50" s="30">
        <v>624.67999999999995</v>
      </c>
      <c r="G50" s="30">
        <v>628.44000000000005</v>
      </c>
      <c r="H50" s="30">
        <v>4199</v>
      </c>
      <c r="I50" s="54">
        <f>C50/$H50</f>
        <v>0.12656346749226008</v>
      </c>
      <c r="J50" s="54">
        <f>D50/$H50</f>
        <v>0.13612764944034295</v>
      </c>
      <c r="K50" s="54">
        <f>E50/$H50</f>
        <v>0.1396737318409145</v>
      </c>
      <c r="L50" s="54">
        <f>F50/$H50</f>
        <v>0.14876875446534887</v>
      </c>
      <c r="M50" s="54">
        <f>G50/$H50</f>
        <v>0.14966420576327699</v>
      </c>
      <c r="N50" s="51">
        <f>FORESTS[[#This Row],[Area_2020]]-FORESTS[[#This Row],[Area_1990]]</f>
        <v>97</v>
      </c>
      <c r="O50" s="51">
        <f>ABS(FORESTS[[#This Row],[Area_Delta]])</f>
        <v>97</v>
      </c>
      <c r="P50" s="104">
        <f>FORESTS[[#This Row],[Area_2020_%]]-FORESTS[[#This Row],[Area_1990_%]]</f>
        <v>2.3100738271016913E-2</v>
      </c>
      <c r="Q50" s="54" t="b">
        <f>IF(G50&gt;C50, TRUE, FALSE)</f>
        <v>1</v>
      </c>
      <c r="R50" s="51">
        <f>IF(Q50=TRUE,G50-C50,0)</f>
        <v>97</v>
      </c>
      <c r="S50" s="51">
        <f>IF(Q50=TRUE,0,C50-G50)</f>
        <v>0</v>
      </c>
      <c r="T50" s="48">
        <f>IF(J50&lt;I50,1,0)+IF(K50&lt;J50,1,0)+IF(L50&lt;K50,1,0)+IF(M50&lt;L50,1,0)</f>
        <v>0</v>
      </c>
      <c r="U50" s="48">
        <v>14.97</v>
      </c>
      <c r="V50" s="30">
        <v>0.62</v>
      </c>
      <c r="W50" s="30">
        <v>0</v>
      </c>
      <c r="X50" s="38">
        <f>D50-C50</f>
        <v>40.159999999999968</v>
      </c>
      <c r="Y50" s="38">
        <f>E50-D50</f>
        <v>14.889999999999986</v>
      </c>
      <c r="Z50" s="38">
        <f>F50-E50</f>
        <v>38.189999999999941</v>
      </c>
      <c r="AA50" s="38">
        <f>G50-F50</f>
        <v>3.7600000000001046</v>
      </c>
      <c r="AB50" s="38">
        <f>FORESTS[[#This Row],[Column7]]+FORESTS[[#This Row],[Column8]]</f>
        <v>41.950000000000045</v>
      </c>
      <c r="AD50" s="63">
        <f>(D50-C50)/10</f>
        <v>4.0159999999999965</v>
      </c>
      <c r="AE50" s="63">
        <f>(E50-D50)/10</f>
        <v>1.4889999999999985</v>
      </c>
      <c r="AF50" s="63">
        <f>(F50-E50)/5</f>
        <v>7.6379999999999884</v>
      </c>
      <c r="AG50" s="63">
        <f>(G50-F50)/5</f>
        <v>0.75200000000002087</v>
      </c>
    </row>
    <row r="51" spans="1:48" x14ac:dyDescent="0.2">
      <c r="A51" s="28">
        <v>31</v>
      </c>
      <c r="B51" s="28" t="s">
        <v>9</v>
      </c>
      <c r="C51" s="38">
        <v>944.74</v>
      </c>
      <c r="D51" s="38">
        <v>987.22</v>
      </c>
      <c r="E51" s="38">
        <v>1032.49</v>
      </c>
      <c r="F51" s="38">
        <v>1077.8900000000001</v>
      </c>
      <c r="G51" s="38">
        <v>1131.77</v>
      </c>
      <c r="H51" s="38">
        <v>8266</v>
      </c>
      <c r="I51" s="54">
        <f>C51/$H51</f>
        <v>0.11429228163561578</v>
      </c>
      <c r="J51" s="54">
        <f>D51/$H51</f>
        <v>0.11943140575852891</v>
      </c>
      <c r="K51" s="54">
        <f>E51/$H51</f>
        <v>0.12490805710137914</v>
      </c>
      <c r="L51" s="54">
        <f>F51/$H51</f>
        <v>0.13040043551899347</v>
      </c>
      <c r="M51" s="54">
        <f>G51/$H51</f>
        <v>0.13691870312121945</v>
      </c>
      <c r="N51" s="51">
        <f>FORESTS[[#This Row],[Area_2020]]-FORESTS[[#This Row],[Area_1990]]</f>
        <v>187.02999999999997</v>
      </c>
      <c r="O51" s="51">
        <f>ABS(FORESTS[[#This Row],[Area_Delta]])</f>
        <v>187.02999999999997</v>
      </c>
      <c r="P51" s="104">
        <f>FORESTS[[#This Row],[Area_2020_%]]-FORESTS[[#This Row],[Area_1990_%]]</f>
        <v>2.2626421485603676E-2</v>
      </c>
      <c r="Q51" s="54" t="b">
        <f>IF(G51&gt;C51, TRUE, FALSE)</f>
        <v>1</v>
      </c>
      <c r="R51" s="51">
        <f>IF(Q51=TRUE,G51-C51,0)</f>
        <v>187.02999999999997</v>
      </c>
      <c r="S51" s="51">
        <f>IF(Q51=TRUE,0,C51-G51)</f>
        <v>0</v>
      </c>
      <c r="T51" s="48">
        <f>IF(J51&lt;I51,1,0)+IF(K51&lt;J51,1,0)+IF(L51&lt;K51,1,0)+IF(M51&lt;L51,1,0)</f>
        <v>0</v>
      </c>
      <c r="U51" s="43">
        <v>13.69</v>
      </c>
      <c r="V51" s="30">
        <v>86.36</v>
      </c>
      <c r="W51" s="38" t="s">
        <v>247</v>
      </c>
      <c r="X51" s="38">
        <f>D51-C51</f>
        <v>42.480000000000018</v>
      </c>
      <c r="Y51" s="38">
        <f>E51-D51</f>
        <v>45.269999999999982</v>
      </c>
      <c r="Z51" s="38">
        <f>F51-E51</f>
        <v>45.400000000000091</v>
      </c>
      <c r="AA51" s="38">
        <f>G51-F51</f>
        <v>53.879999999999882</v>
      </c>
      <c r="AB51" s="38">
        <f>FORESTS[[#This Row],[Column7]]+FORESTS[[#This Row],[Column8]]</f>
        <v>99.279999999999973</v>
      </c>
      <c r="AD51" s="63">
        <f>(D51-C51)/10</f>
        <v>4.248000000000002</v>
      </c>
      <c r="AE51" s="63">
        <f>(E51-D51)/10</f>
        <v>4.5269999999999984</v>
      </c>
      <c r="AF51" s="63">
        <f>(F51-E51)/5</f>
        <v>9.0800000000000178</v>
      </c>
      <c r="AG51" s="63">
        <f>(G51-F51)/5</f>
        <v>10.775999999999977</v>
      </c>
    </row>
    <row r="52" spans="1:48" x14ac:dyDescent="0.2">
      <c r="A52" s="28">
        <v>748</v>
      </c>
      <c r="B52" s="28" t="s">
        <v>53</v>
      </c>
      <c r="C52" s="30">
        <v>461.14</v>
      </c>
      <c r="D52" s="30">
        <v>473.28</v>
      </c>
      <c r="E52" s="30">
        <v>485.43</v>
      </c>
      <c r="F52" s="30">
        <v>491.5</v>
      </c>
      <c r="G52" s="30">
        <v>497.56</v>
      </c>
      <c r="H52" s="30">
        <v>1720</v>
      </c>
      <c r="I52" s="54">
        <f>C52/$H52</f>
        <v>0.2681046511627907</v>
      </c>
      <c r="J52" s="54">
        <f>D52/$H52</f>
        <v>0.27516279069767441</v>
      </c>
      <c r="K52" s="54">
        <f>E52/$H52</f>
        <v>0.28222674418604654</v>
      </c>
      <c r="L52" s="54">
        <f>F52/$H52</f>
        <v>0.28575581395348837</v>
      </c>
      <c r="M52" s="54">
        <f>G52/$H52</f>
        <v>0.28927906976744189</v>
      </c>
      <c r="N52" s="51">
        <f>FORESTS[[#This Row],[Area_2020]]-FORESTS[[#This Row],[Area_1990]]</f>
        <v>36.420000000000016</v>
      </c>
      <c r="O52" s="51">
        <f>ABS(FORESTS[[#This Row],[Area_Delta]])</f>
        <v>36.420000000000016</v>
      </c>
      <c r="P52" s="104">
        <f>FORESTS[[#This Row],[Area_2020_%]]-FORESTS[[#This Row],[Area_1990_%]]</f>
        <v>2.1174418604651191E-2</v>
      </c>
      <c r="Q52" s="54" t="b">
        <f>IF(G52&gt;C52, TRUE, FALSE)</f>
        <v>1</v>
      </c>
      <c r="R52" s="51">
        <f>IF(Q52=TRUE,G52-C52,0)</f>
        <v>36.420000000000016</v>
      </c>
      <c r="S52" s="51">
        <f>IF(Q52=TRUE,0,C52-G52)</f>
        <v>0</v>
      </c>
      <c r="T52" s="48">
        <f>IF(J52&lt;I52,1,0)+IF(K52&lt;J52,1,0)+IF(L52&lt;K52,1,0)+IF(M52&lt;L52,1,0)</f>
        <v>0</v>
      </c>
      <c r="U52" s="48">
        <v>28.93</v>
      </c>
      <c r="V52" s="30" t="s">
        <v>247</v>
      </c>
      <c r="W52" s="30" t="s">
        <v>247</v>
      </c>
      <c r="X52" s="38">
        <f>D52-C52</f>
        <v>12.139999999999986</v>
      </c>
      <c r="Y52" s="38">
        <f>E52-D52</f>
        <v>12.150000000000034</v>
      </c>
      <c r="Z52" s="38">
        <f>F52-E52</f>
        <v>6.0699999999999932</v>
      </c>
      <c r="AA52" s="38">
        <f>G52-F52</f>
        <v>6.0600000000000023</v>
      </c>
      <c r="AB52" s="38">
        <f>FORESTS[[#This Row],[Column7]]+FORESTS[[#This Row],[Column8]]</f>
        <v>12.129999999999995</v>
      </c>
      <c r="AD52" s="63">
        <f>(D52-C52)/10</f>
        <v>1.2139999999999986</v>
      </c>
      <c r="AE52" s="63">
        <f>(E52-D52)/10</f>
        <v>1.2150000000000034</v>
      </c>
      <c r="AF52" s="63">
        <f>(F52-E52)/5</f>
        <v>1.2139999999999986</v>
      </c>
      <c r="AG52" s="63">
        <f>(G52-F52)/5</f>
        <v>1.2120000000000004</v>
      </c>
      <c r="AH52" s="28">
        <v>1</v>
      </c>
    </row>
    <row r="53" spans="1:48" x14ac:dyDescent="0.2">
      <c r="A53" s="28">
        <v>524</v>
      </c>
      <c r="B53" s="28" t="s">
        <v>115</v>
      </c>
      <c r="C53" s="38">
        <v>5672</v>
      </c>
      <c r="D53" s="38">
        <v>5780.76</v>
      </c>
      <c r="E53" s="38">
        <v>5962.03</v>
      </c>
      <c r="F53" s="38">
        <v>5962.03</v>
      </c>
      <c r="G53" s="38">
        <v>5962.03</v>
      </c>
      <c r="H53" s="38">
        <v>14335</v>
      </c>
      <c r="I53" s="54">
        <f>C53/$H53</f>
        <v>0.3956749215207534</v>
      </c>
      <c r="J53" s="54">
        <f>D53/$H53</f>
        <v>0.4032619462853157</v>
      </c>
      <c r="K53" s="54">
        <f>E53/$H53</f>
        <v>0.41590722009068709</v>
      </c>
      <c r="L53" s="54">
        <f>F53/$H53</f>
        <v>0.41590722009068709</v>
      </c>
      <c r="M53" s="54">
        <f>G53/$H53</f>
        <v>0.41590722009068709</v>
      </c>
      <c r="N53" s="51">
        <f>FORESTS[[#This Row],[Area_2020]]-FORESTS[[#This Row],[Area_1990]]</f>
        <v>290.02999999999975</v>
      </c>
      <c r="O53" s="51">
        <f>ABS(FORESTS[[#This Row],[Area_Delta]])</f>
        <v>290.02999999999975</v>
      </c>
      <c r="P53" s="104">
        <f>FORESTS[[#This Row],[Area_2020_%]]-FORESTS[[#This Row],[Area_1990_%]]</f>
        <v>2.0232298569933693E-2</v>
      </c>
      <c r="Q53" s="54" t="b">
        <f>IF(G53&gt;C53, TRUE, FALSE)</f>
        <v>1</v>
      </c>
      <c r="R53" s="51">
        <f>IF(Q53=TRUE,G53-C53,0)</f>
        <v>290.02999999999975</v>
      </c>
      <c r="S53" s="51">
        <f>IF(Q53=TRUE,0,C53-G53)</f>
        <v>0</v>
      </c>
      <c r="T53" s="48">
        <f>IF(J53&lt;I53,1,0)+IF(K53&lt;J53,1,0)+IF(L53&lt;K53,1,0)+IF(M53&lt;L53,1,0)</f>
        <v>0</v>
      </c>
      <c r="U53" s="43">
        <v>41.59</v>
      </c>
      <c r="V53" s="30">
        <v>0</v>
      </c>
      <c r="W53" s="38" t="s">
        <v>247</v>
      </c>
      <c r="X53" s="38">
        <f>D53-C53</f>
        <v>108.76000000000022</v>
      </c>
      <c r="Y53" s="38">
        <f>E53-D53</f>
        <v>181.26999999999953</v>
      </c>
      <c r="Z53" s="38">
        <f>F53-E53</f>
        <v>0</v>
      </c>
      <c r="AA53" s="38">
        <f>G53-F53</f>
        <v>0</v>
      </c>
      <c r="AB53" s="38">
        <f>FORESTS[[#This Row],[Column7]]+FORESTS[[#This Row],[Column8]]</f>
        <v>0</v>
      </c>
      <c r="AD53" s="63">
        <f>(D53-C53)/10</f>
        <v>10.876000000000023</v>
      </c>
      <c r="AE53" s="63">
        <f>(E53-D53)/10</f>
        <v>18.126999999999953</v>
      </c>
      <c r="AF53" s="63">
        <f>(F53-E53)/5</f>
        <v>0</v>
      </c>
      <c r="AG53" s="63">
        <f>(G53-F53)/5</f>
        <v>0</v>
      </c>
    </row>
    <row r="54" spans="1:48" x14ac:dyDescent="0.2">
      <c r="A54" s="28">
        <v>554</v>
      </c>
      <c r="B54" s="28" t="s">
        <v>117</v>
      </c>
      <c r="C54" s="38">
        <v>9372.27</v>
      </c>
      <c r="D54" s="38">
        <v>9850.44</v>
      </c>
      <c r="E54" s="38">
        <v>9848.1200000000008</v>
      </c>
      <c r="F54" s="38">
        <v>9846.61</v>
      </c>
      <c r="G54" s="38">
        <v>9892.59</v>
      </c>
      <c r="H54" s="38">
        <v>26331</v>
      </c>
      <c r="I54" s="54">
        <f>C54/$H54</f>
        <v>0.35594052637575485</v>
      </c>
      <c r="J54" s="54">
        <f>D54/$H54</f>
        <v>0.37410048991682809</v>
      </c>
      <c r="K54" s="54">
        <f>E54/$H54</f>
        <v>0.37401238084387228</v>
      </c>
      <c r="L54" s="54">
        <f>F54/$H54</f>
        <v>0.37395503399035362</v>
      </c>
      <c r="M54" s="54">
        <f>G54/$H54</f>
        <v>0.37570126466902132</v>
      </c>
      <c r="N54" s="51">
        <f>FORESTS[[#This Row],[Area_2020]]-FORESTS[[#This Row],[Area_1990]]</f>
        <v>520.31999999999971</v>
      </c>
      <c r="O54" s="51">
        <f>ABS(FORESTS[[#This Row],[Area_Delta]])</f>
        <v>520.31999999999971</v>
      </c>
      <c r="P54" s="104">
        <f>FORESTS[[#This Row],[Area_2020_%]]-FORESTS[[#This Row],[Area_1990_%]]</f>
        <v>1.9760738293266467E-2</v>
      </c>
      <c r="Q54" s="48" t="b">
        <f>IF(G54&gt;C54, TRUE, FALSE)</f>
        <v>1</v>
      </c>
      <c r="R54" s="51">
        <f>IF(Q54=TRUE,G54-C54,0)</f>
        <v>520.31999999999971</v>
      </c>
      <c r="S54" s="51">
        <f>IF(Q54=TRUE,0,C54-G54)</f>
        <v>0</v>
      </c>
      <c r="T54" s="48">
        <f>IF(J54&lt;I54,1,0)+IF(K54&lt;J54,1,0)+IF(L54&lt;K54,1,0)+IF(M54&lt;L54,1,0)</f>
        <v>2</v>
      </c>
      <c r="U54" s="43">
        <v>37.57</v>
      </c>
      <c r="V54" s="30">
        <v>6.58</v>
      </c>
      <c r="W54" s="38">
        <v>1.54</v>
      </c>
      <c r="X54" s="38">
        <f>D54-C54</f>
        <v>478.17000000000007</v>
      </c>
      <c r="Y54" s="38">
        <f>E54-D54</f>
        <v>-2.319999999999709</v>
      </c>
      <c r="Z54" s="38">
        <f>F54-E54</f>
        <v>-1.5100000000002183</v>
      </c>
      <c r="AA54" s="38">
        <f>G54-F54</f>
        <v>45.979999999999563</v>
      </c>
      <c r="AB54" s="38">
        <f>FORESTS[[#This Row],[Column7]]+FORESTS[[#This Row],[Column8]]</f>
        <v>44.469999999999345</v>
      </c>
      <c r="AD54" s="63">
        <f>(D54-C54)/10</f>
        <v>47.817000000000007</v>
      </c>
      <c r="AE54" s="63">
        <f>(E54-D54)/10</f>
        <v>-0.2319999999999709</v>
      </c>
      <c r="AF54" s="63">
        <f>(F54-E54)/5</f>
        <v>-0.30200000000004368</v>
      </c>
      <c r="AG54" s="63">
        <f>(G54-F54)/5</f>
        <v>9.1959999999999127</v>
      </c>
    </row>
    <row r="55" spans="1:48" x14ac:dyDescent="0.2">
      <c r="A55" s="28">
        <v>616</v>
      </c>
      <c r="B55" s="28" t="s">
        <v>132</v>
      </c>
      <c r="C55" s="38">
        <v>8882</v>
      </c>
      <c r="D55" s="38">
        <v>9059</v>
      </c>
      <c r="E55" s="38">
        <v>9329</v>
      </c>
      <c r="F55" s="38">
        <v>9420</v>
      </c>
      <c r="G55" s="38">
        <v>9483</v>
      </c>
      <c r="H55" s="38">
        <v>30619</v>
      </c>
      <c r="I55" s="54">
        <f>C55/$H55</f>
        <v>0.2900813220549332</v>
      </c>
      <c r="J55" s="54">
        <f>D55/$H55</f>
        <v>0.29586204644175185</v>
      </c>
      <c r="K55" s="54">
        <f>E55/$H55</f>
        <v>0.3046801005911362</v>
      </c>
      <c r="L55" s="54">
        <f>F55/$H55</f>
        <v>0.30765211143407689</v>
      </c>
      <c r="M55" s="54">
        <f>G55/$H55</f>
        <v>0.30970965740226658</v>
      </c>
      <c r="N55" s="51">
        <f>FORESTS[[#This Row],[Area_2020]]-FORESTS[[#This Row],[Area_1990]]</f>
        <v>601</v>
      </c>
      <c r="O55" s="51">
        <f>ABS(FORESTS[[#This Row],[Area_Delta]])</f>
        <v>601</v>
      </c>
      <c r="P55" s="104">
        <f>FORESTS[[#This Row],[Area_2020_%]]-FORESTS[[#This Row],[Area_1990_%]]</f>
        <v>1.9628335347333381E-2</v>
      </c>
      <c r="Q55" s="48" t="b">
        <f>IF(G55&gt;C55, TRUE, FALSE)</f>
        <v>1</v>
      </c>
      <c r="R55" s="51">
        <f>IF(Q55=TRUE,G55-C55,0)</f>
        <v>601</v>
      </c>
      <c r="S55" s="51">
        <f>IF(Q55=TRUE,0,C55-G55)</f>
        <v>0</v>
      </c>
      <c r="T55" s="48">
        <f>IF(J55&lt;I55,1,0)+IF(K55&lt;J55,1,0)+IF(L55&lt;K55,1,0)+IF(M55&lt;L55,1,0)</f>
        <v>0</v>
      </c>
      <c r="U55" s="43">
        <v>30.97</v>
      </c>
      <c r="V55" s="30">
        <v>0.77</v>
      </c>
      <c r="W55" s="38">
        <v>5.51</v>
      </c>
      <c r="X55" s="38">
        <f>D55-C55</f>
        <v>177</v>
      </c>
      <c r="Y55" s="38">
        <f>E55-D55</f>
        <v>270</v>
      </c>
      <c r="Z55" s="38">
        <f>F55-E55</f>
        <v>91</v>
      </c>
      <c r="AA55" s="38">
        <f>G55-F55</f>
        <v>63</v>
      </c>
      <c r="AB55" s="38">
        <f>FORESTS[[#This Row],[Column7]]+FORESTS[[#This Row],[Column8]]</f>
        <v>154</v>
      </c>
      <c r="AD55" s="63">
        <f>(D55-C55)/10</f>
        <v>17.7</v>
      </c>
      <c r="AE55" s="63">
        <f>(E55-D55)/10</f>
        <v>27</v>
      </c>
      <c r="AF55" s="63">
        <f>(F55-E55)/5</f>
        <v>18.2</v>
      </c>
      <c r="AG55" s="63">
        <f>(G55-F55)/5</f>
        <v>12.6</v>
      </c>
    </row>
    <row r="56" spans="1:48" x14ac:dyDescent="0.2">
      <c r="A56" s="28">
        <v>498</v>
      </c>
      <c r="B56" s="28" t="s">
        <v>136</v>
      </c>
      <c r="C56" s="30">
        <v>325.39999999999998</v>
      </c>
      <c r="D56" s="30">
        <v>344.4</v>
      </c>
      <c r="E56" s="30">
        <v>374.5</v>
      </c>
      <c r="F56" s="30">
        <v>386.4</v>
      </c>
      <c r="G56" s="30">
        <v>386.5</v>
      </c>
      <c r="H56" s="30">
        <v>3288</v>
      </c>
      <c r="I56" s="54">
        <f>C56/$H56</f>
        <v>9.8965936739659366E-2</v>
      </c>
      <c r="J56" s="54">
        <f>D56/$H56</f>
        <v>0.10474452554744525</v>
      </c>
      <c r="K56" s="54">
        <f>E56/$H56</f>
        <v>0.11389902676399027</v>
      </c>
      <c r="L56" s="54">
        <f>F56/$H56</f>
        <v>0.11751824817518247</v>
      </c>
      <c r="M56" s="54">
        <f>G56/$H56</f>
        <v>0.11754866180048662</v>
      </c>
      <c r="N56" s="51">
        <f>FORESTS[[#This Row],[Area_2020]]-FORESTS[[#This Row],[Area_1990]]</f>
        <v>61.100000000000023</v>
      </c>
      <c r="O56" s="51">
        <f>ABS(FORESTS[[#This Row],[Area_Delta]])</f>
        <v>61.100000000000023</v>
      </c>
      <c r="P56" s="104">
        <f>FORESTS[[#This Row],[Area_2020_%]]-FORESTS[[#This Row],[Area_1990_%]]</f>
        <v>1.8582725060827254E-2</v>
      </c>
      <c r="Q56" s="54" t="b">
        <f>IF(G56&gt;C56, TRUE, FALSE)</f>
        <v>1</v>
      </c>
      <c r="R56" s="51">
        <f>IF(Q56=TRUE,G56-C56,0)</f>
        <v>61.100000000000023</v>
      </c>
      <c r="S56" s="51">
        <f>IF(Q56=TRUE,0,C56-G56)</f>
        <v>0</v>
      </c>
      <c r="T56" s="48">
        <f>IF(J56&lt;I56,1,0)+IF(K56&lt;J56,1,0)+IF(L56&lt;K56,1,0)+IF(M56&lt;L56,1,0)</f>
        <v>0</v>
      </c>
      <c r="U56" s="48">
        <v>11.75</v>
      </c>
      <c r="V56" s="30">
        <v>0.34</v>
      </c>
      <c r="W56" s="30">
        <v>0.35</v>
      </c>
      <c r="X56" s="38">
        <f>D56-C56</f>
        <v>19</v>
      </c>
      <c r="Y56" s="38">
        <f>E56-D56</f>
        <v>30.100000000000023</v>
      </c>
      <c r="Z56" s="38">
        <f>F56-E56</f>
        <v>11.899999999999977</v>
      </c>
      <c r="AA56" s="38">
        <f>G56-F56</f>
        <v>0.10000000000002274</v>
      </c>
      <c r="AB56" s="38">
        <f>FORESTS[[#This Row],[Column7]]+FORESTS[[#This Row],[Column8]]</f>
        <v>12</v>
      </c>
      <c r="AD56" s="63">
        <f>(D56-C56)/10</f>
        <v>1.9</v>
      </c>
      <c r="AE56" s="63">
        <f>(E56-D56)/10</f>
        <v>3.0100000000000025</v>
      </c>
      <c r="AF56" s="63">
        <f>(F56-E56)/5</f>
        <v>2.3799999999999955</v>
      </c>
      <c r="AG56" s="63">
        <f>(G56-F56)/5</f>
        <v>2.0000000000004549E-2</v>
      </c>
      <c r="AH56" s="28">
        <v>1</v>
      </c>
      <c r="AT56" cm="1">
        <f t="array" ref="AT56:AV58">_xlfn.MAKEARRAY(3, 3, _xlfn.LAMBDA(_xlpm.r,_xlpm.c, _xlpm.r*_xlpm.c))</f>
        <v>1</v>
      </c>
      <c r="AU56" s="28">
        <v>2</v>
      </c>
      <c r="AV56" s="28">
        <v>3</v>
      </c>
    </row>
    <row r="57" spans="1:48" x14ac:dyDescent="0.2">
      <c r="A57" s="28">
        <v>246</v>
      </c>
      <c r="B57" s="28" t="s">
        <v>56</v>
      </c>
      <c r="C57" s="38">
        <v>21875.33</v>
      </c>
      <c r="D57" s="38">
        <v>22445.64</v>
      </c>
      <c r="E57" s="38">
        <v>22242</v>
      </c>
      <c r="F57" s="38">
        <v>22409</v>
      </c>
      <c r="G57" s="38">
        <v>22409</v>
      </c>
      <c r="H57" s="38">
        <v>30391</v>
      </c>
      <c r="I57" s="54">
        <f>C57/$H57</f>
        <v>0.71979632127932613</v>
      </c>
      <c r="J57" s="54">
        <f>D57/$H57</f>
        <v>0.738562074298312</v>
      </c>
      <c r="K57" s="54">
        <f>E57/$H57</f>
        <v>0.73186140633740249</v>
      </c>
      <c r="L57" s="54">
        <f>F57/$H57</f>
        <v>0.73735645421341844</v>
      </c>
      <c r="M57" s="54">
        <f>G57/$H57</f>
        <v>0.73735645421341844</v>
      </c>
      <c r="N57" s="51">
        <f>FORESTS[[#This Row],[Area_2020]]-FORESTS[[#This Row],[Area_1990]]</f>
        <v>533.66999999999825</v>
      </c>
      <c r="O57" s="51">
        <f>ABS(FORESTS[[#This Row],[Area_Delta]])</f>
        <v>533.66999999999825</v>
      </c>
      <c r="P57" s="104">
        <f>FORESTS[[#This Row],[Area_2020_%]]-FORESTS[[#This Row],[Area_1990_%]]</f>
        <v>1.756013293409231E-2</v>
      </c>
      <c r="Q57" s="48" t="b">
        <f>IF(G57&gt;C57, TRUE, FALSE)</f>
        <v>1</v>
      </c>
      <c r="R57" s="51">
        <f>IF(Q57=TRUE,G57-C57,0)</f>
        <v>533.66999999999825</v>
      </c>
      <c r="S57" s="51">
        <f>IF(Q57=TRUE,0,C57-G57)</f>
        <v>0</v>
      </c>
      <c r="T57" s="62">
        <f>IF(J57&lt;I57,1,0)+IF(K57&lt;J57,1,0)+IF(L57&lt;K57,1,0)+IF(M57&lt;L57,1,0)</f>
        <v>1</v>
      </c>
      <c r="U57" s="43">
        <v>73.739999999999995</v>
      </c>
      <c r="V57" s="30" t="s">
        <v>247</v>
      </c>
      <c r="W57" s="38">
        <v>0.15</v>
      </c>
      <c r="X57" s="38">
        <f>D57-C57</f>
        <v>570.30999999999767</v>
      </c>
      <c r="Y57" s="38">
        <f>E57-D57</f>
        <v>-203.63999999999942</v>
      </c>
      <c r="Z57" s="38">
        <f>F57-E57</f>
        <v>167</v>
      </c>
      <c r="AA57" s="38">
        <f>G57-F57</f>
        <v>0</v>
      </c>
      <c r="AB57" s="38">
        <f>FORESTS[[#This Row],[Column7]]+FORESTS[[#This Row],[Column8]]</f>
        <v>167</v>
      </c>
      <c r="AD57" s="63">
        <f>(D57-C57)/10</f>
        <v>57.030999999999764</v>
      </c>
      <c r="AE57" s="63">
        <f>(E57-D57)/10</f>
        <v>-20.36399999999994</v>
      </c>
      <c r="AF57" s="63">
        <f>(F57-E57)/5</f>
        <v>33.4</v>
      </c>
      <c r="AG57" s="63">
        <f>(G57-F57)/5</f>
        <v>0</v>
      </c>
      <c r="AH57" s="28">
        <v>1</v>
      </c>
      <c r="AT57" s="28">
        <v>2</v>
      </c>
      <c r="AU57" s="28">
        <v>4</v>
      </c>
      <c r="AV57" s="28">
        <v>6</v>
      </c>
    </row>
    <row r="58" spans="1:48" x14ac:dyDescent="0.2">
      <c r="A58" s="28">
        <v>826</v>
      </c>
      <c r="B58" s="28" t="s">
        <v>174</v>
      </c>
      <c r="C58" s="38">
        <v>2778</v>
      </c>
      <c r="D58" s="38">
        <v>2954</v>
      </c>
      <c r="E58" s="38">
        <v>3059</v>
      </c>
      <c r="F58" s="38">
        <v>3155</v>
      </c>
      <c r="G58" s="38">
        <v>3190</v>
      </c>
      <c r="H58" s="38">
        <v>24193</v>
      </c>
      <c r="I58" s="54">
        <f>C58/$H58</f>
        <v>0.11482660273632869</v>
      </c>
      <c r="J58" s="54">
        <f>D58/$H58</f>
        <v>0.12210143429917744</v>
      </c>
      <c r="K58" s="54">
        <f>E58/$H58</f>
        <v>0.12644153267474062</v>
      </c>
      <c r="L58" s="54">
        <f>F58/$H58</f>
        <v>0.13040962261811267</v>
      </c>
      <c r="M58" s="54">
        <f>G58/$H58</f>
        <v>0.13185632207663373</v>
      </c>
      <c r="N58" s="51">
        <f>FORESTS[[#This Row],[Area_2020]]-FORESTS[[#This Row],[Area_1990]]</f>
        <v>412</v>
      </c>
      <c r="O58" s="51">
        <f>ABS(FORESTS[[#This Row],[Area_Delta]])</f>
        <v>412</v>
      </c>
      <c r="P58" s="104">
        <f>FORESTS[[#This Row],[Area_2020_%]]-FORESTS[[#This Row],[Area_1990_%]]</f>
        <v>1.7029719340305033E-2</v>
      </c>
      <c r="Q58" s="54" t="b">
        <f>IF(G58&gt;C58, TRUE, FALSE)</f>
        <v>1</v>
      </c>
      <c r="R58" s="51">
        <f>IF(Q58=TRUE,G58-C58,0)</f>
        <v>412</v>
      </c>
      <c r="S58" s="51">
        <f>IF(Q58=TRUE,0,C58-G58)</f>
        <v>0</v>
      </c>
      <c r="T58" s="48">
        <f>IF(J58&lt;I58,1,0)+IF(K58&lt;J58,1,0)+IF(L58&lt;K58,1,0)+IF(M58&lt;L58,1,0)</f>
        <v>0</v>
      </c>
      <c r="U58" s="43">
        <v>13.19</v>
      </c>
      <c r="V58" s="30" t="s">
        <v>247</v>
      </c>
      <c r="W58" s="38">
        <v>1</v>
      </c>
      <c r="X58" s="38">
        <f>D58-C58</f>
        <v>176</v>
      </c>
      <c r="Y58" s="38">
        <f>E58-D58</f>
        <v>105</v>
      </c>
      <c r="Z58" s="38">
        <f>F58-E58</f>
        <v>96</v>
      </c>
      <c r="AA58" s="38">
        <f>G58-F58</f>
        <v>35</v>
      </c>
      <c r="AB58" s="38">
        <f>FORESTS[[#This Row],[Column7]]+FORESTS[[#This Row],[Column8]]</f>
        <v>131</v>
      </c>
      <c r="AD58" s="63">
        <f>(D58-C58)/10</f>
        <v>17.600000000000001</v>
      </c>
      <c r="AE58" s="63">
        <f>(E58-D58)/10</f>
        <v>10.5</v>
      </c>
      <c r="AF58" s="63">
        <f>(F58-E58)/5</f>
        <v>19.2</v>
      </c>
      <c r="AG58" s="63">
        <f>(G58-F58)/5</f>
        <v>7</v>
      </c>
      <c r="AH58" s="28">
        <v>1</v>
      </c>
      <c r="AT58" s="28">
        <v>3</v>
      </c>
      <c r="AU58" s="28">
        <v>6</v>
      </c>
      <c r="AV58" s="28">
        <v>9</v>
      </c>
    </row>
    <row r="59" spans="1:48" x14ac:dyDescent="0.2">
      <c r="A59" s="28">
        <v>191</v>
      </c>
      <c r="B59" s="28" t="s">
        <v>38</v>
      </c>
      <c r="C59" s="38">
        <v>1850</v>
      </c>
      <c r="D59" s="38">
        <v>1885</v>
      </c>
      <c r="E59" s="38">
        <v>1920</v>
      </c>
      <c r="F59" s="38">
        <v>1922</v>
      </c>
      <c r="G59" s="38">
        <v>1939.11</v>
      </c>
      <c r="H59" s="38">
        <v>5596</v>
      </c>
      <c r="I59" s="54">
        <f>C59/$H59</f>
        <v>0.33059328091493922</v>
      </c>
      <c r="J59" s="54">
        <f>D59/$H59</f>
        <v>0.33684774839170839</v>
      </c>
      <c r="K59" s="54">
        <f>E59/$H59</f>
        <v>0.3431022158684775</v>
      </c>
      <c r="L59" s="54">
        <f>F59/$H59</f>
        <v>0.34345961401000713</v>
      </c>
      <c r="M59" s="54">
        <f>G59/$H59</f>
        <v>0.3465171551107934</v>
      </c>
      <c r="N59" s="51">
        <f>FORESTS[[#This Row],[Area_2020]]-FORESTS[[#This Row],[Area_1990]]</f>
        <v>89.1099999999999</v>
      </c>
      <c r="O59" s="51">
        <f>ABS(FORESTS[[#This Row],[Area_Delta]])</f>
        <v>89.1099999999999</v>
      </c>
      <c r="P59" s="104">
        <f>FORESTS[[#This Row],[Area_2020_%]]-FORESTS[[#This Row],[Area_1990_%]]</f>
        <v>1.5923874195854171E-2</v>
      </c>
      <c r="Q59" s="54" t="b">
        <f>IF(G59&gt;C59, TRUE, FALSE)</f>
        <v>1</v>
      </c>
      <c r="R59" s="51">
        <f>IF(Q59=TRUE,G59-C59,0)</f>
        <v>89.1099999999999</v>
      </c>
      <c r="S59" s="51">
        <f>IF(Q59=TRUE,0,C59-G59)</f>
        <v>0</v>
      </c>
      <c r="T59" s="48">
        <f>IF(J59&lt;I59,1,0)+IF(K59&lt;J59,1,0)+IF(L59&lt;K59,1,0)+IF(M59&lt;L59,1,0)</f>
        <v>0</v>
      </c>
      <c r="U59" s="43">
        <v>34.65</v>
      </c>
      <c r="V59" s="30">
        <v>0.05</v>
      </c>
      <c r="W59" s="38">
        <v>1.77</v>
      </c>
      <c r="X59" s="38">
        <f>D59-C59</f>
        <v>35</v>
      </c>
      <c r="Y59" s="38">
        <f>E59-D59</f>
        <v>35</v>
      </c>
      <c r="Z59" s="38">
        <f>F59-E59</f>
        <v>2</v>
      </c>
      <c r="AA59" s="38">
        <f>G59-F59</f>
        <v>17.1099999999999</v>
      </c>
      <c r="AB59" s="38">
        <f>FORESTS[[#This Row],[Column7]]+FORESTS[[#This Row],[Column8]]</f>
        <v>19.1099999999999</v>
      </c>
      <c r="AD59" s="63">
        <f>(D59-C59)/10</f>
        <v>3.5</v>
      </c>
      <c r="AE59" s="63">
        <f>(E59-D59)/10</f>
        <v>3.5</v>
      </c>
      <c r="AF59" s="63">
        <f>(F59-E59)/5</f>
        <v>0.4</v>
      </c>
      <c r="AG59" s="63">
        <f>(G59-F59)/5</f>
        <v>3.4219999999999802</v>
      </c>
    </row>
    <row r="60" spans="1:48" x14ac:dyDescent="0.2">
      <c r="A60" s="28">
        <v>40</v>
      </c>
      <c r="B60" s="28" t="s">
        <v>8</v>
      </c>
      <c r="C60" s="38">
        <v>3775.67</v>
      </c>
      <c r="D60" s="38">
        <v>3838.14</v>
      </c>
      <c r="E60" s="38">
        <v>3863.2</v>
      </c>
      <c r="F60" s="38">
        <v>3881.19</v>
      </c>
      <c r="G60" s="38">
        <v>3899.15</v>
      </c>
      <c r="H60" s="38">
        <v>8252</v>
      </c>
      <c r="I60" s="54">
        <f>C60/$H60</f>
        <v>0.45754604944255939</v>
      </c>
      <c r="J60" s="54">
        <f>D60/$H60</f>
        <v>0.46511633543383418</v>
      </c>
      <c r="K60" s="54">
        <f>E60/$H60</f>
        <v>0.46815317498788173</v>
      </c>
      <c r="L60" s="54">
        <f>F60/$H60</f>
        <v>0.4703332525448376</v>
      </c>
      <c r="M60" s="54">
        <f>G60/$H60</f>
        <v>0.47250969461948622</v>
      </c>
      <c r="N60" s="51">
        <f>FORESTS[[#This Row],[Area_2020]]-FORESTS[[#This Row],[Area_1990]]</f>
        <v>123.48000000000002</v>
      </c>
      <c r="O60" s="51">
        <f>ABS(FORESTS[[#This Row],[Area_Delta]])</f>
        <v>123.48000000000002</v>
      </c>
      <c r="P60" s="104">
        <f>FORESTS[[#This Row],[Area_2020_%]]-FORESTS[[#This Row],[Area_1990_%]]</f>
        <v>1.4963645176926832E-2</v>
      </c>
      <c r="Q60" s="54" t="b">
        <f>IF(G60&gt;C60, TRUE, FALSE)</f>
        <v>1</v>
      </c>
      <c r="R60" s="51">
        <f>IF(Q60=TRUE,G60-C60,0)</f>
        <v>123.48000000000002</v>
      </c>
      <c r="S60" s="51">
        <f>IF(Q60=TRUE,0,C60-G60)</f>
        <v>0</v>
      </c>
      <c r="T60" s="48">
        <f>IF(J60&lt;I60,1,0)+IF(K60&lt;J60,1,0)+IF(L60&lt;K60,1,0)+IF(M60&lt;L60,1,0)</f>
        <v>0</v>
      </c>
      <c r="U60" s="43">
        <v>47.25</v>
      </c>
      <c r="V60" s="30">
        <v>5.81</v>
      </c>
      <c r="W60" s="38">
        <v>0.09</v>
      </c>
      <c r="X60" s="38">
        <f>D60-C60</f>
        <v>62.4699999999998</v>
      </c>
      <c r="Y60" s="38">
        <f>E60-D60</f>
        <v>25.059999999999945</v>
      </c>
      <c r="Z60" s="38">
        <f>F60-E60</f>
        <v>17.990000000000236</v>
      </c>
      <c r="AA60" s="38">
        <f>G60-F60</f>
        <v>17.960000000000036</v>
      </c>
      <c r="AB60" s="38">
        <f>FORESTS[[#This Row],[Column7]]+FORESTS[[#This Row],[Column8]]</f>
        <v>35.950000000000273</v>
      </c>
      <c r="AD60" s="63">
        <f>(D60-C60)/10</f>
        <v>6.2469999999999803</v>
      </c>
      <c r="AE60" s="63">
        <f>(E60-D60)/10</f>
        <v>2.5059999999999945</v>
      </c>
      <c r="AF60" s="63">
        <f>(F60-E60)/5</f>
        <v>3.5980000000000474</v>
      </c>
      <c r="AG60" s="63">
        <f>(G60-F60)/5</f>
        <v>3.5920000000000072</v>
      </c>
    </row>
    <row r="61" spans="1:48" x14ac:dyDescent="0.2">
      <c r="A61" s="28">
        <v>258</v>
      </c>
      <c r="B61" s="28" t="s">
        <v>243</v>
      </c>
      <c r="C61" s="30">
        <v>144.43</v>
      </c>
      <c r="D61" s="30">
        <v>148.55000000000001</v>
      </c>
      <c r="E61" s="30">
        <v>149.46</v>
      </c>
      <c r="F61" s="30">
        <v>149.46</v>
      </c>
      <c r="G61" s="30">
        <v>149.46</v>
      </c>
      <c r="H61" s="30">
        <v>366</v>
      </c>
      <c r="I61" s="54">
        <f>C61/$H61</f>
        <v>0.39461748633879784</v>
      </c>
      <c r="J61" s="54">
        <f>D61/$H61</f>
        <v>0.40587431693989073</v>
      </c>
      <c r="K61" s="54">
        <f>E61/$H61</f>
        <v>0.40836065573770491</v>
      </c>
      <c r="L61" s="54">
        <f>F61/$H61</f>
        <v>0.40836065573770491</v>
      </c>
      <c r="M61" s="54">
        <f>G61/$H61</f>
        <v>0.40836065573770491</v>
      </c>
      <c r="N61" s="51">
        <f>FORESTS[[#This Row],[Area_2020]]-FORESTS[[#This Row],[Area_1990]]</f>
        <v>5.0300000000000011</v>
      </c>
      <c r="O61" s="51">
        <f>ABS(FORESTS[[#This Row],[Area_Delta]])</f>
        <v>5.0300000000000011</v>
      </c>
      <c r="P61" s="104">
        <f>FORESTS[[#This Row],[Area_2020_%]]-FORESTS[[#This Row],[Area_1990_%]]</f>
        <v>1.3743169398907074E-2</v>
      </c>
      <c r="Q61" s="54" t="b">
        <f>IF(G61&gt;C61, TRUE, FALSE)</f>
        <v>1</v>
      </c>
      <c r="R61" s="51">
        <f>IF(Q61=TRUE,G61-C61,0)</f>
        <v>5.0300000000000011</v>
      </c>
      <c r="S61" s="51">
        <f>IF(Q61=TRUE,0,C61-G61)</f>
        <v>0</v>
      </c>
      <c r="T61" s="48">
        <f>IF(J61&lt;I61,1,0)+IF(K61&lt;J61,1,0)+IF(L61&lt;K61,1,0)+IF(M61&lt;L61,1,0)</f>
        <v>0</v>
      </c>
      <c r="U61" s="48">
        <v>40.840000000000003</v>
      </c>
      <c r="V61" s="30" t="s">
        <v>247</v>
      </c>
      <c r="W61" s="30" t="s">
        <v>247</v>
      </c>
      <c r="X61" s="38">
        <f>D61-C61</f>
        <v>4.1200000000000045</v>
      </c>
      <c r="Y61" s="38">
        <f>E61-D61</f>
        <v>0.90999999999999659</v>
      </c>
      <c r="Z61" s="38">
        <f>F61-E61</f>
        <v>0</v>
      </c>
      <c r="AA61" s="38">
        <f>G61-F61</f>
        <v>0</v>
      </c>
      <c r="AB61" s="38">
        <f>FORESTS[[#This Row],[Column7]]+FORESTS[[#This Row],[Column8]]</f>
        <v>0</v>
      </c>
      <c r="AD61" s="63">
        <f>(D61-C61)/10</f>
        <v>0.41200000000000048</v>
      </c>
      <c r="AE61" s="63">
        <f>(E61-D61)/10</f>
        <v>9.0999999999999664E-2</v>
      </c>
      <c r="AF61" s="63">
        <f>(F61-E61)/5</f>
        <v>0</v>
      </c>
      <c r="AG61" s="63">
        <f>(G61-F61)/5</f>
        <v>0</v>
      </c>
      <c r="AH61" s="28">
        <v>1</v>
      </c>
    </row>
    <row r="62" spans="1:48" x14ac:dyDescent="0.2">
      <c r="A62" s="28">
        <v>438</v>
      </c>
      <c r="B62" s="28" t="s">
        <v>93</v>
      </c>
      <c r="C62" s="30">
        <v>6.5</v>
      </c>
      <c r="D62" s="30">
        <v>6.7</v>
      </c>
      <c r="E62" s="30">
        <v>6.7</v>
      </c>
      <c r="F62" s="30">
        <v>6.7</v>
      </c>
      <c r="G62" s="30">
        <v>6.7</v>
      </c>
      <c r="H62" s="30">
        <v>16</v>
      </c>
      <c r="I62" s="54">
        <f>C62/$H62</f>
        <v>0.40625</v>
      </c>
      <c r="J62" s="54">
        <f>D62/$H62</f>
        <v>0.41875000000000001</v>
      </c>
      <c r="K62" s="54">
        <f>E62/$H62</f>
        <v>0.41875000000000001</v>
      </c>
      <c r="L62" s="54">
        <f>F62/$H62</f>
        <v>0.41875000000000001</v>
      </c>
      <c r="M62" s="54">
        <f>G62/$H62</f>
        <v>0.41875000000000001</v>
      </c>
      <c r="N62" s="51">
        <f>FORESTS[[#This Row],[Area_2020]]-FORESTS[[#This Row],[Area_1990]]</f>
        <v>0.20000000000000018</v>
      </c>
      <c r="O62" s="51">
        <f>ABS(FORESTS[[#This Row],[Area_Delta]])</f>
        <v>0.20000000000000018</v>
      </c>
      <c r="P62" s="104">
        <f>FORESTS[[#This Row],[Area_2020_%]]-FORESTS[[#This Row],[Area_1990_%]]</f>
        <v>1.2500000000000011E-2</v>
      </c>
      <c r="Q62" s="54" t="b">
        <f>IF(G62&gt;C62, TRUE, FALSE)</f>
        <v>1</v>
      </c>
      <c r="R62" s="51">
        <f>IF(Q62=TRUE,G62-C62,0)</f>
        <v>0.20000000000000018</v>
      </c>
      <c r="S62" s="51">
        <f>IF(Q62=TRUE,0,C62-G62)</f>
        <v>0</v>
      </c>
      <c r="T62" s="48">
        <f>IF(J62&lt;I62,1,0)+IF(K62&lt;J62,1,0)+IF(L62&lt;K62,1,0)+IF(M62&lt;L62,1,0)</f>
        <v>0</v>
      </c>
      <c r="U62" s="48">
        <v>41.88</v>
      </c>
      <c r="V62" s="30">
        <v>0.21</v>
      </c>
      <c r="W62" s="30">
        <v>0</v>
      </c>
      <c r="X62" s="38">
        <f>D62-C62</f>
        <v>0.20000000000000018</v>
      </c>
      <c r="Y62" s="38">
        <f>E62-D62</f>
        <v>0</v>
      </c>
      <c r="Z62" s="38">
        <f>F62-E62</f>
        <v>0</v>
      </c>
      <c r="AA62" s="38">
        <f>G62-F62</f>
        <v>0</v>
      </c>
      <c r="AB62" s="38">
        <f>FORESTS[[#This Row],[Column7]]+FORESTS[[#This Row],[Column8]]</f>
        <v>0</v>
      </c>
      <c r="AD62" s="63">
        <f>(D62-C62)/10</f>
        <v>2.0000000000000018E-2</v>
      </c>
      <c r="AE62" s="63">
        <f>(E62-D62)/10</f>
        <v>0</v>
      </c>
      <c r="AF62" s="63">
        <f>(F62-E62)/5</f>
        <v>0</v>
      </c>
      <c r="AG62" s="63">
        <f>(G62-F62)/5</f>
        <v>0</v>
      </c>
    </row>
    <row r="63" spans="1:48" x14ac:dyDescent="0.2">
      <c r="A63" s="28">
        <v>196</v>
      </c>
      <c r="B63" s="28" t="s">
        <v>40</v>
      </c>
      <c r="C63" s="30">
        <v>161.11000000000001</v>
      </c>
      <c r="D63" s="30">
        <v>171.61</v>
      </c>
      <c r="E63" s="30">
        <v>172.84</v>
      </c>
      <c r="F63" s="30">
        <v>172.71</v>
      </c>
      <c r="G63" s="30">
        <v>172.53</v>
      </c>
      <c r="H63" s="30">
        <v>924</v>
      </c>
      <c r="I63" s="54">
        <f>C63/$H63</f>
        <v>0.17436147186147188</v>
      </c>
      <c r="J63" s="54">
        <f>D63/$H63</f>
        <v>0.18572510822510824</v>
      </c>
      <c r="K63" s="54">
        <f>E63/$H63</f>
        <v>0.18705627705627706</v>
      </c>
      <c r="L63" s="54">
        <f>F63/$H63</f>
        <v>0.18691558441558442</v>
      </c>
      <c r="M63" s="54">
        <f>G63/$H63</f>
        <v>0.18672077922077923</v>
      </c>
      <c r="N63" s="51">
        <f>FORESTS[[#This Row],[Area_2020]]-FORESTS[[#This Row],[Area_1990]]</f>
        <v>11.419999999999987</v>
      </c>
      <c r="O63" s="51">
        <f>ABS(FORESTS[[#This Row],[Area_Delta]])</f>
        <v>11.419999999999987</v>
      </c>
      <c r="P63" s="104">
        <f>FORESTS[[#This Row],[Area_2020_%]]-FORESTS[[#This Row],[Area_1990_%]]</f>
        <v>1.2359307359307348E-2</v>
      </c>
      <c r="Q63" s="54" t="b">
        <f>IF(G63&gt;C63, TRUE, FALSE)</f>
        <v>1</v>
      </c>
      <c r="R63" s="51">
        <f>IF(Q63=TRUE,G63-C63,0)</f>
        <v>11.419999999999987</v>
      </c>
      <c r="S63" s="51">
        <f>IF(Q63=TRUE,0,C63-G63)</f>
        <v>0</v>
      </c>
      <c r="T63" s="48">
        <f>IF(J63&lt;I63,1,0)+IF(K63&lt;J63,1,0)+IF(L63&lt;K63,1,0)+IF(M63&lt;L63,1,0)</f>
        <v>2</v>
      </c>
      <c r="U63" s="48">
        <v>18.670000000000002</v>
      </c>
      <c r="V63" s="30" t="s">
        <v>247</v>
      </c>
      <c r="W63" s="30">
        <v>0.03</v>
      </c>
      <c r="X63" s="38">
        <f>D63-C63</f>
        <v>10.5</v>
      </c>
      <c r="Y63" s="38">
        <f>E63-D63</f>
        <v>1.2299999999999898</v>
      </c>
      <c r="Z63" s="38">
        <f>F63-E63</f>
        <v>-0.12999999999999545</v>
      </c>
      <c r="AA63" s="38">
        <f>G63-F63</f>
        <v>-0.18000000000000682</v>
      </c>
      <c r="AB63" s="38">
        <f>FORESTS[[#This Row],[Column7]]+FORESTS[[#This Row],[Column8]]</f>
        <v>-0.31000000000000227</v>
      </c>
      <c r="AD63" s="63">
        <f>(D63-C63)/10</f>
        <v>1.05</v>
      </c>
      <c r="AE63" s="63">
        <f>(E63-D63)/10</f>
        <v>0.12299999999999897</v>
      </c>
      <c r="AF63" s="63">
        <f>(F63-E63)/5</f>
        <v>-2.599999999999909E-2</v>
      </c>
      <c r="AG63" s="63">
        <f>(G63-F63)/5</f>
        <v>-3.6000000000001364E-2</v>
      </c>
      <c r="AH63" s="28">
        <v>1</v>
      </c>
    </row>
    <row r="64" spans="1:48" x14ac:dyDescent="0.2">
      <c r="A64" s="28">
        <v>583</v>
      </c>
      <c r="B64" s="28" t="s">
        <v>108</v>
      </c>
      <c r="C64" s="30">
        <v>63.58</v>
      </c>
      <c r="D64" s="30">
        <v>63.86</v>
      </c>
      <c r="E64" s="30">
        <v>64.13</v>
      </c>
      <c r="F64" s="30">
        <v>64.27</v>
      </c>
      <c r="G64" s="30">
        <v>64.42</v>
      </c>
      <c r="H64" s="30">
        <v>70</v>
      </c>
      <c r="I64" s="54">
        <f>C64/$H64</f>
        <v>0.90828571428571425</v>
      </c>
      <c r="J64" s="54">
        <f>D64/$H64</f>
        <v>0.91228571428571426</v>
      </c>
      <c r="K64" s="54">
        <f>E64/$H64</f>
        <v>0.91614285714285704</v>
      </c>
      <c r="L64" s="54">
        <f>F64/$H64</f>
        <v>0.91814285714285704</v>
      </c>
      <c r="M64" s="54">
        <f>G64/$H64</f>
        <v>0.92028571428571426</v>
      </c>
      <c r="N64" s="51">
        <f>FORESTS[[#This Row],[Area_2020]]-FORESTS[[#This Row],[Area_1990]]</f>
        <v>0.84000000000000341</v>
      </c>
      <c r="O64" s="51">
        <f>ABS(FORESTS[[#This Row],[Area_Delta]])</f>
        <v>0.84000000000000341</v>
      </c>
      <c r="P64" s="104">
        <f>FORESTS[[#This Row],[Area_2020_%]]-FORESTS[[#This Row],[Area_1990_%]]</f>
        <v>1.2000000000000011E-2</v>
      </c>
      <c r="Q64" s="54" t="b">
        <f>IF(G64&gt;C64, TRUE, FALSE)</f>
        <v>1</v>
      </c>
      <c r="R64" s="51">
        <f>IF(Q64=TRUE,G64-C64,0)</f>
        <v>0.84000000000000341</v>
      </c>
      <c r="S64" s="51">
        <f>IF(Q64=TRUE,0,C64-G64)</f>
        <v>0</v>
      </c>
      <c r="T64" s="48">
        <f>IF(J64&lt;I64,1,0)+IF(K64&lt;J64,1,0)+IF(L64&lt;K64,1,0)+IF(M64&lt;L64,1,0)</f>
        <v>0</v>
      </c>
      <c r="U64" s="48">
        <v>92.03</v>
      </c>
      <c r="V64" s="30" t="s">
        <v>247</v>
      </c>
      <c r="W64" s="30" t="s">
        <v>247</v>
      </c>
      <c r="X64" s="38">
        <f>D64-C64</f>
        <v>0.28000000000000114</v>
      </c>
      <c r="Y64" s="38">
        <f>E64-D64</f>
        <v>0.26999999999999602</v>
      </c>
      <c r="Z64" s="38">
        <f>F64-E64</f>
        <v>0.14000000000000057</v>
      </c>
      <c r="AA64" s="38">
        <f>G64-F64</f>
        <v>0.15000000000000568</v>
      </c>
      <c r="AB64" s="38">
        <f>FORESTS[[#This Row],[Column7]]+FORESTS[[#This Row],[Column8]]</f>
        <v>0.29000000000000625</v>
      </c>
      <c r="AD64" s="63">
        <f>(D64-C64)/10</f>
        <v>2.8000000000000115E-2</v>
      </c>
      <c r="AE64" s="63">
        <f>(E64-D64)/10</f>
        <v>2.6999999999999601E-2</v>
      </c>
      <c r="AF64" s="63">
        <f>(F64-E64)/5</f>
        <v>2.8000000000000115E-2</v>
      </c>
      <c r="AG64" s="63">
        <f>(G64-F64)/5</f>
        <v>3.0000000000001137E-2</v>
      </c>
      <c r="AH64" s="28">
        <v>1</v>
      </c>
    </row>
    <row r="65" spans="1:57" x14ac:dyDescent="0.2">
      <c r="A65" s="28">
        <v>442</v>
      </c>
      <c r="B65" s="28" t="s">
        <v>95</v>
      </c>
      <c r="C65" s="30">
        <v>85.8</v>
      </c>
      <c r="D65" s="30">
        <v>86.7</v>
      </c>
      <c r="E65" s="30">
        <v>88.7</v>
      </c>
      <c r="F65" s="30">
        <v>88.7</v>
      </c>
      <c r="G65" s="30">
        <v>88.7</v>
      </c>
      <c r="H65" s="30">
        <v>243</v>
      </c>
      <c r="I65" s="54">
        <f>C65/$H65</f>
        <v>0.35308641975308641</v>
      </c>
      <c r="J65" s="54">
        <f>D65/$H65</f>
        <v>0.35679012345679012</v>
      </c>
      <c r="K65" s="54">
        <f>E65/$H65</f>
        <v>0.36502057613168726</v>
      </c>
      <c r="L65" s="54">
        <f>F65/$H65</f>
        <v>0.36502057613168726</v>
      </c>
      <c r="M65" s="54">
        <f>G65/$H65</f>
        <v>0.36502057613168726</v>
      </c>
      <c r="N65" s="51">
        <f>FORESTS[[#This Row],[Area_2020]]-FORESTS[[#This Row],[Area_1990]]</f>
        <v>2.9000000000000057</v>
      </c>
      <c r="O65" s="51">
        <f>ABS(FORESTS[[#This Row],[Area_Delta]])</f>
        <v>2.9000000000000057</v>
      </c>
      <c r="P65" s="104">
        <f>FORESTS[[#This Row],[Area_2020_%]]-FORESTS[[#This Row],[Area_1990_%]]</f>
        <v>1.1934156378600846E-2</v>
      </c>
      <c r="Q65" s="54" t="b">
        <f>IF(G65&gt;C65, TRUE, FALSE)</f>
        <v>1</v>
      </c>
      <c r="R65" s="51">
        <f>IF(Q65=TRUE,G65-C65,0)</f>
        <v>2.9000000000000057</v>
      </c>
      <c r="S65" s="51">
        <f>IF(Q65=TRUE,0,C65-G65)</f>
        <v>0</v>
      </c>
      <c r="T65" s="48">
        <f>IF(J65&lt;I65,1,0)+IF(K65&lt;J65,1,0)+IF(L65&lt;K65,1,0)+IF(M65&lt;L65,1,0)</f>
        <v>0</v>
      </c>
      <c r="U65" s="48">
        <v>36.5</v>
      </c>
      <c r="V65" s="30" t="s">
        <v>247</v>
      </c>
      <c r="W65" s="30" t="s">
        <v>247</v>
      </c>
      <c r="X65" s="38">
        <f>D65-C65</f>
        <v>0.90000000000000568</v>
      </c>
      <c r="Y65" s="38">
        <f>E65-D65</f>
        <v>2</v>
      </c>
      <c r="Z65" s="38">
        <f>F65-E65</f>
        <v>0</v>
      </c>
      <c r="AA65" s="38">
        <f>G65-F65</f>
        <v>0</v>
      </c>
      <c r="AB65" s="38">
        <f>FORESTS[[#This Row],[Column7]]+FORESTS[[#This Row],[Column8]]</f>
        <v>0</v>
      </c>
      <c r="AD65" s="63">
        <f>(D65-C65)/10</f>
        <v>9.0000000000000566E-2</v>
      </c>
      <c r="AE65" s="63">
        <f>(E65-D65)/10</f>
        <v>0.2</v>
      </c>
      <c r="AF65" s="63">
        <f>(F65-E65)/5</f>
        <v>0</v>
      </c>
      <c r="AG65" s="63">
        <f>(G65-F65)/5</f>
        <v>0</v>
      </c>
      <c r="AH65" s="28">
        <v>1</v>
      </c>
    </row>
    <row r="66" spans="1:57" x14ac:dyDescent="0.2">
      <c r="A66" s="28">
        <v>702</v>
      </c>
      <c r="B66" s="28" t="s">
        <v>148</v>
      </c>
      <c r="C66" s="30">
        <v>14.83</v>
      </c>
      <c r="D66" s="30">
        <v>17.010000000000002</v>
      </c>
      <c r="E66" s="30">
        <v>17.739999999999998</v>
      </c>
      <c r="F66" s="30">
        <v>16.47</v>
      </c>
      <c r="G66" s="30">
        <v>15.57</v>
      </c>
      <c r="H66" s="30">
        <v>71</v>
      </c>
      <c r="I66" s="54">
        <f>C66/$H66</f>
        <v>0.20887323943661973</v>
      </c>
      <c r="J66" s="54">
        <f>D66/$H66</f>
        <v>0.2395774647887324</v>
      </c>
      <c r="K66" s="54">
        <f>E66/$H66</f>
        <v>0.24985915492957744</v>
      </c>
      <c r="L66" s="54">
        <f>F66/$H66</f>
        <v>0.23197183098591548</v>
      </c>
      <c r="M66" s="54">
        <f>G66/$H66</f>
        <v>0.21929577464788733</v>
      </c>
      <c r="N66" s="51">
        <f>FORESTS[[#This Row],[Area_2020]]-FORESTS[[#This Row],[Area_1990]]</f>
        <v>0.74000000000000021</v>
      </c>
      <c r="O66" s="51">
        <f>ABS(FORESTS[[#This Row],[Area_Delta]])</f>
        <v>0.74000000000000021</v>
      </c>
      <c r="P66" s="104">
        <f>FORESTS[[#This Row],[Area_2020_%]]-FORESTS[[#This Row],[Area_1990_%]]</f>
        <v>1.0422535211267597E-2</v>
      </c>
      <c r="Q66" s="54" t="b">
        <f>IF(G66&gt;C66, TRUE, FALSE)</f>
        <v>1</v>
      </c>
      <c r="R66" s="51">
        <f>IF(Q66=TRUE,G66-C66,0)</f>
        <v>0.74000000000000021</v>
      </c>
      <c r="S66" s="51">
        <f>IF(Q66=TRUE,0,C66-G66)</f>
        <v>0</v>
      </c>
      <c r="T66" s="48">
        <f>IF(J66&lt;I66,1,0)+IF(K66&lt;J66,1,0)+IF(L66&lt;K66,1,0)+IF(M66&lt;L66,1,0)</f>
        <v>2</v>
      </c>
      <c r="U66" s="48">
        <v>21.93</v>
      </c>
      <c r="V66" s="30">
        <v>0.24</v>
      </c>
      <c r="W66" s="30" t="s">
        <v>247</v>
      </c>
      <c r="X66" s="38">
        <f>D66-C66</f>
        <v>2.1800000000000015</v>
      </c>
      <c r="Y66" s="38">
        <f>E66-D66</f>
        <v>0.72999999999999687</v>
      </c>
      <c r="Z66" s="38">
        <f>F66-E66</f>
        <v>-1.2699999999999996</v>
      </c>
      <c r="AA66" s="38">
        <f>G66-F66</f>
        <v>-0.89999999999999858</v>
      </c>
      <c r="AB66" s="38">
        <f>FORESTS[[#This Row],[Column7]]+FORESTS[[#This Row],[Column8]]</f>
        <v>-2.1699999999999982</v>
      </c>
      <c r="AD66" s="63">
        <f>(D66-C66)/10</f>
        <v>0.21800000000000014</v>
      </c>
      <c r="AE66" s="63">
        <f>(E66-D66)/10</f>
        <v>7.299999999999969E-2</v>
      </c>
      <c r="AF66" s="63">
        <f>(F66-E66)/5</f>
        <v>-0.25399999999999989</v>
      </c>
      <c r="AG66" s="63">
        <f>(G66-F66)/5</f>
        <v>-0.17999999999999972</v>
      </c>
      <c r="AH66" s="28">
        <v>1</v>
      </c>
    </row>
    <row r="67" spans="1:57" x14ac:dyDescent="0.2">
      <c r="A67" s="28">
        <v>364</v>
      </c>
      <c r="B67" s="28" t="s">
        <v>77</v>
      </c>
      <c r="C67" s="38">
        <v>9076.06</v>
      </c>
      <c r="D67" s="38">
        <v>9325.66</v>
      </c>
      <c r="E67" s="38">
        <v>10691.98</v>
      </c>
      <c r="F67" s="38">
        <v>10691.98</v>
      </c>
      <c r="G67" s="38">
        <v>10751.87</v>
      </c>
      <c r="H67" s="38">
        <v>162876</v>
      </c>
      <c r="I67" s="54">
        <f>C67/$H67</f>
        <v>5.5723740759841843E-2</v>
      </c>
      <c r="J67" s="54">
        <f>D67/$H67</f>
        <v>5.7256194896731255E-2</v>
      </c>
      <c r="K67" s="54">
        <f>E67/$H67</f>
        <v>6.564490778260762E-2</v>
      </c>
      <c r="L67" s="54">
        <f>F67/$H67</f>
        <v>6.564490778260762E-2</v>
      </c>
      <c r="M67" s="54">
        <f>G67/$H67</f>
        <v>6.6012610820501486E-2</v>
      </c>
      <c r="N67" s="51">
        <f>FORESTS[[#This Row],[Area_2020]]-FORESTS[[#This Row],[Area_1990]]</f>
        <v>1675.8100000000013</v>
      </c>
      <c r="O67" s="51">
        <f>ABS(FORESTS[[#This Row],[Area_Delta]])</f>
        <v>1675.8100000000013</v>
      </c>
      <c r="P67" s="104">
        <f>FORESTS[[#This Row],[Area_2020_%]]-FORESTS[[#This Row],[Area_1990_%]]</f>
        <v>1.0288870060659643E-2</v>
      </c>
      <c r="Q67" s="48" t="b">
        <f>IF(G67&gt;C67, TRUE, FALSE)</f>
        <v>1</v>
      </c>
      <c r="R67" s="51">
        <f>IF(Q67=TRUE,G67-C67,0)</f>
        <v>1675.8100000000013</v>
      </c>
      <c r="S67" s="51">
        <f>IF(Q67=TRUE,0,C67-G67)</f>
        <v>0</v>
      </c>
      <c r="T67" s="62">
        <f>IF(J67&lt;I67,1,0)+IF(K67&lt;J67,1,0)+IF(L67&lt;K67,1,0)+IF(M67&lt;L67,1,0)</f>
        <v>0</v>
      </c>
      <c r="U67" s="43">
        <v>6.6</v>
      </c>
      <c r="V67" s="30" t="s">
        <v>247</v>
      </c>
      <c r="W67" s="38">
        <v>4.79</v>
      </c>
      <c r="X67" s="38">
        <f>D67-C67</f>
        <v>249.60000000000036</v>
      </c>
      <c r="Y67" s="38">
        <f>E67-D67</f>
        <v>1366.3199999999997</v>
      </c>
      <c r="Z67" s="38">
        <f>F67-E67</f>
        <v>0</v>
      </c>
      <c r="AA67" s="38">
        <f>G67-F67</f>
        <v>59.890000000001237</v>
      </c>
      <c r="AB67" s="38">
        <f>FORESTS[[#This Row],[Column7]]+FORESTS[[#This Row],[Column8]]</f>
        <v>59.890000000001237</v>
      </c>
      <c r="AD67" s="63">
        <f>(D67-C67)/10</f>
        <v>24.960000000000036</v>
      </c>
      <c r="AE67" s="63">
        <f>(E67-D67)/10</f>
        <v>136.63199999999998</v>
      </c>
      <c r="AF67" s="63">
        <f>(F67-E67)/5</f>
        <v>0</v>
      </c>
      <c r="AG67" s="63">
        <f>(G67-F67)/5</f>
        <v>11.978000000000247</v>
      </c>
    </row>
    <row r="68" spans="1:57" x14ac:dyDescent="0.2">
      <c r="A68" s="28">
        <v>784</v>
      </c>
      <c r="B68" s="28" t="s">
        <v>227</v>
      </c>
      <c r="C68" s="38">
        <v>245</v>
      </c>
      <c r="D68" s="38">
        <v>309.43</v>
      </c>
      <c r="E68" s="38">
        <v>317.3</v>
      </c>
      <c r="F68" s="38">
        <v>317.3</v>
      </c>
      <c r="G68" s="38">
        <v>317.3</v>
      </c>
      <c r="H68" s="38">
        <v>7102</v>
      </c>
      <c r="I68" s="54">
        <f>C68/$H68</f>
        <v>3.4497324697268378E-2</v>
      </c>
      <c r="J68" s="54">
        <f>D68/$H68</f>
        <v>4.3569417065615318E-2</v>
      </c>
      <c r="K68" s="54">
        <f>E68/$H68</f>
        <v>4.4677555618135738E-2</v>
      </c>
      <c r="L68" s="54">
        <f>F68/$H68</f>
        <v>4.4677555618135738E-2</v>
      </c>
      <c r="M68" s="54">
        <f>G68/$H68</f>
        <v>4.4677555618135738E-2</v>
      </c>
      <c r="N68" s="51">
        <f>FORESTS[[#This Row],[Area_2020]]-FORESTS[[#This Row],[Area_1990]]</f>
        <v>72.300000000000011</v>
      </c>
      <c r="O68" s="51">
        <f>ABS(FORESTS[[#This Row],[Area_Delta]])</f>
        <v>72.300000000000011</v>
      </c>
      <c r="P68" s="104">
        <f>FORESTS[[#This Row],[Area_2020_%]]-FORESTS[[#This Row],[Area_1990_%]]</f>
        <v>1.018023092086736E-2</v>
      </c>
      <c r="Q68" s="54" t="b">
        <f>IF(G68&gt;C68, TRUE, FALSE)</f>
        <v>1</v>
      </c>
      <c r="R68" s="51">
        <f>IF(Q68=TRUE,G68-C68,0)</f>
        <v>72.300000000000011</v>
      </c>
      <c r="S68" s="51">
        <f>IF(Q68=TRUE,0,C68-G68)</f>
        <v>0</v>
      </c>
      <c r="T68" s="48">
        <f>IF(J68&lt;I68,1,0)+IF(K68&lt;J68,1,0)+IF(L68&lt;K68,1,0)+IF(M68&lt;L68,1,0)</f>
        <v>0</v>
      </c>
      <c r="U68" s="43">
        <v>4.47</v>
      </c>
      <c r="V68" s="30" t="s">
        <v>247</v>
      </c>
      <c r="W68" s="38" t="s">
        <v>247</v>
      </c>
      <c r="X68" s="38">
        <f>D68-C68</f>
        <v>64.430000000000007</v>
      </c>
      <c r="Y68" s="38">
        <f>E68-D68</f>
        <v>7.8700000000000045</v>
      </c>
      <c r="Z68" s="38">
        <f>F68-E68</f>
        <v>0</v>
      </c>
      <c r="AA68" s="38">
        <f>G68-F68</f>
        <v>0</v>
      </c>
      <c r="AB68" s="38">
        <f>FORESTS[[#This Row],[Column7]]+FORESTS[[#This Row],[Column8]]</f>
        <v>0</v>
      </c>
      <c r="AD68" s="63">
        <f>(D68-C68)/10</f>
        <v>6.4430000000000005</v>
      </c>
      <c r="AE68" s="63">
        <f>(E68-D68)/10</f>
        <v>0.78700000000000048</v>
      </c>
      <c r="AF68" s="63">
        <f>(F68-E68)/5</f>
        <v>0</v>
      </c>
      <c r="AG68" s="63">
        <f>(G68-F68)/5</f>
        <v>0</v>
      </c>
    </row>
    <row r="69" spans="1:57" x14ac:dyDescent="0.2">
      <c r="A69" s="28">
        <v>268</v>
      </c>
      <c r="B69" s="28" t="s">
        <v>60</v>
      </c>
      <c r="C69" s="38">
        <v>2752.3</v>
      </c>
      <c r="D69" s="38">
        <v>2760.6</v>
      </c>
      <c r="E69" s="38">
        <v>2822.4</v>
      </c>
      <c r="F69" s="38">
        <v>2822.4</v>
      </c>
      <c r="G69" s="38">
        <v>2822.4</v>
      </c>
      <c r="H69" s="38">
        <v>6949</v>
      </c>
      <c r="I69" s="54">
        <f>C69/$H69</f>
        <v>0.3960713771765722</v>
      </c>
      <c r="J69" s="54">
        <f>D69/$H69</f>
        <v>0.39726579363937253</v>
      </c>
      <c r="K69" s="54">
        <f>E69/$H69</f>
        <v>0.40615915959130811</v>
      </c>
      <c r="L69" s="54">
        <f>F69/$H69</f>
        <v>0.40615915959130811</v>
      </c>
      <c r="M69" s="54">
        <f>G69/$H69</f>
        <v>0.40615915959130811</v>
      </c>
      <c r="N69" s="51">
        <f>FORESTS[[#This Row],[Area_2020]]-FORESTS[[#This Row],[Area_1990]]</f>
        <v>70.099999999999909</v>
      </c>
      <c r="O69" s="51">
        <f>ABS(FORESTS[[#This Row],[Area_Delta]])</f>
        <v>70.099999999999909</v>
      </c>
      <c r="P69" s="104">
        <f>FORESTS[[#This Row],[Area_2020_%]]-FORESTS[[#This Row],[Area_1990_%]]</f>
        <v>1.0087782414735902E-2</v>
      </c>
      <c r="Q69" s="54" t="b">
        <f>IF(G69&gt;C69, TRUE, FALSE)</f>
        <v>1</v>
      </c>
      <c r="R69" s="51">
        <f>IF(Q69=TRUE,G69-C69,0)</f>
        <v>70.099999999999909</v>
      </c>
      <c r="S69" s="51">
        <f>IF(Q69=TRUE,0,C69-G69)</f>
        <v>0</v>
      </c>
      <c r="T69" s="48">
        <f>IF(J69&lt;I69,1,0)+IF(K69&lt;J69,1,0)+IF(L69&lt;K69,1,0)+IF(M69&lt;L69,1,0)</f>
        <v>0</v>
      </c>
      <c r="U69" s="43">
        <v>40.619999999999997</v>
      </c>
      <c r="V69" s="30">
        <v>0</v>
      </c>
      <c r="W69" s="38">
        <v>0.21</v>
      </c>
      <c r="X69" s="38">
        <f>D69-C69</f>
        <v>8.2999999999997272</v>
      </c>
      <c r="Y69" s="38">
        <f>E69-D69</f>
        <v>61.800000000000182</v>
      </c>
      <c r="Z69" s="38">
        <f>F69-E69</f>
        <v>0</v>
      </c>
      <c r="AA69" s="38">
        <f>G69-F69</f>
        <v>0</v>
      </c>
      <c r="AB69" s="38">
        <f>FORESTS[[#This Row],[Column7]]+FORESTS[[#This Row],[Column8]]</f>
        <v>0</v>
      </c>
      <c r="AD69" s="63">
        <f>(D69-C69)/10</f>
        <v>0.82999999999997276</v>
      </c>
      <c r="AE69" s="63">
        <f>(E69-D69)/10</f>
        <v>6.1800000000000184</v>
      </c>
      <c r="AF69" s="63">
        <f>(F69-E69)/5</f>
        <v>0</v>
      </c>
      <c r="AG69" s="63">
        <f>(G69-F69)/5</f>
        <v>0</v>
      </c>
    </row>
    <row r="70" spans="1:57" x14ac:dyDescent="0.2">
      <c r="A70" s="28">
        <v>764</v>
      </c>
      <c r="B70" s="28" t="s">
        <v>164</v>
      </c>
      <c r="C70" s="38">
        <v>19361</v>
      </c>
      <c r="D70" s="38">
        <v>18998</v>
      </c>
      <c r="E70" s="38">
        <v>20073</v>
      </c>
      <c r="F70" s="38">
        <v>20061</v>
      </c>
      <c r="G70" s="38">
        <v>19873</v>
      </c>
      <c r="H70" s="38">
        <v>51089</v>
      </c>
      <c r="I70" s="54">
        <f>C70/$H70</f>
        <v>0.37896611795102664</v>
      </c>
      <c r="J70" s="54">
        <f>D70/$H70</f>
        <v>0.3718608702460412</v>
      </c>
      <c r="K70" s="54">
        <f>E70/$H70</f>
        <v>0.39290258176906967</v>
      </c>
      <c r="L70" s="54">
        <f>F70/$H70</f>
        <v>0.39266769754741726</v>
      </c>
      <c r="M70" s="54">
        <f>G70/$H70</f>
        <v>0.38898784474152948</v>
      </c>
      <c r="N70" s="51">
        <f>FORESTS[[#This Row],[Area_2020]]-FORESTS[[#This Row],[Area_1990]]</f>
        <v>512</v>
      </c>
      <c r="O70" s="51">
        <f>ABS(FORESTS[[#This Row],[Area_Delta]])</f>
        <v>512</v>
      </c>
      <c r="P70" s="104">
        <f>FORESTS[[#This Row],[Area_2020_%]]-FORESTS[[#This Row],[Area_1990_%]]</f>
        <v>1.0021726790502838E-2</v>
      </c>
      <c r="Q70" s="48" t="b">
        <f>IF(G70&gt;C70, TRUE, FALSE)</f>
        <v>1</v>
      </c>
      <c r="R70" s="51">
        <f>IF(Q70=TRUE,G70-C70,0)</f>
        <v>512</v>
      </c>
      <c r="S70" s="51">
        <f>IF(Q70=TRUE,0,C70-G70)</f>
        <v>0</v>
      </c>
      <c r="T70" s="62">
        <f>IF(J70&lt;I70,1,0)+IF(K70&lt;J70,1,0)+IF(L70&lt;K70,1,0)+IF(M70&lt;L70,1,0)</f>
        <v>3</v>
      </c>
      <c r="U70" s="43">
        <v>38.9</v>
      </c>
      <c r="V70" s="30">
        <v>37.6</v>
      </c>
      <c r="W70" s="38">
        <v>16.579999999999998</v>
      </c>
      <c r="X70" s="38">
        <f>D70-C70</f>
        <v>-363</v>
      </c>
      <c r="Y70" s="38">
        <f>E70-D70</f>
        <v>1075</v>
      </c>
      <c r="Z70" s="38">
        <f>F70-E70</f>
        <v>-12</v>
      </c>
      <c r="AA70" s="38">
        <f>G70-F70</f>
        <v>-188</v>
      </c>
      <c r="AB70" s="38">
        <f>FORESTS[[#This Row],[Column7]]+FORESTS[[#This Row],[Column8]]</f>
        <v>-200</v>
      </c>
      <c r="AD70" s="63">
        <f>(D70-C70)/10</f>
        <v>-36.299999999999997</v>
      </c>
      <c r="AE70" s="63">
        <f>(E70-D70)/10</f>
        <v>107.5</v>
      </c>
      <c r="AF70" s="63">
        <f>(F70-E70)/5</f>
        <v>-2.4</v>
      </c>
      <c r="AG70" s="63">
        <f>(G70-F70)/5</f>
        <v>-37.6</v>
      </c>
      <c r="AH70" s="28">
        <v>1</v>
      </c>
    </row>
    <row r="71" spans="1:57" x14ac:dyDescent="0.2">
      <c r="A71" s="28">
        <v>417</v>
      </c>
      <c r="B71" s="28" t="s">
        <v>87</v>
      </c>
      <c r="C71" s="38">
        <v>1136.42</v>
      </c>
      <c r="D71" s="38">
        <v>1180.9000000000001</v>
      </c>
      <c r="E71" s="38">
        <v>1229.68</v>
      </c>
      <c r="F71" s="38">
        <v>1251.81</v>
      </c>
      <c r="G71" s="38">
        <v>1315.38</v>
      </c>
      <c r="H71" s="38">
        <v>19180</v>
      </c>
      <c r="I71" s="54">
        <f>C71/$H71</f>
        <v>5.9250260688216899E-2</v>
      </c>
      <c r="J71" s="54">
        <f>D71/$H71</f>
        <v>6.1569343065693435E-2</v>
      </c>
      <c r="K71" s="54">
        <f>E71/$H71</f>
        <v>6.4112617309697612E-2</v>
      </c>
      <c r="L71" s="54">
        <f>F71/$H71</f>
        <v>6.5266423357664236E-2</v>
      </c>
      <c r="M71" s="54">
        <f>G71/$H71</f>
        <v>6.8580813347236716E-2</v>
      </c>
      <c r="N71" s="51">
        <f>FORESTS[[#This Row],[Area_2020]]-FORESTS[[#This Row],[Area_1990]]</f>
        <v>178.96000000000004</v>
      </c>
      <c r="O71" s="51">
        <f>ABS(FORESTS[[#This Row],[Area_Delta]])</f>
        <v>178.96000000000004</v>
      </c>
      <c r="P71" s="104">
        <f>FORESTS[[#This Row],[Area_2020_%]]-FORESTS[[#This Row],[Area_1990_%]]</f>
        <v>9.3305526590198168E-3</v>
      </c>
      <c r="Q71" s="54" t="b">
        <f>IF(G71&gt;C71, TRUE, FALSE)</f>
        <v>1</v>
      </c>
      <c r="R71" s="51">
        <f>IF(Q71=TRUE,G71-C71,0)</f>
        <v>178.96000000000004</v>
      </c>
      <c r="S71" s="51">
        <f>IF(Q71=TRUE,0,C71-G71)</f>
        <v>0</v>
      </c>
      <c r="T71" s="48">
        <f>IF(J71&lt;I71,1,0)+IF(K71&lt;J71,1,0)+IF(L71&lt;K71,1,0)+IF(M71&lt;L71,1,0)</f>
        <v>0</v>
      </c>
      <c r="U71" s="43">
        <v>6.86</v>
      </c>
      <c r="V71" s="30">
        <v>0</v>
      </c>
      <c r="W71" s="38">
        <v>0.02</v>
      </c>
      <c r="X71" s="38">
        <f>D71-C71</f>
        <v>44.480000000000018</v>
      </c>
      <c r="Y71" s="38">
        <f>E71-D71</f>
        <v>48.779999999999973</v>
      </c>
      <c r="Z71" s="38">
        <f>F71-E71</f>
        <v>22.129999999999882</v>
      </c>
      <c r="AA71" s="38">
        <f>G71-F71</f>
        <v>63.570000000000164</v>
      </c>
      <c r="AB71" s="38">
        <f>FORESTS[[#This Row],[Column7]]+FORESTS[[#This Row],[Column8]]</f>
        <v>85.700000000000045</v>
      </c>
      <c r="AD71" s="63">
        <f>(D71-C71)/10</f>
        <v>4.4480000000000022</v>
      </c>
      <c r="AE71" s="63">
        <f>(E71-D71)/10</f>
        <v>4.8779999999999974</v>
      </c>
      <c r="AF71" s="63">
        <f>(F71-E71)/5</f>
        <v>4.4259999999999762</v>
      </c>
      <c r="AG71" s="63">
        <f>(G71-F71)/5</f>
        <v>12.714000000000032</v>
      </c>
      <c r="AH71" s="28">
        <v>1</v>
      </c>
    </row>
    <row r="72" spans="1:57" x14ac:dyDescent="0.2">
      <c r="A72" s="28">
        <v>760</v>
      </c>
      <c r="B72" s="28" t="s">
        <v>162</v>
      </c>
      <c r="C72" s="38">
        <v>372.08</v>
      </c>
      <c r="D72" s="38">
        <v>432.08</v>
      </c>
      <c r="E72" s="38">
        <v>492.08</v>
      </c>
      <c r="F72" s="38">
        <v>522.08000000000004</v>
      </c>
      <c r="G72" s="38">
        <v>522.08000000000004</v>
      </c>
      <c r="H72" s="38">
        <v>18363</v>
      </c>
      <c r="I72" s="54">
        <f>C72/$H72</f>
        <v>2.0262484343516855E-2</v>
      </c>
      <c r="J72" s="54">
        <f>D72/$H72</f>
        <v>2.3529924304307573E-2</v>
      </c>
      <c r="K72" s="54">
        <f>E72/$H72</f>
        <v>2.6797364265098295E-2</v>
      </c>
      <c r="L72" s="54">
        <f>F72/$H72</f>
        <v>2.8431084245493659E-2</v>
      </c>
      <c r="M72" s="54">
        <f>G72/$H72</f>
        <v>2.8431084245493659E-2</v>
      </c>
      <c r="N72" s="51">
        <f>FORESTS[[#This Row],[Area_2020]]-FORESTS[[#This Row],[Area_1990]]</f>
        <v>150.00000000000006</v>
      </c>
      <c r="O72" s="51">
        <f>ABS(FORESTS[[#This Row],[Area_Delta]])</f>
        <v>150.00000000000006</v>
      </c>
      <c r="P72" s="104">
        <f>FORESTS[[#This Row],[Area_2020_%]]-FORESTS[[#This Row],[Area_1990_%]]</f>
        <v>8.1685999019768044E-3</v>
      </c>
      <c r="Q72" s="54" t="b">
        <f>IF(G72&gt;C72, TRUE, FALSE)</f>
        <v>1</v>
      </c>
      <c r="R72" s="51">
        <f>IF(Q72=TRUE,G72-C72,0)</f>
        <v>150.00000000000006</v>
      </c>
      <c r="S72" s="51">
        <f>IF(Q72=TRUE,0,C72-G72)</f>
        <v>0</v>
      </c>
      <c r="T72" s="48">
        <f>IF(J72&lt;I72,1,0)+IF(K72&lt;J72,1,0)+IF(L72&lt;K72,1,0)+IF(M72&lt;L72,1,0)</f>
        <v>0</v>
      </c>
      <c r="U72" s="43">
        <v>2.84</v>
      </c>
      <c r="V72" s="30" t="s">
        <v>247</v>
      </c>
      <c r="W72" s="38" t="s">
        <v>247</v>
      </c>
      <c r="X72" s="38">
        <f>D72-C72</f>
        <v>60</v>
      </c>
      <c r="Y72" s="38">
        <f>E72-D72</f>
        <v>60</v>
      </c>
      <c r="Z72" s="38">
        <f>F72-E72</f>
        <v>30.000000000000057</v>
      </c>
      <c r="AA72" s="38">
        <f>G72-F72</f>
        <v>0</v>
      </c>
      <c r="AB72" s="38">
        <f>FORESTS[[#This Row],[Column7]]+FORESTS[[#This Row],[Column8]]</f>
        <v>30.000000000000057</v>
      </c>
      <c r="AD72" s="63">
        <f>(D72-C72)/10</f>
        <v>6</v>
      </c>
      <c r="AE72" s="63">
        <f>(E72-D72)/10</f>
        <v>6</v>
      </c>
      <c r="AF72" s="63">
        <f>(F72-E72)/5</f>
        <v>6.0000000000000115</v>
      </c>
      <c r="AG72" s="63">
        <f>(G72-F72)/5</f>
        <v>0</v>
      </c>
    </row>
    <row r="73" spans="1:57" x14ac:dyDescent="0.2">
      <c r="A73" s="28">
        <v>840</v>
      </c>
      <c r="B73" s="28" t="s">
        <v>177</v>
      </c>
      <c r="C73" s="38">
        <v>302450</v>
      </c>
      <c r="D73" s="38">
        <v>303536</v>
      </c>
      <c r="E73" s="38">
        <v>308720</v>
      </c>
      <c r="F73" s="38">
        <v>310095</v>
      </c>
      <c r="G73" s="38">
        <v>309795</v>
      </c>
      <c r="H73" s="38">
        <v>914742</v>
      </c>
      <c r="I73" s="54">
        <f>C73/$H73</f>
        <v>0.33063967763587987</v>
      </c>
      <c r="J73" s="54">
        <f>D73/$H73</f>
        <v>0.33182689763889711</v>
      </c>
      <c r="K73" s="54">
        <f>E73/$H73</f>
        <v>0.33749406936600701</v>
      </c>
      <c r="L73" s="54">
        <f>F73/$H73</f>
        <v>0.33899722544717525</v>
      </c>
      <c r="M73" s="54">
        <f>G73/$H73</f>
        <v>0.3386692641203749</v>
      </c>
      <c r="N73" s="51">
        <f>FORESTS[[#This Row],[Area_2020]]-FORESTS[[#This Row],[Area_1990]]</f>
        <v>7345</v>
      </c>
      <c r="O73" s="51">
        <f>ABS(FORESTS[[#This Row],[Area_Delta]])</f>
        <v>7345</v>
      </c>
      <c r="P73" s="104">
        <f>FORESTS[[#This Row],[Area_2020_%]]-FORESTS[[#This Row],[Area_1990_%]]</f>
        <v>8.0295864844950326E-3</v>
      </c>
      <c r="Q73" s="48" t="b">
        <f>IF(G73&gt;C73, TRUE, FALSE)</f>
        <v>1</v>
      </c>
      <c r="R73" s="51">
        <f>IF(Q73=TRUE,G73-C73,0)</f>
        <v>7345</v>
      </c>
      <c r="S73" s="51">
        <f>IF(Q73=TRUE,0,C73-G73)</f>
        <v>0</v>
      </c>
      <c r="T73" s="62">
        <f>IF(J73&lt;I73,1,0)+IF(K73&lt;J73,1,0)+IF(L73&lt;K73,1,0)+IF(M73&lt;L73,1,0)</f>
        <v>1</v>
      </c>
      <c r="U73" s="43">
        <v>33.869999999999997</v>
      </c>
      <c r="V73" s="30" t="s">
        <v>247</v>
      </c>
      <c r="W73" s="38">
        <v>4097.6499999999996</v>
      </c>
      <c r="X73" s="38">
        <f>D73-C73</f>
        <v>1086</v>
      </c>
      <c r="Y73" s="38">
        <f>E73-D73</f>
        <v>5184</v>
      </c>
      <c r="Z73" s="38">
        <f>F73-E73</f>
        <v>1375</v>
      </c>
      <c r="AA73" s="38">
        <f>G73-F73</f>
        <v>-300</v>
      </c>
      <c r="AB73" s="38">
        <f>FORESTS[[#This Row],[Column7]]+FORESTS[[#This Row],[Column8]]</f>
        <v>1075</v>
      </c>
      <c r="AD73" s="63">
        <f>(D73-C73)/10</f>
        <v>108.6</v>
      </c>
      <c r="AE73" s="63">
        <f>(E73-D73)/10</f>
        <v>518.4</v>
      </c>
      <c r="AF73" s="63">
        <f>(F73-E73)/5</f>
        <v>275</v>
      </c>
      <c r="AG73" s="63">
        <f>(G73-F73)/5</f>
        <v>-60</v>
      </c>
      <c r="AH73" s="28">
        <v>1</v>
      </c>
      <c r="AT73" s="28" cm="1">
        <f t="array" ref="AT73:AX77">_xlfn.MAKEARRAY(5,5,_xlfn.LAMBDA(_xlpm.r,_xlpm.c,_xlpm.r*4/_xlpm.c))</f>
        <v>4</v>
      </c>
      <c r="AU73" s="28">
        <v>2</v>
      </c>
      <c r="AV73" s="28">
        <v>1.3333333333333333</v>
      </c>
      <c r="AW73" s="28">
        <v>1</v>
      </c>
      <c r="AX73" s="28">
        <v>0.8</v>
      </c>
    </row>
    <row r="74" spans="1:57" x14ac:dyDescent="0.2">
      <c r="A74" s="28">
        <v>804</v>
      </c>
      <c r="B74" s="28" t="s">
        <v>173</v>
      </c>
      <c r="C74" s="38">
        <v>9274</v>
      </c>
      <c r="D74" s="38">
        <v>9510</v>
      </c>
      <c r="E74" s="38">
        <v>9548</v>
      </c>
      <c r="F74" s="38">
        <v>9657</v>
      </c>
      <c r="G74" s="38">
        <v>9690</v>
      </c>
      <c r="H74" s="38">
        <v>57929</v>
      </c>
      <c r="I74" s="54">
        <f>C74/$H74</f>
        <v>0.160092527058986</v>
      </c>
      <c r="J74" s="54">
        <f>D74/$H74</f>
        <v>0.16416647965613079</v>
      </c>
      <c r="K74" s="54">
        <f>E74/$H74</f>
        <v>0.16482245507431512</v>
      </c>
      <c r="L74" s="54">
        <f>F74/$H74</f>
        <v>0.16670406877384383</v>
      </c>
      <c r="M74" s="54">
        <f>G74/$H74</f>
        <v>0.16727373163700393</v>
      </c>
      <c r="N74" s="51">
        <f>FORESTS[[#This Row],[Area_2020]]-FORESTS[[#This Row],[Area_1990]]</f>
        <v>416</v>
      </c>
      <c r="O74" s="51">
        <f>ABS(FORESTS[[#This Row],[Area_Delta]])</f>
        <v>416</v>
      </c>
      <c r="P74" s="104">
        <f>FORESTS[[#This Row],[Area_2020_%]]-FORESTS[[#This Row],[Area_1990_%]]</f>
        <v>7.1812045780179357E-3</v>
      </c>
      <c r="Q74" s="54" t="b">
        <f>IF(G74&gt;C74, TRUE, FALSE)</f>
        <v>1</v>
      </c>
      <c r="R74" s="51">
        <f>IF(Q74=TRUE,G74-C74,0)</f>
        <v>416</v>
      </c>
      <c r="S74" s="51">
        <f>IF(Q74=TRUE,0,C74-G74)</f>
        <v>0</v>
      </c>
      <c r="T74" s="48">
        <f>IF(J74&lt;I74,1,0)+IF(K74&lt;J74,1,0)+IF(L74&lt;K74,1,0)+IF(M74&lt;L74,1,0)</f>
        <v>0</v>
      </c>
      <c r="U74" s="43">
        <v>16.73</v>
      </c>
      <c r="V74" s="30">
        <v>0.1</v>
      </c>
      <c r="W74" s="38">
        <v>14.7</v>
      </c>
      <c r="X74" s="38">
        <f>D74-C74</f>
        <v>236</v>
      </c>
      <c r="Y74" s="38">
        <f>E74-D74</f>
        <v>38</v>
      </c>
      <c r="Z74" s="38">
        <f>F74-E74</f>
        <v>109</v>
      </c>
      <c r="AA74" s="38">
        <f>G74-F74</f>
        <v>33</v>
      </c>
      <c r="AB74" s="38">
        <f>FORESTS[[#This Row],[Column7]]+FORESTS[[#This Row],[Column8]]</f>
        <v>142</v>
      </c>
      <c r="AD74" s="63">
        <f>(D74-C74)/10</f>
        <v>23.6</v>
      </c>
      <c r="AE74" s="63">
        <f>(E74-D74)/10</f>
        <v>3.8</v>
      </c>
      <c r="AF74" s="63">
        <f>(F74-E74)/5</f>
        <v>21.8</v>
      </c>
      <c r="AG74" s="63">
        <f>(G74-F74)/5</f>
        <v>6.6</v>
      </c>
      <c r="AH74" s="28">
        <v>1</v>
      </c>
      <c r="AT74" s="28">
        <v>8</v>
      </c>
      <c r="AU74" s="28">
        <v>4</v>
      </c>
      <c r="AV74" s="28">
        <v>2.6666666666666665</v>
      </c>
      <c r="AW74" s="28">
        <v>2</v>
      </c>
      <c r="AX74" s="28">
        <v>1.6</v>
      </c>
    </row>
    <row r="75" spans="1:57" x14ac:dyDescent="0.2">
      <c r="A75" s="28">
        <v>528</v>
      </c>
      <c r="B75" s="28" t="s">
        <v>116</v>
      </c>
      <c r="C75" s="30">
        <v>345.33</v>
      </c>
      <c r="D75" s="30">
        <v>359.5</v>
      </c>
      <c r="E75" s="30">
        <v>373.48</v>
      </c>
      <c r="F75" s="30">
        <v>364.83</v>
      </c>
      <c r="G75" s="30">
        <v>369.5</v>
      </c>
      <c r="H75" s="30">
        <v>3369</v>
      </c>
      <c r="I75" s="54">
        <f>C75/$H75</f>
        <v>0.10250222617987532</v>
      </c>
      <c r="J75" s="54">
        <f>D75/$H75</f>
        <v>0.10670822202433956</v>
      </c>
      <c r="K75" s="54">
        <f>E75/$H75</f>
        <v>0.11085782131196201</v>
      </c>
      <c r="L75" s="54">
        <f>F75/$H75</f>
        <v>0.10829029385574354</v>
      </c>
      <c r="M75" s="54">
        <f>G75/$H75</f>
        <v>0.10967646185811813</v>
      </c>
      <c r="N75" s="51">
        <f>FORESTS[[#This Row],[Area_2020]]-FORESTS[[#This Row],[Area_1990]]</f>
        <v>24.170000000000016</v>
      </c>
      <c r="O75" s="51">
        <f>ABS(FORESTS[[#This Row],[Area_Delta]])</f>
        <v>24.170000000000016</v>
      </c>
      <c r="P75" s="104">
        <f>FORESTS[[#This Row],[Area_2020_%]]-FORESTS[[#This Row],[Area_1990_%]]</f>
        <v>7.1742356782428102E-3</v>
      </c>
      <c r="Q75" s="54" t="b">
        <f>IF(G75&gt;C75, TRUE, FALSE)</f>
        <v>1</v>
      </c>
      <c r="R75" s="51">
        <f>IF(Q75=TRUE,G75-C75,0)</f>
        <v>24.170000000000016</v>
      </c>
      <c r="S75" s="51">
        <f>IF(Q75=TRUE,0,C75-G75)</f>
        <v>0</v>
      </c>
      <c r="T75" s="48">
        <f>IF(J75&lt;I75,1,0)+IF(K75&lt;J75,1,0)+IF(L75&lt;K75,1,0)+IF(M75&lt;L75,1,0)</f>
        <v>1</v>
      </c>
      <c r="U75" s="48">
        <v>10.97</v>
      </c>
      <c r="V75" s="30">
        <v>2.19</v>
      </c>
      <c r="W75" s="30">
        <v>0.02</v>
      </c>
      <c r="X75" s="38">
        <f>D75-C75</f>
        <v>14.170000000000016</v>
      </c>
      <c r="Y75" s="38">
        <f>E75-D75</f>
        <v>13.980000000000018</v>
      </c>
      <c r="Z75" s="38">
        <f>F75-E75</f>
        <v>-8.6500000000000341</v>
      </c>
      <c r="AA75" s="38">
        <f>G75-F75</f>
        <v>4.6700000000000159</v>
      </c>
      <c r="AB75" s="38">
        <f>FORESTS[[#This Row],[Column7]]+FORESTS[[#This Row],[Column8]]</f>
        <v>-3.9800000000000182</v>
      </c>
      <c r="AD75" s="63">
        <f>(D75-C75)/10</f>
        <v>1.4170000000000016</v>
      </c>
      <c r="AE75" s="63">
        <f>(E75-D75)/10</f>
        <v>1.3980000000000019</v>
      </c>
      <c r="AF75" s="63">
        <f>(F75-E75)/5</f>
        <v>-1.7300000000000069</v>
      </c>
      <c r="AG75" s="63">
        <f>(G75-F75)/5</f>
        <v>0.93400000000000316</v>
      </c>
      <c r="AT75" s="28">
        <v>12</v>
      </c>
      <c r="AU75" s="28">
        <v>6</v>
      </c>
      <c r="AV75" s="28">
        <v>4</v>
      </c>
      <c r="AW75" s="28">
        <v>3</v>
      </c>
      <c r="AX75" s="28">
        <v>2.4</v>
      </c>
    </row>
    <row r="76" spans="1:57" x14ac:dyDescent="0.2">
      <c r="A76" s="28">
        <v>48</v>
      </c>
      <c r="B76" s="28" t="s">
        <v>222</v>
      </c>
      <c r="C76" s="30">
        <v>0.22</v>
      </c>
      <c r="D76" s="30">
        <v>0.37</v>
      </c>
      <c r="E76" s="30">
        <v>0.52</v>
      </c>
      <c r="F76" s="30">
        <v>0.6</v>
      </c>
      <c r="G76" s="30">
        <v>0.7</v>
      </c>
      <c r="H76" s="30">
        <v>77</v>
      </c>
      <c r="I76" s="54">
        <f>C76/$H76</f>
        <v>2.8571428571428571E-3</v>
      </c>
      <c r="J76" s="54">
        <f>D76/$H76</f>
        <v>4.8051948051948054E-3</v>
      </c>
      <c r="K76" s="54">
        <f>E76/$H76</f>
        <v>6.7532467532467532E-3</v>
      </c>
      <c r="L76" s="54">
        <f>F76/$H76</f>
        <v>7.7922077922077922E-3</v>
      </c>
      <c r="M76" s="54">
        <f>G76/$H76</f>
        <v>9.0909090909090905E-3</v>
      </c>
      <c r="N76" s="51">
        <f>FORESTS[[#This Row],[Area_2020]]-FORESTS[[#This Row],[Area_1990]]</f>
        <v>0.48</v>
      </c>
      <c r="O76" s="51">
        <f>ABS(FORESTS[[#This Row],[Area_Delta]])</f>
        <v>0.48</v>
      </c>
      <c r="P76" s="104">
        <f>FORESTS[[#This Row],[Area_2020_%]]-FORESTS[[#This Row],[Area_1990_%]]</f>
        <v>6.2337662337662338E-3</v>
      </c>
      <c r="Q76" s="54" t="b">
        <f>IF(G76&gt;C76, TRUE, FALSE)</f>
        <v>1</v>
      </c>
      <c r="R76" s="51">
        <f>IF(Q76=TRUE,G76-C76,0)</f>
        <v>0.48</v>
      </c>
      <c r="S76" s="51">
        <f>IF(Q76=TRUE,0,C76-G76)</f>
        <v>0</v>
      </c>
      <c r="T76" s="48">
        <f>IF(J76&lt;I76,1,0)+IF(K76&lt;J76,1,0)+IF(L76&lt;K76,1,0)+IF(M76&lt;L76,1,0)</f>
        <v>0</v>
      </c>
      <c r="U76" s="48">
        <v>0.91</v>
      </c>
      <c r="V76" s="30">
        <v>0</v>
      </c>
      <c r="W76" s="30">
        <v>0</v>
      </c>
      <c r="X76" s="38">
        <f>D76-C76</f>
        <v>0.15</v>
      </c>
      <c r="Y76" s="38">
        <f>E76-D76</f>
        <v>0.15000000000000002</v>
      </c>
      <c r="Z76" s="38">
        <f>F76-E76</f>
        <v>7.999999999999996E-2</v>
      </c>
      <c r="AA76" s="38">
        <f>G76-F76</f>
        <v>9.9999999999999978E-2</v>
      </c>
      <c r="AB76" s="38">
        <f>FORESTS[[#This Row],[Column7]]+FORESTS[[#This Row],[Column8]]</f>
        <v>0.17999999999999994</v>
      </c>
      <c r="AD76" s="63">
        <f>(D76-C76)/10</f>
        <v>1.4999999999999999E-2</v>
      </c>
      <c r="AE76" s="63">
        <f>(E76-D76)/10</f>
        <v>1.5000000000000003E-2</v>
      </c>
      <c r="AF76" s="63">
        <f>(F76-E76)/5</f>
        <v>1.5999999999999993E-2</v>
      </c>
      <c r="AG76" s="63">
        <f>(G76-F76)/5</f>
        <v>1.9999999999999997E-2</v>
      </c>
      <c r="AT76" s="28">
        <v>16</v>
      </c>
      <c r="AU76" s="28">
        <v>8</v>
      </c>
      <c r="AV76" s="28">
        <v>5.333333333333333</v>
      </c>
      <c r="AW76" s="28">
        <v>4</v>
      </c>
      <c r="AX76" s="28">
        <v>3.2</v>
      </c>
    </row>
    <row r="77" spans="1:57" x14ac:dyDescent="0.2">
      <c r="A77" s="28">
        <v>203</v>
      </c>
      <c r="B77" s="28" t="s">
        <v>41</v>
      </c>
      <c r="C77" s="38">
        <v>2629.42</v>
      </c>
      <c r="D77" s="38">
        <v>2637.29</v>
      </c>
      <c r="E77" s="38">
        <v>2657.38</v>
      </c>
      <c r="F77" s="38">
        <v>2668.39</v>
      </c>
      <c r="G77" s="38">
        <v>2677.09</v>
      </c>
      <c r="H77" s="38">
        <v>7721</v>
      </c>
      <c r="I77" s="54">
        <f>C77/$H77</f>
        <v>0.34055433234037041</v>
      </c>
      <c r="J77" s="54">
        <f>D77/$H77</f>
        <v>0.34157363035876182</v>
      </c>
      <c r="K77" s="54">
        <f>E77/$H77</f>
        <v>0.34417562491905196</v>
      </c>
      <c r="L77" s="54">
        <f>F77/$H77</f>
        <v>0.34560160600958423</v>
      </c>
      <c r="M77" s="54">
        <f>G77/$H77</f>
        <v>0.34672840305659891</v>
      </c>
      <c r="N77" s="51">
        <f>FORESTS[[#This Row],[Area_2020]]-FORESTS[[#This Row],[Area_1990]]</f>
        <v>47.670000000000073</v>
      </c>
      <c r="O77" s="51">
        <f>ABS(FORESTS[[#This Row],[Area_Delta]])</f>
        <v>47.670000000000073</v>
      </c>
      <c r="P77" s="104">
        <f>FORESTS[[#This Row],[Area_2020_%]]-FORESTS[[#This Row],[Area_1990_%]]</f>
        <v>6.1740707162284969E-3</v>
      </c>
      <c r="Q77" s="54" t="b">
        <f>IF(G77&gt;C77, TRUE, FALSE)</f>
        <v>1</v>
      </c>
      <c r="R77" s="51">
        <f>IF(Q77=TRUE,G77-C77,0)</f>
        <v>47.670000000000073</v>
      </c>
      <c r="S77" s="51">
        <f>IF(Q77=TRUE,0,C77-G77)</f>
        <v>0</v>
      </c>
      <c r="T77" s="48">
        <f>IF(J77&lt;I77,1,0)+IF(K77&lt;J77,1,0)+IF(L77&lt;K77,1,0)+IF(M77&lt;L77,1,0)</f>
        <v>0</v>
      </c>
      <c r="U77" s="43">
        <v>34.67</v>
      </c>
      <c r="V77" s="30" t="s">
        <v>247</v>
      </c>
      <c r="W77" s="38">
        <v>0.34</v>
      </c>
      <c r="X77" s="38">
        <f>D77-C77</f>
        <v>7.8699999999998909</v>
      </c>
      <c r="Y77" s="38">
        <f>E77-D77</f>
        <v>20.090000000000146</v>
      </c>
      <c r="Z77" s="38">
        <f>F77-E77</f>
        <v>11.009999999999764</v>
      </c>
      <c r="AA77" s="38">
        <f>G77-F77</f>
        <v>8.7000000000002728</v>
      </c>
      <c r="AB77" s="38">
        <f>FORESTS[[#This Row],[Column7]]+FORESTS[[#This Row],[Column8]]</f>
        <v>19.710000000000036</v>
      </c>
      <c r="AD77" s="63">
        <f>(D77-C77)/10</f>
        <v>0.78699999999998904</v>
      </c>
      <c r="AE77" s="63">
        <f>(E77-D77)/10</f>
        <v>2.0090000000000146</v>
      </c>
      <c r="AF77" s="63">
        <f>(F77-E77)/5</f>
        <v>2.2019999999999529</v>
      </c>
      <c r="AG77" s="63">
        <f>(G77-F77)/5</f>
        <v>1.7400000000000546</v>
      </c>
      <c r="AH77" s="28">
        <v>1</v>
      </c>
      <c r="AT77" s="28">
        <v>20</v>
      </c>
      <c r="AU77" s="28">
        <v>10</v>
      </c>
      <c r="AV77" s="28">
        <v>6.666666666666667</v>
      </c>
      <c r="AW77" s="28">
        <v>5</v>
      </c>
      <c r="AX77" s="28">
        <v>4</v>
      </c>
    </row>
    <row r="78" spans="1:57" x14ac:dyDescent="0.2">
      <c r="A78" s="28">
        <v>504</v>
      </c>
      <c r="B78" s="28" t="s">
        <v>111</v>
      </c>
      <c r="C78" s="38">
        <v>5485.29</v>
      </c>
      <c r="D78" s="38">
        <v>5506.54</v>
      </c>
      <c r="E78" s="38">
        <v>5674.57</v>
      </c>
      <c r="F78" s="38">
        <v>5684.69</v>
      </c>
      <c r="G78" s="38">
        <v>5742.49</v>
      </c>
      <c r="H78" s="38">
        <v>44630</v>
      </c>
      <c r="I78" s="54">
        <f>C78/$H78</f>
        <v>0.12290589289715438</v>
      </c>
      <c r="J78" s="54">
        <f>D78/$H78</f>
        <v>0.12338203002464709</v>
      </c>
      <c r="K78" s="54">
        <f>E78/$H78</f>
        <v>0.12714698633206362</v>
      </c>
      <c r="L78" s="54">
        <f>F78/$H78</f>
        <v>0.12737373963701545</v>
      </c>
      <c r="M78" s="54">
        <f>G78/$H78</f>
        <v>0.12866883262379564</v>
      </c>
      <c r="N78" s="51">
        <f>FORESTS[[#This Row],[Area_2020]]-FORESTS[[#This Row],[Area_1990]]</f>
        <v>257.19999999999982</v>
      </c>
      <c r="O78" s="51">
        <f>ABS(FORESTS[[#This Row],[Area_Delta]])</f>
        <v>257.19999999999982</v>
      </c>
      <c r="P78" s="104">
        <f>FORESTS[[#This Row],[Area_2020_%]]-FORESTS[[#This Row],[Area_1990_%]]</f>
        <v>5.7629397266412558E-3</v>
      </c>
      <c r="Q78" s="54" t="b">
        <f>IF(G78&gt;C78, TRUE, FALSE)</f>
        <v>1</v>
      </c>
      <c r="R78" s="51">
        <f>IF(Q78=TRUE,G78-C78,0)</f>
        <v>257.19999999999982</v>
      </c>
      <c r="S78" s="51">
        <f>IF(Q78=TRUE,0,C78-G78)</f>
        <v>0</v>
      </c>
      <c r="T78" s="48">
        <f>IF(J78&lt;I78,1,0)+IF(K78&lt;J78,1,0)+IF(L78&lt;K78,1,0)+IF(M78&lt;L78,1,0)</f>
        <v>0</v>
      </c>
      <c r="U78" s="43">
        <v>12.87</v>
      </c>
      <c r="V78" s="30">
        <v>0</v>
      </c>
      <c r="W78" s="38">
        <v>0.99</v>
      </c>
      <c r="X78" s="38">
        <f>D78-C78</f>
        <v>21.25</v>
      </c>
      <c r="Y78" s="38">
        <f>E78-D78</f>
        <v>168.02999999999975</v>
      </c>
      <c r="Z78" s="38">
        <f>F78-E78</f>
        <v>10.119999999999891</v>
      </c>
      <c r="AA78" s="38">
        <f>G78-F78</f>
        <v>57.800000000000182</v>
      </c>
      <c r="AB78" s="38">
        <f>FORESTS[[#This Row],[Column7]]+FORESTS[[#This Row],[Column8]]</f>
        <v>67.920000000000073</v>
      </c>
      <c r="AD78" s="63">
        <f>(D78-C78)/10</f>
        <v>2.125</v>
      </c>
      <c r="AE78" s="63">
        <f>(E78-D78)/10</f>
        <v>16.802999999999976</v>
      </c>
      <c r="AF78" s="63">
        <f>(F78-E78)/5</f>
        <v>2.0239999999999783</v>
      </c>
      <c r="AG78" s="63">
        <f>(G78-F78)/5</f>
        <v>11.560000000000036</v>
      </c>
    </row>
    <row r="79" spans="1:57" x14ac:dyDescent="0.2">
      <c r="A79" s="28">
        <v>703</v>
      </c>
      <c r="B79" s="28" t="s">
        <v>149</v>
      </c>
      <c r="C79" s="30">
        <v>1902.48</v>
      </c>
      <c r="D79" s="30">
        <v>1901.41</v>
      </c>
      <c r="E79" s="30">
        <v>1917.91</v>
      </c>
      <c r="F79" s="30">
        <v>1921.75</v>
      </c>
      <c r="G79" s="30">
        <v>1925.9</v>
      </c>
      <c r="H79" s="30">
        <v>4808</v>
      </c>
      <c r="I79" s="54">
        <f>C79/$H79</f>
        <v>0.39569051580698833</v>
      </c>
      <c r="J79" s="54">
        <f>D79/$H79</f>
        <v>0.39546797004991679</v>
      </c>
      <c r="K79" s="54">
        <f>E79/$H79</f>
        <v>0.39889975041597342</v>
      </c>
      <c r="L79" s="54">
        <f>F79/$H79</f>
        <v>0.39969841930116473</v>
      </c>
      <c r="M79" s="54">
        <f>G79/$H79</f>
        <v>0.40056156405990018</v>
      </c>
      <c r="N79" s="51">
        <f>FORESTS[[#This Row],[Area_2020]]-FORESTS[[#This Row],[Area_1990]]</f>
        <v>23.420000000000073</v>
      </c>
      <c r="O79" s="51">
        <f>ABS(FORESTS[[#This Row],[Area_Delta]])</f>
        <v>23.420000000000073</v>
      </c>
      <c r="P79" s="104">
        <f>FORESTS[[#This Row],[Area_2020_%]]-FORESTS[[#This Row],[Area_1990_%]]</f>
        <v>4.8710482529118471E-3</v>
      </c>
      <c r="Q79" s="54" t="b">
        <f>IF(G79&gt;C79, TRUE, FALSE)</f>
        <v>1</v>
      </c>
      <c r="R79" s="51">
        <f>IF(Q79=TRUE,G79-C79,0)</f>
        <v>23.420000000000073</v>
      </c>
      <c r="S79" s="51">
        <f>IF(Q79=TRUE,0,C79-G79)</f>
        <v>0</v>
      </c>
      <c r="T79" s="48">
        <f>IF(J79&lt;I79,1,0)+IF(K79&lt;J79,1,0)+IF(L79&lt;K79,1,0)+IF(M79&lt;L79,1,0)</f>
        <v>1</v>
      </c>
      <c r="U79" s="48">
        <v>40.06</v>
      </c>
      <c r="V79" s="30" t="s">
        <v>247</v>
      </c>
      <c r="W79" s="30">
        <v>0.35</v>
      </c>
      <c r="X79" s="38">
        <f>D79-C79</f>
        <v>-1.0699999999999363</v>
      </c>
      <c r="Y79" s="38">
        <f>E79-D79</f>
        <v>16.5</v>
      </c>
      <c r="Z79" s="38">
        <f>F79-E79</f>
        <v>3.8399999999999181</v>
      </c>
      <c r="AA79" s="38">
        <f>G79-F79</f>
        <v>4.1500000000000909</v>
      </c>
      <c r="AB79" s="38">
        <f>FORESTS[[#This Row],[Column7]]+FORESTS[[#This Row],[Column8]]</f>
        <v>7.9900000000000091</v>
      </c>
      <c r="AD79" s="63">
        <f>(D79-C79)/10</f>
        <v>-0.10699999999999363</v>
      </c>
      <c r="AE79" s="63">
        <f>(E79-D79)/10</f>
        <v>1.65</v>
      </c>
      <c r="AF79" s="63">
        <f>(F79-E79)/5</f>
        <v>0.76799999999998358</v>
      </c>
      <c r="AG79" s="63">
        <f>(G79-F79)/5</f>
        <v>0.83000000000001817</v>
      </c>
      <c r="BE79" s="28" t="s">
        <v>331</v>
      </c>
    </row>
    <row r="80" spans="1:57" x14ac:dyDescent="0.2">
      <c r="A80" s="28">
        <v>56</v>
      </c>
      <c r="B80" s="28" t="s">
        <v>14</v>
      </c>
      <c r="C80" s="30">
        <v>677.4</v>
      </c>
      <c r="D80" s="30">
        <v>667.3</v>
      </c>
      <c r="E80" s="30">
        <v>689.87</v>
      </c>
      <c r="F80" s="30">
        <v>689.3</v>
      </c>
      <c r="G80" s="30">
        <v>689.3</v>
      </c>
      <c r="H80" s="30">
        <v>3028</v>
      </c>
      <c r="I80" s="54">
        <f>C80/$H80</f>
        <v>0.22371202113606339</v>
      </c>
      <c r="J80" s="54">
        <f>D80/$H80</f>
        <v>0.22037648612945837</v>
      </c>
      <c r="K80" s="54">
        <f>E80/$H80</f>
        <v>0.22783025099075296</v>
      </c>
      <c r="L80" s="54">
        <f>F80/$H80</f>
        <v>0.22764200792602376</v>
      </c>
      <c r="M80" s="54">
        <f>G80/$H80</f>
        <v>0.22764200792602376</v>
      </c>
      <c r="N80" s="51">
        <f>FORESTS[[#This Row],[Area_2020]]-FORESTS[[#This Row],[Area_1990]]</f>
        <v>11.899999999999977</v>
      </c>
      <c r="O80" s="51">
        <f>ABS(FORESTS[[#This Row],[Area_Delta]])</f>
        <v>11.899999999999977</v>
      </c>
      <c r="P80" s="104">
        <f>FORESTS[[#This Row],[Area_2020_%]]-FORESTS[[#This Row],[Area_1990_%]]</f>
        <v>3.9299867899603713E-3</v>
      </c>
      <c r="Q80" s="54" t="b">
        <f>IF(G80&gt;C80, TRUE, FALSE)</f>
        <v>1</v>
      </c>
      <c r="R80" s="51">
        <f>IF(Q80=TRUE,G80-C80,0)</f>
        <v>11.899999999999977</v>
      </c>
      <c r="S80" s="51">
        <f>IF(Q80=TRUE,0,C80-G80)</f>
        <v>0</v>
      </c>
      <c r="T80" s="48">
        <f>IF(J80&lt;I80,1,0)+IF(K80&lt;J80,1,0)+IF(L80&lt;K80,1,0)+IF(M80&lt;L80,1,0)</f>
        <v>2</v>
      </c>
      <c r="U80" s="48">
        <v>22.76</v>
      </c>
      <c r="V80" s="30">
        <v>1.5</v>
      </c>
      <c r="W80" s="30">
        <v>0</v>
      </c>
      <c r="X80" s="38">
        <f>D80-C80</f>
        <v>-10.100000000000023</v>
      </c>
      <c r="Y80" s="38">
        <f>E80-D80</f>
        <v>22.57000000000005</v>
      </c>
      <c r="Z80" s="38">
        <f>F80-E80</f>
        <v>-0.57000000000005002</v>
      </c>
      <c r="AA80" s="38">
        <f>G80-F80</f>
        <v>0</v>
      </c>
      <c r="AB80" s="38">
        <f>FORESTS[[#This Row],[Column7]]+FORESTS[[#This Row],[Column8]]</f>
        <v>-0.57000000000005002</v>
      </c>
      <c r="AD80" s="63">
        <f>(D80-C80)/10</f>
        <v>-1.0100000000000022</v>
      </c>
      <c r="AE80" s="63">
        <f>(E80-D80)/10</f>
        <v>2.257000000000005</v>
      </c>
      <c r="AF80" s="63">
        <f>(F80-E80)/5</f>
        <v>-0.11400000000001001</v>
      </c>
      <c r="AG80" s="63">
        <f>(G80-F80)/5</f>
        <v>0</v>
      </c>
      <c r="AT80" s="28" t="s">
        <v>332</v>
      </c>
      <c r="AU80" s="28" t="s">
        <v>333</v>
      </c>
    </row>
    <row r="81" spans="1:47" x14ac:dyDescent="0.2">
      <c r="A81" s="28">
        <v>643</v>
      </c>
      <c r="B81" s="28" t="s">
        <v>138</v>
      </c>
      <c r="C81" s="38">
        <v>808949.9</v>
      </c>
      <c r="D81" s="38">
        <v>809268.5</v>
      </c>
      <c r="E81" s="38">
        <v>815135.6</v>
      </c>
      <c r="F81" s="38">
        <v>814930.46</v>
      </c>
      <c r="G81" s="38">
        <v>815311.6</v>
      </c>
      <c r="H81" s="38">
        <v>1637687</v>
      </c>
      <c r="I81" s="54">
        <f>C81/$H81</f>
        <v>0.49395879676641508</v>
      </c>
      <c r="J81" s="54">
        <f>D81/$H81</f>
        <v>0.49415333943543549</v>
      </c>
      <c r="K81" s="54">
        <f>E81/$H81</f>
        <v>0.49773589214544656</v>
      </c>
      <c r="L81" s="54">
        <f>F81/$H81</f>
        <v>0.49761063011430146</v>
      </c>
      <c r="M81" s="54">
        <f>G81/$H81</f>
        <v>0.49784336078872216</v>
      </c>
      <c r="N81" s="51">
        <f>FORESTS[[#This Row],[Area_2020]]-FORESTS[[#This Row],[Area_1990]]</f>
        <v>6361.6999999999534</v>
      </c>
      <c r="O81" s="51">
        <f>ABS(FORESTS[[#This Row],[Area_Delta]])</f>
        <v>6361.6999999999534</v>
      </c>
      <c r="P81" s="104">
        <f>FORESTS[[#This Row],[Area_2020_%]]-FORESTS[[#This Row],[Area_1990_%]]</f>
        <v>3.8845640223070799E-3</v>
      </c>
      <c r="Q81" s="48" t="b">
        <f>IF(G81&gt;C81, TRUE, FALSE)</f>
        <v>1</v>
      </c>
      <c r="R81" s="51">
        <f>IF(Q81=TRUE,G81-C81,0)</f>
        <v>6361.6999999999534</v>
      </c>
      <c r="S81" s="51">
        <f>IF(Q81=TRUE,0,C81-G81)</f>
        <v>0</v>
      </c>
      <c r="T81" s="62">
        <f>IF(J81&lt;I81,1,0)+IF(K81&lt;J81,1,0)+IF(L81&lt;K81,1,0)+IF(M81&lt;L81,1,0)</f>
        <v>1</v>
      </c>
      <c r="U81" s="43">
        <v>49.78</v>
      </c>
      <c r="V81" s="30">
        <v>0</v>
      </c>
      <c r="W81" s="38">
        <v>2748.9</v>
      </c>
      <c r="X81" s="38">
        <f>D81-C81</f>
        <v>318.59999999997672</v>
      </c>
      <c r="Y81" s="38">
        <f>E81-D81</f>
        <v>5867.0999999999767</v>
      </c>
      <c r="Z81" s="38">
        <f>F81-E81</f>
        <v>-205.14000000001397</v>
      </c>
      <c r="AA81" s="38">
        <f>G81-F81</f>
        <v>381.14000000001397</v>
      </c>
      <c r="AB81" s="38">
        <f>FORESTS[[#This Row],[Column7]]+FORESTS[[#This Row],[Column8]]</f>
        <v>176</v>
      </c>
      <c r="AD81" s="63">
        <f>(D81-C81)/10</f>
        <v>31.859999999997672</v>
      </c>
      <c r="AE81" s="63">
        <f>(E81-D81)/10</f>
        <v>586.70999999999765</v>
      </c>
      <c r="AF81" s="63">
        <f>(F81-E81)/5</f>
        <v>-41.028000000002791</v>
      </c>
      <c r="AG81" s="63">
        <f>(G81-F81)/5</f>
        <v>76.228000000002794</v>
      </c>
    </row>
    <row r="82" spans="1:47" x14ac:dyDescent="0.2">
      <c r="A82" s="28">
        <v>788</v>
      </c>
      <c r="B82" s="28" t="s">
        <v>169</v>
      </c>
      <c r="C82" s="38">
        <v>643.98</v>
      </c>
      <c r="D82" s="38">
        <v>667.85</v>
      </c>
      <c r="E82" s="38">
        <v>687.43</v>
      </c>
      <c r="F82" s="38">
        <v>695.08</v>
      </c>
      <c r="G82" s="38">
        <v>702.73</v>
      </c>
      <c r="H82" s="38">
        <v>15536</v>
      </c>
      <c r="I82" s="54">
        <f>C82/$H82</f>
        <v>4.1450823892893923E-2</v>
      </c>
      <c r="J82" s="54">
        <f>D82/$H82</f>
        <v>4.2987255406797119E-2</v>
      </c>
      <c r="K82" s="54">
        <f>E82/$H82</f>
        <v>4.4247554067971158E-2</v>
      </c>
      <c r="L82" s="54">
        <f>F82/$H82</f>
        <v>4.4739958805355307E-2</v>
      </c>
      <c r="M82" s="54">
        <f>G82/$H82</f>
        <v>4.5232363542739448E-2</v>
      </c>
      <c r="N82" s="51">
        <f>FORESTS[[#This Row],[Area_2020]]-FORESTS[[#This Row],[Area_1990]]</f>
        <v>58.75</v>
      </c>
      <c r="O82" s="51">
        <f>ABS(FORESTS[[#This Row],[Area_Delta]])</f>
        <v>58.75</v>
      </c>
      <c r="P82" s="104">
        <f>FORESTS[[#This Row],[Area_2020_%]]-FORESTS[[#This Row],[Area_1990_%]]</f>
        <v>3.781539649845525E-3</v>
      </c>
      <c r="Q82" s="54" t="b">
        <f>IF(G82&gt;C82, TRUE, FALSE)</f>
        <v>1</v>
      </c>
      <c r="R82" s="51">
        <f>IF(Q82=TRUE,G82-C82,0)</f>
        <v>58.75</v>
      </c>
      <c r="S82" s="51">
        <f>IF(Q82=TRUE,0,C82-G82)</f>
        <v>0</v>
      </c>
      <c r="T82" s="48">
        <f>IF(J82&lt;I82,1,0)+IF(K82&lt;J82,1,0)+IF(L82&lt;K82,1,0)+IF(M82&lt;L82,1,0)</f>
        <v>0</v>
      </c>
      <c r="U82" s="43">
        <v>4.5199999999999996</v>
      </c>
      <c r="V82" s="30">
        <v>0.56999999999999995</v>
      </c>
      <c r="W82" s="38">
        <v>5.04</v>
      </c>
      <c r="X82" s="38">
        <f>D82-C82</f>
        <v>23.870000000000005</v>
      </c>
      <c r="Y82" s="38">
        <f>E82-D82</f>
        <v>19.579999999999927</v>
      </c>
      <c r="Z82" s="38">
        <f>F82-E82</f>
        <v>7.6500000000000909</v>
      </c>
      <c r="AA82" s="38">
        <f>G82-F82</f>
        <v>7.6499999999999773</v>
      </c>
      <c r="AB82" s="38">
        <f>FORESTS[[#This Row],[Column7]]+FORESTS[[#This Row],[Column8]]</f>
        <v>15.300000000000068</v>
      </c>
      <c r="AD82" s="63">
        <f>(D82-C82)/10</f>
        <v>2.3870000000000005</v>
      </c>
      <c r="AE82" s="63">
        <f>(E82-D82)/10</f>
        <v>1.9579999999999926</v>
      </c>
      <c r="AF82" s="63">
        <f>(F82-E82)/5</f>
        <v>1.5300000000000182</v>
      </c>
      <c r="AG82" s="63">
        <f>(G82-F82)/5</f>
        <v>1.5299999999999954</v>
      </c>
      <c r="AH82" s="28">
        <v>1</v>
      </c>
      <c r="AT82" s="28">
        <v>10</v>
      </c>
      <c r="AU82" s="28">
        <v>2</v>
      </c>
    </row>
    <row r="83" spans="1:47" x14ac:dyDescent="0.2">
      <c r="A83" s="28">
        <v>540</v>
      </c>
      <c r="B83" s="28" t="s">
        <v>240</v>
      </c>
      <c r="C83" s="30">
        <v>831.13</v>
      </c>
      <c r="D83" s="30">
        <v>837.85</v>
      </c>
      <c r="E83" s="30">
        <v>839.02</v>
      </c>
      <c r="F83" s="30">
        <v>838.52</v>
      </c>
      <c r="G83" s="30">
        <v>838.02</v>
      </c>
      <c r="H83" s="30">
        <v>1828</v>
      </c>
      <c r="I83" s="54">
        <f>C83/$H83</f>
        <v>0.45466630196936542</v>
      </c>
      <c r="J83" s="54">
        <f>D83/$H83</f>
        <v>0.45834245076586433</v>
      </c>
      <c r="K83" s="54">
        <f>E83/$H83</f>
        <v>0.45898249452954049</v>
      </c>
      <c r="L83" s="54">
        <f>F83/$H83</f>
        <v>0.45870897155361051</v>
      </c>
      <c r="M83" s="54">
        <f>G83/$H83</f>
        <v>0.45843544857768054</v>
      </c>
      <c r="N83" s="51">
        <f>FORESTS[[#This Row],[Area_2020]]-FORESTS[[#This Row],[Area_1990]]</f>
        <v>6.8899999999999864</v>
      </c>
      <c r="O83" s="51">
        <f>ABS(FORESTS[[#This Row],[Area_Delta]])</f>
        <v>6.8899999999999864</v>
      </c>
      <c r="P83" s="104">
        <f>FORESTS[[#This Row],[Area_2020_%]]-FORESTS[[#This Row],[Area_1990_%]]</f>
        <v>3.7691466083151215E-3</v>
      </c>
      <c r="Q83" s="54" t="b">
        <f>IF(G83&gt;C83, TRUE, FALSE)</f>
        <v>1</v>
      </c>
      <c r="R83" s="51">
        <f>IF(Q83=TRUE,G83-C83,0)</f>
        <v>6.8899999999999864</v>
      </c>
      <c r="S83" s="51">
        <f>IF(Q83=TRUE,0,C83-G83)</f>
        <v>0</v>
      </c>
      <c r="T83" s="48">
        <f>IF(J83&lt;I83,1,0)+IF(K83&lt;J83,1,0)+IF(L83&lt;K83,1,0)+IF(M83&lt;L83,1,0)</f>
        <v>2</v>
      </c>
      <c r="U83" s="48">
        <v>45.84</v>
      </c>
      <c r="V83" s="30" t="s">
        <v>247</v>
      </c>
      <c r="W83" s="30" t="s">
        <v>247</v>
      </c>
      <c r="X83" s="38">
        <f>D83-C83</f>
        <v>6.7200000000000273</v>
      </c>
      <c r="Y83" s="38">
        <f>E83-D83</f>
        <v>1.1699999999999591</v>
      </c>
      <c r="Z83" s="38">
        <f>F83-E83</f>
        <v>-0.5</v>
      </c>
      <c r="AA83" s="38">
        <f>G83-F83</f>
        <v>-0.5</v>
      </c>
      <c r="AB83" s="38">
        <f>FORESTS[[#This Row],[Column7]]+FORESTS[[#This Row],[Column8]]</f>
        <v>-1</v>
      </c>
      <c r="AD83" s="63">
        <f>(D83-C83)/10</f>
        <v>0.67200000000000271</v>
      </c>
      <c r="AE83" s="63">
        <f>(E83-D83)/10</f>
        <v>0.11699999999999591</v>
      </c>
      <c r="AF83" s="63">
        <f>(F83-E83)/5</f>
        <v>-0.1</v>
      </c>
      <c r="AG83" s="63">
        <f>(G83-F83)/5</f>
        <v>-0.1</v>
      </c>
      <c r="AH83" s="28">
        <v>1</v>
      </c>
    </row>
    <row r="84" spans="1:47" x14ac:dyDescent="0.2">
      <c r="A84" s="28">
        <v>376</v>
      </c>
      <c r="B84" s="28" t="s">
        <v>80</v>
      </c>
      <c r="C84" s="30">
        <v>132</v>
      </c>
      <c r="D84" s="30">
        <v>153</v>
      </c>
      <c r="E84" s="30">
        <v>154</v>
      </c>
      <c r="F84" s="30">
        <v>165</v>
      </c>
      <c r="G84" s="30">
        <v>140</v>
      </c>
      <c r="H84" s="30">
        <v>2164</v>
      </c>
      <c r="I84" s="54">
        <f>C84/$H84</f>
        <v>6.0998151571164512E-2</v>
      </c>
      <c r="J84" s="54">
        <f>D84/$H84</f>
        <v>7.0702402957486143E-2</v>
      </c>
      <c r="K84" s="54">
        <f>E84/$H84</f>
        <v>7.1164510166358594E-2</v>
      </c>
      <c r="L84" s="54">
        <f>F84/$H84</f>
        <v>7.6247689463955631E-2</v>
      </c>
      <c r="M84" s="54">
        <f>G84/$H84</f>
        <v>6.4695009242144177E-2</v>
      </c>
      <c r="N84" s="51">
        <f>FORESTS[[#This Row],[Area_2020]]-FORESTS[[#This Row],[Area_1990]]</f>
        <v>8</v>
      </c>
      <c r="O84" s="51">
        <f>ABS(FORESTS[[#This Row],[Area_Delta]])</f>
        <v>8</v>
      </c>
      <c r="P84" s="104">
        <f>FORESTS[[#This Row],[Area_2020_%]]-FORESTS[[#This Row],[Area_1990_%]]</f>
        <v>3.6968576709796655E-3</v>
      </c>
      <c r="Q84" s="54" t="b">
        <f>IF(G84&gt;C84, TRUE, FALSE)</f>
        <v>1</v>
      </c>
      <c r="R84" s="51">
        <f>IF(Q84=TRUE,G84-C84,0)</f>
        <v>8</v>
      </c>
      <c r="S84" s="51">
        <f>IF(Q84=TRUE,0,C84-G84)</f>
        <v>0</v>
      </c>
      <c r="T84" s="48">
        <f>IF(J84&lt;I84,1,0)+IF(K84&lt;J84,1,0)+IF(L84&lt;K84,1,0)+IF(M84&lt;L84,1,0)</f>
        <v>1</v>
      </c>
      <c r="U84" s="48">
        <v>6.47</v>
      </c>
      <c r="V84" s="30" t="s">
        <v>247</v>
      </c>
      <c r="W84" s="30">
        <v>2.71</v>
      </c>
      <c r="X84" s="38">
        <f>D84-C84</f>
        <v>21</v>
      </c>
      <c r="Y84" s="38">
        <f>E84-D84</f>
        <v>1</v>
      </c>
      <c r="Z84" s="38">
        <f>F84-E84</f>
        <v>11</v>
      </c>
      <c r="AA84" s="38">
        <f>G84-F84</f>
        <v>-25</v>
      </c>
      <c r="AB84" s="38">
        <f>FORESTS[[#This Row],[Column7]]+FORESTS[[#This Row],[Column8]]</f>
        <v>-14</v>
      </c>
      <c r="AD84" s="63">
        <f>(D84-C84)/10</f>
        <v>2.1</v>
      </c>
      <c r="AE84" s="63">
        <f>(E84-D84)/10</f>
        <v>0.1</v>
      </c>
      <c r="AF84" s="63">
        <f>(F84-E84)/5</f>
        <v>2.2000000000000002</v>
      </c>
      <c r="AG84" s="63">
        <f>(G84-F84)/5</f>
        <v>-5</v>
      </c>
      <c r="AH84" s="28">
        <v>1</v>
      </c>
    </row>
    <row r="85" spans="1:47" x14ac:dyDescent="0.2">
      <c r="A85" s="28">
        <v>422</v>
      </c>
      <c r="B85" s="28" t="s">
        <v>90</v>
      </c>
      <c r="C85" s="30">
        <v>139.69999999999999</v>
      </c>
      <c r="D85" s="30">
        <v>138.18</v>
      </c>
      <c r="E85" s="30">
        <v>137.35</v>
      </c>
      <c r="F85" s="30">
        <v>140.33000000000001</v>
      </c>
      <c r="G85" s="30">
        <v>143.33000000000001</v>
      </c>
      <c r="H85" s="30">
        <v>1023</v>
      </c>
      <c r="I85" s="54">
        <f>C85/$H85</f>
        <v>0.13655913978494622</v>
      </c>
      <c r="J85" s="54">
        <f>D85/$H85</f>
        <v>0.1350733137829912</v>
      </c>
      <c r="K85" s="54">
        <f>E85/$H85</f>
        <v>0.13426197458455522</v>
      </c>
      <c r="L85" s="54">
        <f>F85/$H85</f>
        <v>0.13717497556207234</v>
      </c>
      <c r="M85" s="54">
        <f>G85/$H85</f>
        <v>0.14010752688172043</v>
      </c>
      <c r="N85" s="51">
        <f>FORESTS[[#This Row],[Area_2020]]-FORESTS[[#This Row],[Area_1990]]</f>
        <v>3.6300000000000239</v>
      </c>
      <c r="O85" s="51">
        <f>ABS(FORESTS[[#This Row],[Area_Delta]])</f>
        <v>3.6300000000000239</v>
      </c>
      <c r="P85" s="104">
        <f>FORESTS[[#This Row],[Area_2020_%]]-FORESTS[[#This Row],[Area_1990_%]]</f>
        <v>3.5483870967742137E-3</v>
      </c>
      <c r="Q85" s="54" t="b">
        <f>IF(G85&gt;C85, TRUE, FALSE)</f>
        <v>1</v>
      </c>
      <c r="R85" s="51">
        <f>IF(Q85=TRUE,G85-C85,0)</f>
        <v>3.6300000000000239</v>
      </c>
      <c r="S85" s="51">
        <f>IF(Q85=TRUE,0,C85-G85)</f>
        <v>0</v>
      </c>
      <c r="T85" s="48">
        <f>IF(J85&lt;I85,1,0)+IF(K85&lt;J85,1,0)+IF(L85&lt;K85,1,0)+IF(M85&lt;L85,1,0)</f>
        <v>2</v>
      </c>
      <c r="U85" s="48">
        <v>14.01</v>
      </c>
      <c r="V85" s="30" t="s">
        <v>247</v>
      </c>
      <c r="W85" s="30">
        <v>0.06</v>
      </c>
      <c r="X85" s="38">
        <f>D85-C85</f>
        <v>-1.5199999999999818</v>
      </c>
      <c r="Y85" s="38">
        <f>E85-D85</f>
        <v>-0.83000000000001251</v>
      </c>
      <c r="Z85" s="38">
        <f>F85-E85</f>
        <v>2.9800000000000182</v>
      </c>
      <c r="AA85" s="38">
        <f>G85-F85</f>
        <v>3</v>
      </c>
      <c r="AB85" s="38">
        <f>FORESTS[[#This Row],[Column7]]+FORESTS[[#This Row],[Column8]]</f>
        <v>5.9800000000000182</v>
      </c>
      <c r="AD85" s="63">
        <f>(D85-C85)/10</f>
        <v>-0.15199999999999819</v>
      </c>
      <c r="AE85" s="63">
        <f>(E85-D85)/10</f>
        <v>-8.3000000000001253E-2</v>
      </c>
      <c r="AF85" s="63">
        <f>(F85-E85)/5</f>
        <v>0.59600000000000364</v>
      </c>
      <c r="AG85" s="63">
        <f>(G85-F85)/5</f>
        <v>0.6</v>
      </c>
      <c r="AH85" s="28">
        <v>1</v>
      </c>
    </row>
    <row r="86" spans="1:47" x14ac:dyDescent="0.2">
      <c r="A86" s="28">
        <v>470</v>
      </c>
      <c r="B86" s="28" t="s">
        <v>101</v>
      </c>
      <c r="C86" s="30">
        <v>0.35</v>
      </c>
      <c r="D86" s="30">
        <v>0.35</v>
      </c>
      <c r="E86" s="30">
        <v>0.35</v>
      </c>
      <c r="F86" s="30">
        <v>0.35</v>
      </c>
      <c r="G86" s="30">
        <v>0.46</v>
      </c>
      <c r="H86" s="30">
        <v>32</v>
      </c>
      <c r="I86" s="54">
        <f>C86/$H86</f>
        <v>1.0937499999999999E-2</v>
      </c>
      <c r="J86" s="54">
        <f>D86/$H86</f>
        <v>1.0937499999999999E-2</v>
      </c>
      <c r="K86" s="54">
        <f>E86/$H86</f>
        <v>1.0937499999999999E-2</v>
      </c>
      <c r="L86" s="54">
        <f>F86/$H86</f>
        <v>1.0937499999999999E-2</v>
      </c>
      <c r="M86" s="54">
        <f>G86/$H86</f>
        <v>1.4375000000000001E-2</v>
      </c>
      <c r="N86" s="51">
        <f>FORESTS[[#This Row],[Area_2020]]-FORESTS[[#This Row],[Area_1990]]</f>
        <v>0.11000000000000004</v>
      </c>
      <c r="O86" s="51">
        <f>ABS(FORESTS[[#This Row],[Area_Delta]])</f>
        <v>0.11000000000000004</v>
      </c>
      <c r="P86" s="104">
        <f>FORESTS[[#This Row],[Area_2020_%]]-FORESTS[[#This Row],[Area_1990_%]]</f>
        <v>3.4375000000000013E-3</v>
      </c>
      <c r="Q86" s="54" t="b">
        <f>IF(G86&gt;C86, TRUE, FALSE)</f>
        <v>1</v>
      </c>
      <c r="R86" s="51">
        <f>IF(Q86=TRUE,G86-C86,0)</f>
        <v>0.11000000000000004</v>
      </c>
      <c r="S86" s="51">
        <f>IF(Q86=TRUE,0,C86-G86)</f>
        <v>0</v>
      </c>
      <c r="T86" s="48">
        <f>IF(J86&lt;I86,1,0)+IF(K86&lt;J86,1,0)+IF(L86&lt;K86,1,0)+IF(M86&lt;L86,1,0)</f>
        <v>0</v>
      </c>
      <c r="U86" s="48">
        <v>1.44</v>
      </c>
      <c r="V86" s="30" t="s">
        <v>247</v>
      </c>
      <c r="W86" s="30" t="s">
        <v>247</v>
      </c>
      <c r="X86" s="38">
        <f>D86-C86</f>
        <v>0</v>
      </c>
      <c r="Y86" s="38">
        <f>E86-D86</f>
        <v>0</v>
      </c>
      <c r="Z86" s="38">
        <f>F86-E86</f>
        <v>0</v>
      </c>
      <c r="AA86" s="38">
        <f>G86-F86</f>
        <v>0.11000000000000004</v>
      </c>
      <c r="AB86" s="38">
        <f>FORESTS[[#This Row],[Column7]]+FORESTS[[#This Row],[Column8]]</f>
        <v>0.11000000000000004</v>
      </c>
      <c r="AD86" s="63">
        <f>(D86-C86)/10</f>
        <v>0</v>
      </c>
      <c r="AE86" s="63">
        <f>(E86-D86)/10</f>
        <v>0</v>
      </c>
      <c r="AF86" s="63">
        <f>(F86-E86)/5</f>
        <v>0</v>
      </c>
      <c r="AG86" s="63">
        <f>(G86-F86)/5</f>
        <v>2.2000000000000009E-2</v>
      </c>
    </row>
    <row r="87" spans="1:47" x14ac:dyDescent="0.2">
      <c r="A87" s="28">
        <v>352</v>
      </c>
      <c r="B87" s="28" t="s">
        <v>74</v>
      </c>
      <c r="C87" s="38">
        <v>17.07</v>
      </c>
      <c r="D87" s="38">
        <v>29.83</v>
      </c>
      <c r="E87" s="38">
        <v>44.67</v>
      </c>
      <c r="F87" s="38">
        <v>48.16</v>
      </c>
      <c r="G87" s="38">
        <v>51.35</v>
      </c>
      <c r="H87" s="38">
        <v>10025</v>
      </c>
      <c r="I87" s="54">
        <f>C87/$H87</f>
        <v>1.7027431421446383E-3</v>
      </c>
      <c r="J87" s="54">
        <f>D87/$H87</f>
        <v>2.9755610972568578E-3</v>
      </c>
      <c r="K87" s="54">
        <f>E87/$H87</f>
        <v>4.4558603491271819E-3</v>
      </c>
      <c r="L87" s="54">
        <f>F87/$H87</f>
        <v>4.8039900249376554E-3</v>
      </c>
      <c r="M87" s="54">
        <f>G87/$H87</f>
        <v>5.1221945137157106E-3</v>
      </c>
      <c r="N87" s="51">
        <f>FORESTS[[#This Row],[Area_2020]]-FORESTS[[#This Row],[Area_1990]]</f>
        <v>34.28</v>
      </c>
      <c r="O87" s="51">
        <f>ABS(FORESTS[[#This Row],[Area_Delta]])</f>
        <v>34.28</v>
      </c>
      <c r="P87" s="104">
        <f>FORESTS[[#This Row],[Area_2020_%]]-FORESTS[[#This Row],[Area_1990_%]]</f>
        <v>3.4194513715710721E-3</v>
      </c>
      <c r="Q87" s="54" t="b">
        <f>IF(G87&gt;C87, TRUE, FALSE)</f>
        <v>1</v>
      </c>
      <c r="R87" s="51">
        <f>IF(Q87=TRUE,G87-C87,0)</f>
        <v>34.28</v>
      </c>
      <c r="S87" s="51">
        <f>IF(Q87=TRUE,0,C87-G87)</f>
        <v>0</v>
      </c>
      <c r="T87" s="48">
        <f>IF(J87&lt;I87,1,0)+IF(K87&lt;J87,1,0)+IF(L87&lt;K87,1,0)+IF(M87&lt;L87,1,0)</f>
        <v>0</v>
      </c>
      <c r="U87" s="43">
        <v>0.51</v>
      </c>
      <c r="V87" s="30">
        <v>0</v>
      </c>
      <c r="W87" s="38">
        <v>0</v>
      </c>
      <c r="X87" s="38">
        <f>D87-C87</f>
        <v>12.759999999999998</v>
      </c>
      <c r="Y87" s="38">
        <f>E87-D87</f>
        <v>14.840000000000003</v>
      </c>
      <c r="Z87" s="38">
        <f>F87-E87</f>
        <v>3.4899999999999949</v>
      </c>
      <c r="AA87" s="38">
        <f>G87-F87</f>
        <v>3.1900000000000048</v>
      </c>
      <c r="AB87" s="38">
        <f>FORESTS[[#This Row],[Column7]]+FORESTS[[#This Row],[Column8]]</f>
        <v>6.68</v>
      </c>
      <c r="AD87" s="63">
        <f>(D87-C87)/10</f>
        <v>1.2759999999999998</v>
      </c>
      <c r="AE87" s="63">
        <f>(E87-D87)/10</f>
        <v>1.4840000000000004</v>
      </c>
      <c r="AF87" s="63">
        <f>(F87-E87)/5</f>
        <v>0.69799999999999895</v>
      </c>
      <c r="AG87" s="63">
        <f>(G87-F87)/5</f>
        <v>0.63800000000000101</v>
      </c>
      <c r="AH87" s="28">
        <v>1</v>
      </c>
    </row>
    <row r="88" spans="1:47" x14ac:dyDescent="0.2">
      <c r="A88" s="28">
        <v>276</v>
      </c>
      <c r="B88" s="28" t="s">
        <v>61</v>
      </c>
      <c r="C88" s="38">
        <v>11300</v>
      </c>
      <c r="D88" s="38">
        <v>11354</v>
      </c>
      <c r="E88" s="38">
        <v>11409</v>
      </c>
      <c r="F88" s="38">
        <v>11419</v>
      </c>
      <c r="G88" s="38">
        <v>11419</v>
      </c>
      <c r="H88" s="38">
        <v>34886</v>
      </c>
      <c r="I88" s="54">
        <f>C88/$H88</f>
        <v>0.32391217107149001</v>
      </c>
      <c r="J88" s="54">
        <f>D88/$H88</f>
        <v>0.32546006994209714</v>
      </c>
      <c r="K88" s="54">
        <f>E88/$H88</f>
        <v>0.32703663360660434</v>
      </c>
      <c r="L88" s="54">
        <f>F88/$H88</f>
        <v>0.32732328154560569</v>
      </c>
      <c r="M88" s="54">
        <f>G88/$H88</f>
        <v>0.32732328154560569</v>
      </c>
      <c r="N88" s="51">
        <f>FORESTS[[#This Row],[Area_2020]]-FORESTS[[#This Row],[Area_1990]]</f>
        <v>119</v>
      </c>
      <c r="O88" s="51">
        <f>ABS(FORESTS[[#This Row],[Area_Delta]])</f>
        <v>119</v>
      </c>
      <c r="P88" s="104">
        <f>FORESTS[[#This Row],[Area_2020_%]]-FORESTS[[#This Row],[Area_1990_%]]</f>
        <v>3.4111104741156861E-3</v>
      </c>
      <c r="Q88" s="54" t="b">
        <f>IF(G88&gt;C88, TRUE, FALSE)</f>
        <v>1</v>
      </c>
      <c r="R88" s="51">
        <f>IF(Q88=TRUE,G88-C88,0)</f>
        <v>119</v>
      </c>
      <c r="S88" s="51">
        <f>IF(Q88=TRUE,0,C88-G88)</f>
        <v>0</v>
      </c>
      <c r="T88" s="62">
        <f>IF(J88&lt;I88,1,0)+IF(K88&lt;J88,1,0)+IF(L88&lt;K88,1,0)+IF(M88&lt;L88,1,0)</f>
        <v>0</v>
      </c>
      <c r="U88" s="43">
        <v>32.729999999999997</v>
      </c>
      <c r="V88" s="30">
        <v>7</v>
      </c>
      <c r="W88" s="38">
        <v>0.53</v>
      </c>
      <c r="X88" s="38">
        <f>D88-C88</f>
        <v>54</v>
      </c>
      <c r="Y88" s="38">
        <f>E88-D88</f>
        <v>55</v>
      </c>
      <c r="Z88" s="38">
        <f>F88-E88</f>
        <v>10</v>
      </c>
      <c r="AA88" s="38">
        <f>G88-F88</f>
        <v>0</v>
      </c>
      <c r="AB88" s="38">
        <f>FORESTS[[#This Row],[Column7]]+FORESTS[[#This Row],[Column8]]</f>
        <v>10</v>
      </c>
      <c r="AD88" s="63">
        <f>(D88-C88)/10</f>
        <v>5.4</v>
      </c>
      <c r="AE88" s="63">
        <f>(E88-D88)/10</f>
        <v>5.5</v>
      </c>
      <c r="AF88" s="63">
        <f>(F88-E88)/5</f>
        <v>2</v>
      </c>
      <c r="AG88" s="63">
        <f>(G88-F88)/5</f>
        <v>0</v>
      </c>
    </row>
    <row r="89" spans="1:47" x14ac:dyDescent="0.2">
      <c r="A89" s="28">
        <v>876</v>
      </c>
      <c r="B89" s="28" t="s">
        <v>246</v>
      </c>
      <c r="C89" s="30">
        <v>5.8</v>
      </c>
      <c r="D89" s="30">
        <v>5.81</v>
      </c>
      <c r="E89" s="30">
        <v>5.82</v>
      </c>
      <c r="F89" s="30">
        <v>5.83</v>
      </c>
      <c r="G89" s="30">
        <v>5.83</v>
      </c>
      <c r="H89" s="30">
        <v>14</v>
      </c>
      <c r="I89" s="54">
        <f>C89/$H89</f>
        <v>0.41428571428571426</v>
      </c>
      <c r="J89" s="54">
        <f>D89/$H89</f>
        <v>0.41499999999999998</v>
      </c>
      <c r="K89" s="54">
        <f>E89/$H89</f>
        <v>0.41571428571428576</v>
      </c>
      <c r="L89" s="54">
        <f>F89/$H89</f>
        <v>0.41642857142857143</v>
      </c>
      <c r="M89" s="54">
        <f>G89/$H89</f>
        <v>0.41642857142857143</v>
      </c>
      <c r="N89" s="51">
        <f>FORESTS[[#This Row],[Area_2020]]-FORESTS[[#This Row],[Area_1990]]</f>
        <v>3.0000000000000249E-2</v>
      </c>
      <c r="O89" s="51">
        <f>ABS(FORESTS[[#This Row],[Area_Delta]])</f>
        <v>3.0000000000000249E-2</v>
      </c>
      <c r="P89" s="104">
        <f>FORESTS[[#This Row],[Area_2020_%]]-FORESTS[[#This Row],[Area_1990_%]]</f>
        <v>2.1428571428571686E-3</v>
      </c>
      <c r="Q89" s="54" t="b">
        <f>IF(G89&gt;C89, TRUE, FALSE)</f>
        <v>1</v>
      </c>
      <c r="R89" s="51">
        <f>IF(Q89=TRUE,G89-C89,0)</f>
        <v>3.0000000000000249E-2</v>
      </c>
      <c r="S89" s="51">
        <f>IF(Q89=TRUE,0,C89-G89)</f>
        <v>0</v>
      </c>
      <c r="T89" s="48">
        <f>IF(J89&lt;I89,1,0)+IF(K89&lt;J89,1,0)+IF(L89&lt;K89,1,0)+IF(M89&lt;L89,1,0)</f>
        <v>0</v>
      </c>
      <c r="U89" s="48">
        <v>41.64</v>
      </c>
      <c r="V89" s="30" t="s">
        <v>247</v>
      </c>
      <c r="W89" s="30" t="s">
        <v>247</v>
      </c>
      <c r="X89" s="38">
        <f>D89-C89</f>
        <v>9.9999999999997868E-3</v>
      </c>
      <c r="Y89" s="38">
        <f>E89-D89</f>
        <v>1.0000000000000675E-2</v>
      </c>
      <c r="Z89" s="38">
        <f>F89-E89</f>
        <v>9.9999999999997868E-3</v>
      </c>
      <c r="AA89" s="38">
        <f>G89-F89</f>
        <v>0</v>
      </c>
      <c r="AB89" s="38">
        <f>FORESTS[[#This Row],[Column7]]+FORESTS[[#This Row],[Column8]]</f>
        <v>9.9999999999997868E-3</v>
      </c>
      <c r="AD89" s="63">
        <f>(D89-C89)/10</f>
        <v>9.9999999999997877E-4</v>
      </c>
      <c r="AE89" s="63">
        <f>(E89-D89)/10</f>
        <v>1.0000000000000675E-3</v>
      </c>
      <c r="AF89" s="63">
        <f>(F89-E89)/5</f>
        <v>1.9999999999999575E-3</v>
      </c>
      <c r="AG89" s="63">
        <f>(G89-F89)/5</f>
        <v>0</v>
      </c>
    </row>
    <row r="90" spans="1:47" x14ac:dyDescent="0.2">
      <c r="A90" s="28">
        <v>275</v>
      </c>
      <c r="B90" s="28" t="s">
        <v>226</v>
      </c>
      <c r="C90" s="30">
        <v>9.08</v>
      </c>
      <c r="D90" s="30">
        <v>9.08</v>
      </c>
      <c r="E90" s="30">
        <v>9.9499999999999993</v>
      </c>
      <c r="F90" s="30">
        <v>10.14</v>
      </c>
      <c r="G90" s="30">
        <v>10.14</v>
      </c>
      <c r="H90" s="30">
        <v>602</v>
      </c>
      <c r="I90" s="54">
        <f>C90/$H90</f>
        <v>1.5083056478405316E-2</v>
      </c>
      <c r="J90" s="54">
        <f>D90/$H90</f>
        <v>1.5083056478405316E-2</v>
      </c>
      <c r="K90" s="54">
        <f>E90/$H90</f>
        <v>1.6528239202657807E-2</v>
      </c>
      <c r="L90" s="54">
        <f>F90/$H90</f>
        <v>1.6843853820598009E-2</v>
      </c>
      <c r="M90" s="54">
        <f>G90/$H90</f>
        <v>1.6843853820598009E-2</v>
      </c>
      <c r="N90" s="51">
        <f>FORESTS[[#This Row],[Area_2020]]-FORESTS[[#This Row],[Area_1990]]</f>
        <v>1.0600000000000005</v>
      </c>
      <c r="O90" s="51">
        <f>ABS(FORESTS[[#This Row],[Area_Delta]])</f>
        <v>1.0600000000000005</v>
      </c>
      <c r="P90" s="104">
        <f>FORESTS[[#This Row],[Area_2020_%]]-FORESTS[[#This Row],[Area_1990_%]]</f>
        <v>1.7607973421926923E-3</v>
      </c>
      <c r="Q90" s="54" t="b">
        <f>IF(G90&gt;C90, TRUE, FALSE)</f>
        <v>1</v>
      </c>
      <c r="R90" s="51">
        <f>IF(Q90=TRUE,G90-C90,0)</f>
        <v>1.0600000000000005</v>
      </c>
      <c r="S90" s="51">
        <f>IF(Q90=TRUE,0,C90-G90)</f>
        <v>0</v>
      </c>
      <c r="T90" s="48">
        <f>IF(J90&lt;I90,1,0)+IF(K90&lt;J90,1,0)+IF(L90&lt;K90,1,0)+IF(M90&lt;L90,1,0)</f>
        <v>0</v>
      </c>
      <c r="U90" s="48">
        <v>1.68</v>
      </c>
      <c r="V90" s="30" t="s">
        <v>247</v>
      </c>
      <c r="W90" s="30" t="s">
        <v>247</v>
      </c>
      <c r="X90" s="38">
        <f>D90-C90</f>
        <v>0</v>
      </c>
      <c r="Y90" s="38">
        <f>E90-D90</f>
        <v>0.86999999999999922</v>
      </c>
      <c r="Z90" s="38">
        <f>F90-E90</f>
        <v>0.19000000000000128</v>
      </c>
      <c r="AA90" s="38">
        <f>G90-F90</f>
        <v>0</v>
      </c>
      <c r="AB90" s="38">
        <f>FORESTS[[#This Row],[Column7]]+FORESTS[[#This Row],[Column8]]</f>
        <v>0.19000000000000128</v>
      </c>
      <c r="AD90" s="63">
        <f>(D90-C90)/10</f>
        <v>0</v>
      </c>
      <c r="AE90" s="63">
        <f>(E90-D90)/10</f>
        <v>8.6999999999999925E-2</v>
      </c>
      <c r="AF90" s="63">
        <f>(F90-E90)/5</f>
        <v>3.8000000000000256E-2</v>
      </c>
      <c r="AG90" s="63">
        <f>(G90-F90)/5</f>
        <v>0</v>
      </c>
      <c r="AH90" s="28">
        <v>1</v>
      </c>
    </row>
    <row r="91" spans="1:47" x14ac:dyDescent="0.2">
      <c r="A91" s="28">
        <v>578</v>
      </c>
      <c r="B91" s="28" t="s">
        <v>123</v>
      </c>
      <c r="C91" s="38">
        <v>12132</v>
      </c>
      <c r="D91" s="38">
        <v>12113</v>
      </c>
      <c r="E91" s="38">
        <v>12102</v>
      </c>
      <c r="F91" s="38">
        <v>12141</v>
      </c>
      <c r="G91" s="38">
        <v>12180</v>
      </c>
      <c r="H91" s="38">
        <v>30413</v>
      </c>
      <c r="I91" s="54">
        <f>C91/$H91</f>
        <v>0.39890836155591358</v>
      </c>
      <c r="J91" s="54">
        <f>D91/$H91</f>
        <v>0.39828362871140632</v>
      </c>
      <c r="K91" s="54">
        <f>E91/$H91</f>
        <v>0.3979219412751126</v>
      </c>
      <c r="L91" s="54">
        <f>F91/$H91</f>
        <v>0.39920428764015387</v>
      </c>
      <c r="M91" s="54">
        <f>G91/$H91</f>
        <v>0.40048663400519513</v>
      </c>
      <c r="N91" s="51">
        <f>FORESTS[[#This Row],[Area_2020]]-FORESTS[[#This Row],[Area_1990]]</f>
        <v>48</v>
      </c>
      <c r="O91" s="51">
        <f>ABS(FORESTS[[#This Row],[Area_Delta]])</f>
        <v>48</v>
      </c>
      <c r="P91" s="104">
        <f>FORESTS[[#This Row],[Area_2020_%]]-FORESTS[[#This Row],[Area_1990_%]]</f>
        <v>1.5782724492815481E-3</v>
      </c>
      <c r="Q91" s="54" t="b">
        <f>IF(G91&gt;C91, TRUE, FALSE)</f>
        <v>1</v>
      </c>
      <c r="R91" s="51">
        <f>IF(Q91=TRUE,G91-C91,0)</f>
        <v>48</v>
      </c>
      <c r="S91" s="51">
        <f>IF(Q91=TRUE,0,C91-G91)</f>
        <v>0</v>
      </c>
      <c r="T91" s="62">
        <f>IF(J91&lt;I91,1,0)+IF(K91&lt;J91,1,0)+IF(L91&lt;K91,1,0)+IF(M91&lt;L91,1,0)</f>
        <v>2</v>
      </c>
      <c r="U91" s="43">
        <v>40.049999999999997</v>
      </c>
      <c r="V91" s="30">
        <v>5.82</v>
      </c>
      <c r="W91" s="38">
        <v>0.14000000000000001</v>
      </c>
      <c r="X91" s="38">
        <f>D91-C91</f>
        <v>-19</v>
      </c>
      <c r="Y91" s="38">
        <f>E91-D91</f>
        <v>-11</v>
      </c>
      <c r="Z91" s="38">
        <f>F91-E91</f>
        <v>39</v>
      </c>
      <c r="AA91" s="38">
        <f>G91-F91</f>
        <v>39</v>
      </c>
      <c r="AB91" s="38">
        <f>FORESTS[[#This Row],[Column7]]+FORESTS[[#This Row],[Column8]]</f>
        <v>78</v>
      </c>
      <c r="AD91" s="63">
        <f>(D91-C91)/10</f>
        <v>-1.9</v>
      </c>
      <c r="AE91" s="63">
        <f>(E91-D91)/10</f>
        <v>-1.1000000000000001</v>
      </c>
      <c r="AF91" s="63">
        <f>(F91-E91)/5</f>
        <v>7.8</v>
      </c>
      <c r="AG91" s="63">
        <f>(G91-F91)/5</f>
        <v>7.8</v>
      </c>
      <c r="AH91" s="28">
        <v>1</v>
      </c>
    </row>
    <row r="92" spans="1:47" x14ac:dyDescent="0.2">
      <c r="A92" s="28">
        <v>414</v>
      </c>
      <c r="B92" s="28" t="s">
        <v>223</v>
      </c>
      <c r="C92" s="30">
        <v>3.45</v>
      </c>
      <c r="D92" s="30">
        <v>4.8499999999999996</v>
      </c>
      <c r="E92" s="30">
        <v>6.25</v>
      </c>
      <c r="F92" s="30">
        <v>6.25</v>
      </c>
      <c r="G92" s="30">
        <v>6.25</v>
      </c>
      <c r="H92" s="30">
        <v>1782</v>
      </c>
      <c r="I92" s="54">
        <f>C92/$H92</f>
        <v>1.9360269360269361E-3</v>
      </c>
      <c r="J92" s="54">
        <f>D92/$H92</f>
        <v>2.7216610549943882E-3</v>
      </c>
      <c r="K92" s="54">
        <f>E92/$H92</f>
        <v>3.5072951739618407E-3</v>
      </c>
      <c r="L92" s="54">
        <f>F92/$H92</f>
        <v>3.5072951739618407E-3</v>
      </c>
      <c r="M92" s="54">
        <f>G92/$H92</f>
        <v>3.5072951739618407E-3</v>
      </c>
      <c r="N92" s="51">
        <f>FORESTS[[#This Row],[Area_2020]]-FORESTS[[#This Row],[Area_1990]]</f>
        <v>2.8</v>
      </c>
      <c r="O92" s="51">
        <f>ABS(FORESTS[[#This Row],[Area_Delta]])</f>
        <v>2.8</v>
      </c>
      <c r="P92" s="104">
        <f>FORESTS[[#This Row],[Area_2020_%]]-FORESTS[[#This Row],[Area_1990_%]]</f>
        <v>1.5712682379349046E-3</v>
      </c>
      <c r="Q92" s="54" t="b">
        <f>IF(G92&gt;C92, TRUE, FALSE)</f>
        <v>1</v>
      </c>
      <c r="R92" s="51">
        <f>IF(Q92=TRUE,G92-C92,0)</f>
        <v>2.8</v>
      </c>
      <c r="S92" s="51">
        <f>IF(Q92=TRUE,0,C92-G92)</f>
        <v>0</v>
      </c>
      <c r="T92" s="48">
        <f>IF(J92&lt;I92,1,0)+IF(K92&lt;J92,1,0)+IF(L92&lt;K92,1,0)+IF(M92&lt;L92,1,0)</f>
        <v>0</v>
      </c>
      <c r="U92" s="48">
        <v>0.35</v>
      </c>
      <c r="V92" s="30">
        <v>0</v>
      </c>
      <c r="W92" s="30" t="s">
        <v>247</v>
      </c>
      <c r="X92" s="38">
        <f>D92-C92</f>
        <v>1.3999999999999995</v>
      </c>
      <c r="Y92" s="38">
        <f>E92-D92</f>
        <v>1.4000000000000004</v>
      </c>
      <c r="Z92" s="38">
        <f>F92-E92</f>
        <v>0</v>
      </c>
      <c r="AA92" s="38">
        <f>G92-F92</f>
        <v>0</v>
      </c>
      <c r="AB92" s="38">
        <f>FORESTS[[#This Row],[Column7]]+FORESTS[[#This Row],[Column8]]</f>
        <v>0</v>
      </c>
      <c r="AD92" s="63">
        <f>(D92-C92)/10</f>
        <v>0.13999999999999996</v>
      </c>
      <c r="AE92" s="63">
        <f>(E92-D92)/10</f>
        <v>0.14000000000000004</v>
      </c>
      <c r="AF92" s="63">
        <f>(F92-E92)/5</f>
        <v>0</v>
      </c>
      <c r="AG92" s="63">
        <f>(G92-F92)/5</f>
        <v>0</v>
      </c>
    </row>
    <row r="93" spans="1:47" x14ac:dyDescent="0.2">
      <c r="A93" s="28">
        <v>108</v>
      </c>
      <c r="B93" s="28" t="s">
        <v>24</v>
      </c>
      <c r="C93" s="30">
        <v>276.48</v>
      </c>
      <c r="D93" s="30">
        <v>193.94</v>
      </c>
      <c r="E93" s="30">
        <v>193.94</v>
      </c>
      <c r="F93" s="30">
        <v>279.64</v>
      </c>
      <c r="G93" s="30">
        <v>279.64</v>
      </c>
      <c r="H93" s="30">
        <v>2568</v>
      </c>
      <c r="I93" s="54">
        <f>C93/$H93</f>
        <v>0.10766355140186916</v>
      </c>
      <c r="J93" s="54">
        <f>D93/$H93</f>
        <v>7.5521806853582549E-2</v>
      </c>
      <c r="K93" s="54">
        <f>E93/$H93</f>
        <v>7.5521806853582549E-2</v>
      </c>
      <c r="L93" s="54">
        <f>F93/$H93</f>
        <v>0.10889408099688473</v>
      </c>
      <c r="M93" s="54">
        <f>G93/$H93</f>
        <v>0.10889408099688473</v>
      </c>
      <c r="N93" s="51">
        <f>FORESTS[[#This Row],[Area_2020]]-FORESTS[[#This Row],[Area_1990]]</f>
        <v>3.1599999999999682</v>
      </c>
      <c r="O93" s="51">
        <f>ABS(FORESTS[[#This Row],[Area_Delta]])</f>
        <v>3.1599999999999682</v>
      </c>
      <c r="P93" s="104">
        <f>FORESTS[[#This Row],[Area_2020_%]]-FORESTS[[#This Row],[Area_1990_%]]</f>
        <v>1.2305295950155726E-3</v>
      </c>
      <c r="Q93" s="54" t="b">
        <f>IF(G93&gt;C93, TRUE, FALSE)</f>
        <v>1</v>
      </c>
      <c r="R93" s="51">
        <f>IF(Q93=TRUE,G93-C93,0)</f>
        <v>3.1599999999999682</v>
      </c>
      <c r="S93" s="51">
        <f>IF(Q93=TRUE,0,C93-G93)</f>
        <v>0</v>
      </c>
      <c r="T93" s="48">
        <f>IF(J93&lt;I93,1,0)+IF(K93&lt;J93,1,0)+IF(L93&lt;K93,1,0)+IF(M93&lt;L93,1,0)</f>
        <v>1</v>
      </c>
      <c r="U93" s="48">
        <v>10.89</v>
      </c>
      <c r="V93" s="30">
        <v>0</v>
      </c>
      <c r="W93" s="30">
        <v>47.32</v>
      </c>
      <c r="X93" s="38">
        <f>D93-C93</f>
        <v>-82.54000000000002</v>
      </c>
      <c r="Y93" s="38">
        <f>E93-D93</f>
        <v>0</v>
      </c>
      <c r="Z93" s="38">
        <f>F93-E93</f>
        <v>85.699999999999989</v>
      </c>
      <c r="AA93" s="38">
        <f>G93-F93</f>
        <v>0</v>
      </c>
      <c r="AB93" s="38">
        <f>FORESTS[[#This Row],[Column7]]+FORESTS[[#This Row],[Column8]]</f>
        <v>85.699999999999989</v>
      </c>
      <c r="AD93" s="63">
        <f>(D93-C93)/10</f>
        <v>-8.2540000000000013</v>
      </c>
      <c r="AE93" s="63">
        <f>(E93-D93)/10</f>
        <v>0</v>
      </c>
      <c r="AF93" s="63">
        <f>(F93-E93)/5</f>
        <v>17.139999999999997</v>
      </c>
      <c r="AG93" s="63">
        <f>(G93-F93)/5</f>
        <v>0</v>
      </c>
      <c r="AH93" s="28">
        <v>1</v>
      </c>
    </row>
    <row r="94" spans="1:47" x14ac:dyDescent="0.2">
      <c r="A94" s="28">
        <v>12</v>
      </c>
      <c r="B94" s="28" t="s">
        <v>1</v>
      </c>
      <c r="C94" s="38">
        <v>1667</v>
      </c>
      <c r="D94" s="38">
        <v>1579</v>
      </c>
      <c r="E94" s="38">
        <v>1918</v>
      </c>
      <c r="F94" s="38">
        <v>1956</v>
      </c>
      <c r="G94" s="38">
        <v>1949</v>
      </c>
      <c r="H94" s="38">
        <v>238174</v>
      </c>
      <c r="I94" s="54">
        <f>C94/$H94</f>
        <v>6.9990847027803201E-3</v>
      </c>
      <c r="J94" s="54">
        <f>D94/$H94</f>
        <v>6.6296069260288696E-3</v>
      </c>
      <c r="K94" s="54">
        <f>E94/$H94</f>
        <v>8.0529360887418439E-3</v>
      </c>
      <c r="L94" s="54">
        <f>F94/$H94</f>
        <v>8.2124833105208794E-3</v>
      </c>
      <c r="M94" s="54">
        <f>G94/$H94</f>
        <v>8.1830930328247418E-3</v>
      </c>
      <c r="N94" s="51">
        <f>FORESTS[[#This Row],[Area_2020]]-FORESTS[[#This Row],[Area_1990]]</f>
        <v>282</v>
      </c>
      <c r="O94" s="51">
        <f>ABS(FORESTS[[#This Row],[Area_Delta]])</f>
        <v>282</v>
      </c>
      <c r="P94" s="104">
        <f>FORESTS[[#This Row],[Area_2020_%]]-FORESTS[[#This Row],[Area_1990_%]]</f>
        <v>1.1840083300444218E-3</v>
      </c>
      <c r="Q94" s="54" t="b">
        <f>IF(G94&gt;C94, TRUE, FALSE)</f>
        <v>1</v>
      </c>
      <c r="R94" s="51">
        <f>IF(Q94=TRUE,G94-C94,0)</f>
        <v>282</v>
      </c>
      <c r="S94" s="51">
        <f>IF(Q94=TRUE,0,C94-G94)</f>
        <v>0</v>
      </c>
      <c r="T94" s="48">
        <f>IF(J94&lt;I94,1,0)+IF(K94&lt;J94,1,0)+IF(L94&lt;K94,1,0)+IF(M94&lt;L94,1,0)</f>
        <v>2</v>
      </c>
      <c r="U94" s="43">
        <v>0.82</v>
      </c>
      <c r="V94" s="30">
        <v>5.4</v>
      </c>
      <c r="W94" s="38" t="s">
        <v>247</v>
      </c>
      <c r="X94" s="38">
        <f>D94-C94</f>
        <v>-88</v>
      </c>
      <c r="Y94" s="38">
        <f>E94-D94</f>
        <v>339</v>
      </c>
      <c r="Z94" s="38">
        <f>F94-E94</f>
        <v>38</v>
      </c>
      <c r="AA94" s="38">
        <f>G94-F94</f>
        <v>-7</v>
      </c>
      <c r="AB94" s="38">
        <f>FORESTS[[#This Row],[Column7]]+FORESTS[[#This Row],[Column8]]</f>
        <v>31</v>
      </c>
      <c r="AD94" s="63">
        <f>(D94-C94)/10</f>
        <v>-8.8000000000000007</v>
      </c>
      <c r="AE94" s="63">
        <f>(E94-D94)/10</f>
        <v>33.9</v>
      </c>
      <c r="AF94" s="63">
        <f>(F94-E94)/5</f>
        <v>7.6</v>
      </c>
      <c r="AG94" s="63">
        <f>(G94-F94)/5</f>
        <v>-1.4</v>
      </c>
      <c r="AH94" s="28">
        <v>1</v>
      </c>
    </row>
    <row r="95" spans="1:47" x14ac:dyDescent="0.2">
      <c r="A95" s="28">
        <v>762</v>
      </c>
      <c r="B95" s="28" t="s">
        <v>163</v>
      </c>
      <c r="C95" s="38">
        <v>408</v>
      </c>
      <c r="D95" s="38">
        <v>410</v>
      </c>
      <c r="E95" s="38">
        <v>410</v>
      </c>
      <c r="F95" s="38">
        <v>421.8</v>
      </c>
      <c r="G95" s="38">
        <v>423.8</v>
      </c>
      <c r="H95" s="38">
        <v>13879</v>
      </c>
      <c r="I95" s="54">
        <f>C95/$H95</f>
        <v>2.9396930614597593E-2</v>
      </c>
      <c r="J95" s="54">
        <f>D95/$H95</f>
        <v>2.9541033215649541E-2</v>
      </c>
      <c r="K95" s="54">
        <f>E95/$H95</f>
        <v>2.9541033215649541E-2</v>
      </c>
      <c r="L95" s="54">
        <f>F95/$H95</f>
        <v>3.0391238561856042E-2</v>
      </c>
      <c r="M95" s="54">
        <f>G95/$H95</f>
        <v>3.053534116290799E-2</v>
      </c>
      <c r="N95" s="51">
        <f>FORESTS[[#This Row],[Area_2020]]-FORESTS[[#This Row],[Area_1990]]</f>
        <v>15.800000000000011</v>
      </c>
      <c r="O95" s="51">
        <f>ABS(FORESTS[[#This Row],[Area_Delta]])</f>
        <v>15.800000000000011</v>
      </c>
      <c r="P95" s="104">
        <f>FORESTS[[#This Row],[Area_2020_%]]-FORESTS[[#This Row],[Area_1990_%]]</f>
        <v>1.1384105483103965E-3</v>
      </c>
      <c r="Q95" s="54" t="b">
        <f>IF(G95&gt;C95, TRUE, FALSE)</f>
        <v>1</v>
      </c>
      <c r="R95" s="51">
        <f>IF(Q95=TRUE,G95-C95,0)</f>
        <v>15.800000000000011</v>
      </c>
      <c r="S95" s="51">
        <f>IF(Q95=TRUE,0,C95-G95)</f>
        <v>0</v>
      </c>
      <c r="T95" s="48">
        <f>IF(J95&lt;I95,1,0)+IF(K95&lt;J95,1,0)+IF(L95&lt;K95,1,0)+IF(M95&lt;L95,1,0)</f>
        <v>0</v>
      </c>
      <c r="U95" s="43">
        <v>3.05</v>
      </c>
      <c r="V95" s="30" t="s">
        <v>247</v>
      </c>
      <c r="W95" s="38" t="s">
        <v>247</v>
      </c>
      <c r="X95" s="38">
        <f>D95-C95</f>
        <v>2</v>
      </c>
      <c r="Y95" s="38">
        <f>E95-D95</f>
        <v>0</v>
      </c>
      <c r="Z95" s="38">
        <f>F95-E95</f>
        <v>11.800000000000011</v>
      </c>
      <c r="AA95" s="38">
        <f>G95-F95</f>
        <v>2</v>
      </c>
      <c r="AB95" s="38">
        <f>FORESTS[[#This Row],[Column7]]+FORESTS[[#This Row],[Column8]]</f>
        <v>13.800000000000011</v>
      </c>
      <c r="AD95" s="63">
        <f>(D95-C95)/10</f>
        <v>0.2</v>
      </c>
      <c r="AE95" s="63">
        <f>(E95-D95)/10</f>
        <v>0</v>
      </c>
      <c r="AF95" s="63">
        <f>(F95-E95)/5</f>
        <v>2.3600000000000021</v>
      </c>
      <c r="AG95" s="63">
        <f>(G95-F95)/5</f>
        <v>0.4</v>
      </c>
    </row>
    <row r="96" spans="1:47" x14ac:dyDescent="0.2">
      <c r="A96" s="28">
        <v>398</v>
      </c>
      <c r="B96" s="28" t="s">
        <v>85</v>
      </c>
      <c r="C96" s="38">
        <v>3162.24</v>
      </c>
      <c r="D96" s="38">
        <v>3156.93</v>
      </c>
      <c r="E96" s="38">
        <v>3082.18</v>
      </c>
      <c r="F96" s="38">
        <v>3308.46</v>
      </c>
      <c r="G96" s="38">
        <v>3454.68</v>
      </c>
      <c r="H96" s="38">
        <v>269970</v>
      </c>
      <c r="I96" s="54">
        <f>C96/$H96</f>
        <v>1.1713301477941992E-2</v>
      </c>
      <c r="J96" s="54">
        <f>D96/$H96</f>
        <v>1.1693632625847316E-2</v>
      </c>
      <c r="K96" s="54">
        <f>E96/$H96</f>
        <v>1.1416750009260287E-2</v>
      </c>
      <c r="L96" s="54">
        <f>F96/$H96</f>
        <v>1.2254917213023669E-2</v>
      </c>
      <c r="M96" s="54">
        <f>G96/$H96</f>
        <v>1.2796532948105344E-2</v>
      </c>
      <c r="N96" s="51">
        <f>FORESTS[[#This Row],[Area_2020]]-FORESTS[[#This Row],[Area_1990]]</f>
        <v>292.44000000000005</v>
      </c>
      <c r="O96" s="51">
        <f>ABS(FORESTS[[#This Row],[Area_Delta]])</f>
        <v>292.44000000000005</v>
      </c>
      <c r="P96" s="104">
        <f>FORESTS[[#This Row],[Area_2020_%]]-FORESTS[[#This Row],[Area_1990_%]]</f>
        <v>1.0832314701633514E-3</v>
      </c>
      <c r="Q96" s="54" t="b">
        <f>IF(G96&gt;C96, TRUE, FALSE)</f>
        <v>1</v>
      </c>
      <c r="R96" s="51">
        <f>IF(Q96=TRUE,G96-C96,0)</f>
        <v>292.44000000000005</v>
      </c>
      <c r="S96" s="51">
        <f>IF(Q96=TRUE,0,C96-G96)</f>
        <v>0</v>
      </c>
      <c r="T96" s="48">
        <f>IF(J96&lt;I96,1,0)+IF(K96&lt;J96,1,0)+IF(L96&lt;K96,1,0)+IF(M96&lt;L96,1,0)</f>
        <v>2</v>
      </c>
      <c r="U96" s="43">
        <v>1.28</v>
      </c>
      <c r="V96" s="30" t="s">
        <v>247</v>
      </c>
      <c r="W96" s="38">
        <v>9.6</v>
      </c>
      <c r="X96" s="38">
        <f>D96-C96</f>
        <v>-5.3099999999999454</v>
      </c>
      <c r="Y96" s="38">
        <f>E96-D96</f>
        <v>-74.75</v>
      </c>
      <c r="Z96" s="38">
        <f>F96-E96</f>
        <v>226.2800000000002</v>
      </c>
      <c r="AA96" s="38">
        <f>G96-F96</f>
        <v>146.2199999999998</v>
      </c>
      <c r="AB96" s="38">
        <f>FORESTS[[#This Row],[Column7]]+FORESTS[[#This Row],[Column8]]</f>
        <v>372.5</v>
      </c>
      <c r="AD96" s="63">
        <f>(D96-C96)/10</f>
        <v>-0.53099999999999459</v>
      </c>
      <c r="AE96" s="63">
        <f>(E96-D96)/10</f>
        <v>-7.4749999999999996</v>
      </c>
      <c r="AF96" s="63">
        <f>(F96-E96)/5</f>
        <v>45.256000000000043</v>
      </c>
      <c r="AG96" s="63">
        <f>(G96-F96)/5</f>
        <v>29.243999999999961</v>
      </c>
      <c r="AH96" s="28">
        <v>1</v>
      </c>
      <c r="AT96" s="28" t="str" cm="1">
        <f t="array" aca="1" ref="AT96:AU105" ca="1">_xlfn.MAKEARRAY(AT82,AU82,_xlfn.LAMBDA(_xlpm.row,_xlpm.col,CHOOSE(RANDBETWEEN(1,3),"Red","Blue","Green")))</f>
        <v>Blue</v>
      </c>
      <c r="AU96" s="28" t="str">
        <f ca="1"/>
        <v>Blue</v>
      </c>
    </row>
    <row r="97" spans="1:47" x14ac:dyDescent="0.2">
      <c r="A97" s="28">
        <v>368</v>
      </c>
      <c r="B97" s="28" t="s">
        <v>78</v>
      </c>
      <c r="C97" s="38">
        <v>804</v>
      </c>
      <c r="D97" s="38">
        <v>818</v>
      </c>
      <c r="E97" s="38">
        <v>825</v>
      </c>
      <c r="F97" s="38">
        <v>825</v>
      </c>
      <c r="G97" s="38">
        <v>825</v>
      </c>
      <c r="H97" s="38">
        <v>43412.800000000003</v>
      </c>
      <c r="I97" s="54">
        <f>C97/$H97</f>
        <v>1.8519883536652782E-2</v>
      </c>
      <c r="J97" s="54">
        <f>D97/$H97</f>
        <v>1.8842369070873104E-2</v>
      </c>
      <c r="K97" s="54">
        <f>E97/$H97</f>
        <v>1.9003611837983266E-2</v>
      </c>
      <c r="L97" s="54">
        <f>F97/$H97</f>
        <v>1.9003611837983266E-2</v>
      </c>
      <c r="M97" s="54">
        <f>G97/$H97</f>
        <v>1.9003611837983266E-2</v>
      </c>
      <c r="N97" s="51">
        <f>FORESTS[[#This Row],[Area_2020]]-FORESTS[[#This Row],[Area_1990]]</f>
        <v>21</v>
      </c>
      <c r="O97" s="51">
        <f>ABS(FORESTS[[#This Row],[Area_Delta]])</f>
        <v>21</v>
      </c>
      <c r="P97" s="104">
        <f>FORESTS[[#This Row],[Area_2020_%]]-FORESTS[[#This Row],[Area_1990_%]]</f>
        <v>4.8372830133048411E-4</v>
      </c>
      <c r="Q97" s="54" t="b">
        <f>IF(G97&gt;C97, TRUE, FALSE)</f>
        <v>1</v>
      </c>
      <c r="R97" s="51">
        <f>IF(Q97=TRUE,G97-C97,0)</f>
        <v>21</v>
      </c>
      <c r="S97" s="51">
        <f>IF(Q97=TRUE,0,C97-G97)</f>
        <v>0</v>
      </c>
      <c r="T97" s="48">
        <f>IF(J97&lt;I97,1,0)+IF(K97&lt;J97,1,0)+IF(L97&lt;K97,1,0)+IF(M97&lt;L97,1,0)</f>
        <v>0</v>
      </c>
      <c r="U97" s="43">
        <v>1.9</v>
      </c>
      <c r="V97" s="30">
        <v>0</v>
      </c>
      <c r="W97" s="38" t="s">
        <v>247</v>
      </c>
      <c r="X97" s="38">
        <f>D97-C97</f>
        <v>14</v>
      </c>
      <c r="Y97" s="38">
        <f>E97-D97</f>
        <v>7</v>
      </c>
      <c r="Z97" s="38">
        <f>F97-E97</f>
        <v>0</v>
      </c>
      <c r="AA97" s="38">
        <f>G97-F97</f>
        <v>0</v>
      </c>
      <c r="AB97" s="38">
        <f>FORESTS[[#This Row],[Column7]]+FORESTS[[#This Row],[Column8]]</f>
        <v>0</v>
      </c>
      <c r="AD97" s="63">
        <f>(D97-C97)/10</f>
        <v>1.4</v>
      </c>
      <c r="AE97" s="63">
        <f>(E97-D97)/10</f>
        <v>0.7</v>
      </c>
      <c r="AF97" s="63">
        <f>(F97-E97)/5</f>
        <v>0</v>
      </c>
      <c r="AG97" s="63">
        <f>(G97-F97)/5</f>
        <v>0</v>
      </c>
      <c r="AT97" s="28" t="str">
        <f ca="1"/>
        <v>Red</v>
      </c>
      <c r="AU97" s="28" t="str">
        <f ca="1"/>
        <v>Blue</v>
      </c>
    </row>
    <row r="98" spans="1:47" x14ac:dyDescent="0.2">
      <c r="A98" s="36">
        <v>36</v>
      </c>
      <c r="B98" s="36" t="s">
        <v>7</v>
      </c>
      <c r="C98" s="39">
        <v>133882.20000000001</v>
      </c>
      <c r="D98" s="39">
        <v>131814.1</v>
      </c>
      <c r="E98" s="39">
        <v>129546.1</v>
      </c>
      <c r="F98" s="39">
        <v>133094.5</v>
      </c>
      <c r="G98" s="39">
        <v>134005.1</v>
      </c>
      <c r="H98" s="39">
        <v>768230</v>
      </c>
      <c r="I98" s="54">
        <f>C98/$H98</f>
        <v>0.17427358994051262</v>
      </c>
      <c r="J98" s="54">
        <f>D98/$H98</f>
        <v>0.171581557606446</v>
      </c>
      <c r="K98" s="54">
        <f>E98/$H98</f>
        <v>0.16862931674108014</v>
      </c>
      <c r="L98" s="54">
        <f>F98/$H98</f>
        <v>0.17324824596800437</v>
      </c>
      <c r="M98" s="54">
        <f>G98/$H98</f>
        <v>0.17443356807206176</v>
      </c>
      <c r="N98" s="51">
        <f>FORESTS[[#This Row],[Area_2020]]-FORESTS[[#This Row],[Area_1990]]</f>
        <v>122.89999999999418</v>
      </c>
      <c r="O98" s="51">
        <f>ABS(FORESTS[[#This Row],[Area_Delta]])</f>
        <v>122.89999999999418</v>
      </c>
      <c r="P98" s="104">
        <f>FORESTS[[#This Row],[Area_2020_%]]-FORESTS[[#This Row],[Area_1990_%]]</f>
        <v>1.5997813154913776E-4</v>
      </c>
      <c r="Q98" s="54" t="b">
        <f>IF(G98&gt;C98, TRUE, FALSE)</f>
        <v>1</v>
      </c>
      <c r="R98" s="51">
        <f>IF(Q98=TRUE,G98-C98,0)</f>
        <v>122.89999999999418</v>
      </c>
      <c r="S98" s="51">
        <f>IF(Q98=TRUE,0,C98-G98)</f>
        <v>0</v>
      </c>
      <c r="T98" s="62">
        <f>IF(J98&lt;I98,1,0)+IF(K98&lt;J98,1,0)+IF(L98&lt;K98,1,0)+IF(M98&lt;L98,1,0)</f>
        <v>2</v>
      </c>
      <c r="U98" s="43">
        <v>17.440000000000001</v>
      </c>
      <c r="V98" s="37" t="s">
        <v>247</v>
      </c>
      <c r="W98" s="39">
        <v>14774.38</v>
      </c>
      <c r="X98" s="38">
        <f>D98-C98</f>
        <v>-2068.1000000000058</v>
      </c>
      <c r="Y98" s="38">
        <f>E98-D98</f>
        <v>-2268</v>
      </c>
      <c r="Z98" s="38">
        <f>F98-E98</f>
        <v>3548.3999999999942</v>
      </c>
      <c r="AA98" s="38">
        <f>G98-F98</f>
        <v>910.60000000000582</v>
      </c>
      <c r="AB98" s="38">
        <f>FORESTS[[#This Row],[Column7]]+FORESTS[[#This Row],[Column8]]</f>
        <v>4459</v>
      </c>
      <c r="AD98" s="63">
        <f>(D98-C98)/10</f>
        <v>-206.81000000000057</v>
      </c>
      <c r="AE98" s="63">
        <f>(E98-D98)/10</f>
        <v>-226.8</v>
      </c>
      <c r="AF98" s="63">
        <f>(F98-E98)/5</f>
        <v>709.67999999999881</v>
      </c>
      <c r="AG98" s="63">
        <f>(G98-F98)/5</f>
        <v>182.12000000000117</v>
      </c>
      <c r="AT98" s="28" t="str">
        <f ca="1"/>
        <v>Red</v>
      </c>
      <c r="AU98" s="28" t="str">
        <f ca="1"/>
        <v>Green</v>
      </c>
    </row>
    <row r="99" spans="1:47" x14ac:dyDescent="0.2">
      <c r="A99" s="28">
        <v>262</v>
      </c>
      <c r="B99" s="28" t="s">
        <v>44</v>
      </c>
      <c r="C99" s="30">
        <v>5.6</v>
      </c>
      <c r="D99" s="30">
        <v>5.6</v>
      </c>
      <c r="E99" s="30">
        <v>5.6</v>
      </c>
      <c r="F99" s="30">
        <v>5.6</v>
      </c>
      <c r="G99" s="30">
        <v>5.8</v>
      </c>
      <c r="H99" s="30">
        <v>2318</v>
      </c>
      <c r="I99" s="54">
        <f>C99/$H99</f>
        <v>2.4158757549611731E-3</v>
      </c>
      <c r="J99" s="54">
        <f>D99/$H99</f>
        <v>2.4158757549611731E-3</v>
      </c>
      <c r="K99" s="54">
        <f>E99/$H99</f>
        <v>2.4158757549611731E-3</v>
      </c>
      <c r="L99" s="54">
        <f>F99/$H99</f>
        <v>2.4158757549611731E-3</v>
      </c>
      <c r="M99" s="54">
        <f>G99/$H99</f>
        <v>2.5021570319240724E-3</v>
      </c>
      <c r="N99" s="51">
        <f>FORESTS[[#This Row],[Area_2020]]-FORESTS[[#This Row],[Area_1990]]</f>
        <v>0.20000000000000018</v>
      </c>
      <c r="O99" s="51">
        <f>ABS(FORESTS[[#This Row],[Area_Delta]])</f>
        <v>0.20000000000000018</v>
      </c>
      <c r="P99" s="104">
        <f>FORESTS[[#This Row],[Area_2020_%]]-FORESTS[[#This Row],[Area_1990_%]]</f>
        <v>8.6281276962899348E-5</v>
      </c>
      <c r="Q99" s="54" t="b">
        <f>IF(G99&gt;C99, TRUE, FALSE)</f>
        <v>1</v>
      </c>
      <c r="R99" s="51">
        <f>IF(Q99=TRUE,G99-C99,0)</f>
        <v>0.20000000000000018</v>
      </c>
      <c r="S99" s="51">
        <f>IF(Q99=TRUE,0,C99-G99)</f>
        <v>0</v>
      </c>
      <c r="T99" s="48">
        <f>IF(J99&lt;I99,1,0)+IF(K99&lt;J99,1,0)+IF(L99&lt;K99,1,0)+IF(M99&lt;L99,1,0)</f>
        <v>0</v>
      </c>
      <c r="U99" s="48">
        <v>0.25</v>
      </c>
      <c r="V99" s="30">
        <v>0.16</v>
      </c>
      <c r="W99" s="30" t="s">
        <v>247</v>
      </c>
      <c r="X99" s="38">
        <f>D99-C99</f>
        <v>0</v>
      </c>
      <c r="Y99" s="38">
        <f>E99-D99</f>
        <v>0</v>
      </c>
      <c r="Z99" s="38">
        <f>F99-E99</f>
        <v>0</v>
      </c>
      <c r="AA99" s="38">
        <f>G99-F99</f>
        <v>0.20000000000000018</v>
      </c>
      <c r="AB99" s="38">
        <f>FORESTS[[#This Row],[Column7]]+FORESTS[[#This Row],[Column8]]</f>
        <v>0.20000000000000018</v>
      </c>
      <c r="AD99" s="63">
        <f>(D99-C99)/10</f>
        <v>0</v>
      </c>
      <c r="AE99" s="63">
        <f>(E99-D99)/10</f>
        <v>0</v>
      </c>
      <c r="AF99" s="63">
        <f>(F99-E99)/5</f>
        <v>0</v>
      </c>
      <c r="AG99" s="63">
        <f>(G99-F99)/5</f>
        <v>4.0000000000000036E-2</v>
      </c>
      <c r="AT99" s="28" t="str">
        <f ca="1"/>
        <v>Red</v>
      </c>
      <c r="AU99" s="28" t="str">
        <f ca="1"/>
        <v>Green</v>
      </c>
    </row>
    <row r="100" spans="1:47" x14ac:dyDescent="0.2">
      <c r="A100" s="28">
        <v>8</v>
      </c>
      <c r="B100" s="28" t="s">
        <v>232</v>
      </c>
      <c r="C100" s="30">
        <v>788.8</v>
      </c>
      <c r="D100" s="30">
        <v>769.3</v>
      </c>
      <c r="E100" s="30">
        <v>782.07</v>
      </c>
      <c r="F100" s="30">
        <v>789.19</v>
      </c>
      <c r="G100" s="30">
        <v>788.9</v>
      </c>
      <c r="H100" s="30">
        <v>2740</v>
      </c>
      <c r="I100" s="54">
        <f>C100/$H100</f>
        <v>0.28788321167883207</v>
      </c>
      <c r="J100" s="54">
        <f>D100/$H100</f>
        <v>0.28076642335766422</v>
      </c>
      <c r="K100" s="54">
        <f>E100/$H100</f>
        <v>0.28542700729927006</v>
      </c>
      <c r="L100" s="54">
        <f>F100/$H100</f>
        <v>0.28802554744525549</v>
      </c>
      <c r="M100" s="54">
        <f>G100/$H100</f>
        <v>0.28791970802919709</v>
      </c>
      <c r="N100" s="51">
        <f>FORESTS[[#This Row],[Area_2020]]-FORESTS[[#This Row],[Area_1990]]</f>
        <v>0.10000000000002274</v>
      </c>
      <c r="O100" s="51">
        <f>ABS(FORESTS[[#This Row],[Area_Delta]])</f>
        <v>0.10000000000002274</v>
      </c>
      <c r="P100" s="104">
        <f>FORESTS[[#This Row],[Area_2020_%]]-FORESTS[[#This Row],[Area_1990_%]]</f>
        <v>3.6496350365011754E-5</v>
      </c>
      <c r="Q100" s="54" t="b">
        <f>IF(G100&gt;C100, TRUE, FALSE)</f>
        <v>1</v>
      </c>
      <c r="R100" s="51">
        <f>IF(Q100=TRUE,G100-C100,0)</f>
        <v>0.10000000000002274</v>
      </c>
      <c r="S100" s="51">
        <f>IF(Q100=TRUE,0,C100-G100)</f>
        <v>0</v>
      </c>
      <c r="T100" s="48">
        <f>IF(J100&lt;I100,1,0)+IF(K100&lt;J100,1,0)+IF(L100&lt;K100,1,0)+IF(M100&lt;L100,1,0)</f>
        <v>2</v>
      </c>
      <c r="U100" s="48">
        <v>28.79</v>
      </c>
      <c r="V100" s="30" t="s">
        <v>247</v>
      </c>
      <c r="W100" s="30" t="s">
        <v>247</v>
      </c>
      <c r="X100" s="38">
        <f>D100-C100</f>
        <v>-19.5</v>
      </c>
      <c r="Y100" s="38">
        <f>E100-D100</f>
        <v>12.770000000000095</v>
      </c>
      <c r="Z100" s="38">
        <f>F100-E100</f>
        <v>7.1200000000000045</v>
      </c>
      <c r="AA100" s="38">
        <f>G100-F100</f>
        <v>-0.29000000000007731</v>
      </c>
      <c r="AB100" s="38">
        <f>FORESTS[[#This Row],[Column7]]+FORESTS[[#This Row],[Column8]]</f>
        <v>6.8299999999999272</v>
      </c>
      <c r="AD100" s="63">
        <f>(D100-C100)/10</f>
        <v>-1.95</v>
      </c>
      <c r="AE100" s="63">
        <f>(E100-D100)/10</f>
        <v>1.2770000000000095</v>
      </c>
      <c r="AF100" s="63">
        <f>(F100-E100)/5</f>
        <v>1.4240000000000008</v>
      </c>
      <c r="AG100" s="63">
        <f>(G100-F100)/5</f>
        <v>-5.8000000000015463E-2</v>
      </c>
      <c r="AT100" s="28" t="str">
        <f ca="1"/>
        <v>Green</v>
      </c>
      <c r="AU100" s="28" t="str">
        <f ca="1"/>
        <v>Blue</v>
      </c>
    </row>
    <row r="101" spans="1:47" x14ac:dyDescent="0.2">
      <c r="A101" s="28">
        <v>818</v>
      </c>
      <c r="B101" s="28" t="s">
        <v>48</v>
      </c>
      <c r="C101" s="38">
        <v>43.81</v>
      </c>
      <c r="D101" s="38">
        <v>59.21</v>
      </c>
      <c r="E101" s="38">
        <v>65.64</v>
      </c>
      <c r="F101" s="38">
        <v>48.42</v>
      </c>
      <c r="G101" s="38">
        <v>44.98</v>
      </c>
      <c r="H101" s="38">
        <v>99545</v>
      </c>
      <c r="I101" s="54">
        <f>C101/$H101</f>
        <v>4.4010246622130694E-4</v>
      </c>
      <c r="J101" s="54">
        <f>D101/$H101</f>
        <v>5.9480636897885379E-4</v>
      </c>
      <c r="K101" s="54">
        <f>E101/$H101</f>
        <v>6.5940027123411523E-4</v>
      </c>
      <c r="L101" s="54">
        <f>F101/$H101</f>
        <v>4.8641317996885833E-4</v>
      </c>
      <c r="M101" s="54">
        <f>G101/$H101</f>
        <v>4.5185594454769199E-4</v>
      </c>
      <c r="N101" s="51">
        <f>FORESTS[[#This Row],[Area_2020]]-FORESTS[[#This Row],[Area_1990]]</f>
        <v>1.1699999999999946</v>
      </c>
      <c r="O101" s="51">
        <f>ABS(FORESTS[[#This Row],[Area_Delta]])</f>
        <v>1.1699999999999946</v>
      </c>
      <c r="P101" s="104">
        <f>FORESTS[[#This Row],[Area_2020_%]]-FORESTS[[#This Row],[Area_1990_%]]</f>
        <v>1.1753478326385046E-5</v>
      </c>
      <c r="Q101" s="54" t="b">
        <f>IF(G101&gt;C101, TRUE, FALSE)</f>
        <v>1</v>
      </c>
      <c r="R101" s="51">
        <f>IF(Q101=TRUE,G101-C101,0)</f>
        <v>1.1699999999999946</v>
      </c>
      <c r="S101" s="51">
        <f>IF(Q101=TRUE,0,C101-G101)</f>
        <v>0</v>
      </c>
      <c r="T101" s="48">
        <f>IF(J101&lt;I101,1,0)+IF(K101&lt;J101,1,0)+IF(L101&lt;K101,1,0)+IF(M101&lt;L101,1,0)</f>
        <v>2</v>
      </c>
      <c r="U101" s="43">
        <v>0.05</v>
      </c>
      <c r="V101" s="30" t="s">
        <v>247</v>
      </c>
      <c r="W101" s="38" t="s">
        <v>247</v>
      </c>
      <c r="X101" s="38">
        <f>D101-C101</f>
        <v>15.399999999999999</v>
      </c>
      <c r="Y101" s="38">
        <f>E101-D101</f>
        <v>6.43</v>
      </c>
      <c r="Z101" s="38">
        <f>F101-E101</f>
        <v>-17.22</v>
      </c>
      <c r="AA101" s="38">
        <f>G101-F101</f>
        <v>-3.4400000000000048</v>
      </c>
      <c r="AB101" s="38">
        <f>FORESTS[[#This Row],[Column7]]+FORESTS[[#This Row],[Column8]]</f>
        <v>-20.660000000000004</v>
      </c>
      <c r="AD101" s="63">
        <f>(D101-C101)/10</f>
        <v>1.5399999999999998</v>
      </c>
      <c r="AE101" s="63">
        <f>(E101-D101)/10</f>
        <v>0.64300000000000002</v>
      </c>
      <c r="AF101" s="63">
        <f>(F101-E101)/5</f>
        <v>-3.444</v>
      </c>
      <c r="AG101" s="63">
        <f>(G101-F101)/5</f>
        <v>-0.68800000000000094</v>
      </c>
      <c r="AT101" s="28" t="str">
        <f ca="1"/>
        <v>Red</v>
      </c>
      <c r="AU101" s="28" t="str">
        <f ca="1"/>
        <v>Blue</v>
      </c>
    </row>
    <row r="102" spans="1:47" x14ac:dyDescent="0.2">
      <c r="A102" s="28">
        <v>659</v>
      </c>
      <c r="B102" s="28" t="s">
        <v>212</v>
      </c>
      <c r="C102" s="30">
        <v>11</v>
      </c>
      <c r="D102" s="30">
        <v>11</v>
      </c>
      <c r="E102" s="30">
        <v>11</v>
      </c>
      <c r="F102" s="30">
        <v>11</v>
      </c>
      <c r="G102" s="30">
        <v>11</v>
      </c>
      <c r="H102" s="30">
        <v>26</v>
      </c>
      <c r="I102" s="54">
        <f>C102/$H102</f>
        <v>0.42307692307692307</v>
      </c>
      <c r="J102" s="54">
        <f>D102/$H102</f>
        <v>0.42307692307692307</v>
      </c>
      <c r="K102" s="54">
        <f>E102/$H102</f>
        <v>0.42307692307692307</v>
      </c>
      <c r="L102" s="54">
        <f>F102/$H102</f>
        <v>0.42307692307692307</v>
      </c>
      <c r="M102" s="54">
        <f>G102/$H102</f>
        <v>0.42307692307692307</v>
      </c>
      <c r="N102" s="51">
        <f>FORESTS[[#This Row],[Area_2020]]-FORESTS[[#This Row],[Area_1990]]</f>
        <v>0</v>
      </c>
      <c r="O102" s="51">
        <f>ABS(FORESTS[[#This Row],[Area_Delta]])</f>
        <v>0</v>
      </c>
      <c r="P102" s="104">
        <f>FORESTS[[#This Row],[Area_2020_%]]-FORESTS[[#This Row],[Area_1990_%]]</f>
        <v>0</v>
      </c>
      <c r="Q102" s="54" t="b">
        <f>IF(G102&gt;C102, TRUE, FALSE)</f>
        <v>0</v>
      </c>
      <c r="R102" s="51">
        <f>IF(Q102=TRUE,G102-C102,0)</f>
        <v>0</v>
      </c>
      <c r="S102" s="51">
        <f>IF(Q102=TRUE,0,C102-G102)</f>
        <v>0</v>
      </c>
      <c r="T102" s="48">
        <f>IF(J102&lt;I102,1,0)+IF(K102&lt;J102,1,0)+IF(L102&lt;K102,1,0)+IF(M102&lt;L102,1,0)</f>
        <v>0</v>
      </c>
      <c r="U102" s="48">
        <v>42.31</v>
      </c>
      <c r="V102" s="30" t="s">
        <v>247</v>
      </c>
      <c r="W102" s="30" t="s">
        <v>247</v>
      </c>
      <c r="X102" s="38">
        <f>D102-C102</f>
        <v>0</v>
      </c>
      <c r="Y102" s="38">
        <f>E102-D102</f>
        <v>0</v>
      </c>
      <c r="Z102" s="38">
        <f>F102-E102</f>
        <v>0</v>
      </c>
      <c r="AA102" s="38">
        <f>G102-F102</f>
        <v>0</v>
      </c>
      <c r="AB102" s="38">
        <f>FORESTS[[#This Row],[Column7]]+FORESTS[[#This Row],[Column8]]</f>
        <v>0</v>
      </c>
      <c r="AD102" s="63">
        <f>(D102-C102)/10</f>
        <v>0</v>
      </c>
      <c r="AE102" s="63">
        <f>(E102-D102)/10</f>
        <v>0</v>
      </c>
      <c r="AF102" s="63">
        <f>(F102-E102)/5</f>
        <v>0</v>
      </c>
      <c r="AG102" s="63">
        <f>(G102-F102)/5</f>
        <v>0</v>
      </c>
      <c r="AH102" s="28">
        <v>1</v>
      </c>
      <c r="AT102" s="28" t="str">
        <f ca="1"/>
        <v>Blue</v>
      </c>
      <c r="AU102" s="28" t="str">
        <f ca="1"/>
        <v>Red</v>
      </c>
    </row>
    <row r="103" spans="1:47" x14ac:dyDescent="0.2">
      <c r="A103" s="28">
        <v>548</v>
      </c>
      <c r="B103" s="28" t="s">
        <v>180</v>
      </c>
      <c r="C103" s="30">
        <v>442.3</v>
      </c>
      <c r="D103" s="30">
        <v>442.3</v>
      </c>
      <c r="E103" s="30">
        <v>442.3</v>
      </c>
      <c r="F103" s="30">
        <v>442.3</v>
      </c>
      <c r="G103" s="30">
        <v>442.3</v>
      </c>
      <c r="H103" s="30">
        <v>1219</v>
      </c>
      <c r="I103" s="54">
        <f>C103/$H103</f>
        <v>0.36283839212469238</v>
      </c>
      <c r="J103" s="54">
        <f>D103/$H103</f>
        <v>0.36283839212469238</v>
      </c>
      <c r="K103" s="54">
        <f>E103/$H103</f>
        <v>0.36283839212469238</v>
      </c>
      <c r="L103" s="54">
        <f>F103/$H103</f>
        <v>0.36283839212469238</v>
      </c>
      <c r="M103" s="54">
        <f>G103/$H103</f>
        <v>0.36283839212469238</v>
      </c>
      <c r="N103" s="51">
        <f>FORESTS[[#This Row],[Area_2020]]-FORESTS[[#This Row],[Area_1990]]</f>
        <v>0</v>
      </c>
      <c r="O103" s="51">
        <f>ABS(FORESTS[[#This Row],[Area_Delta]])</f>
        <v>0</v>
      </c>
      <c r="P103" s="104">
        <f>FORESTS[[#This Row],[Area_2020_%]]-FORESTS[[#This Row],[Area_1990_%]]</f>
        <v>0</v>
      </c>
      <c r="Q103" s="54" t="b">
        <f>IF(G103&gt;C103, TRUE, FALSE)</f>
        <v>0</v>
      </c>
      <c r="R103" s="51">
        <f>IF(Q103=TRUE,G103-C103,0)</f>
        <v>0</v>
      </c>
      <c r="S103" s="51">
        <f>IF(Q103=TRUE,0,C103-G103)</f>
        <v>0</v>
      </c>
      <c r="T103" s="48">
        <f>IF(J103&lt;I103,1,0)+IF(K103&lt;J103,1,0)+IF(L103&lt;K103,1,0)+IF(M103&lt;L103,1,0)</f>
        <v>0</v>
      </c>
      <c r="U103" s="48">
        <v>36.28</v>
      </c>
      <c r="V103" s="30" t="s">
        <v>247</v>
      </c>
      <c r="W103" s="30" t="s">
        <v>247</v>
      </c>
      <c r="X103" s="38">
        <f>D103-C103</f>
        <v>0</v>
      </c>
      <c r="Y103" s="38">
        <f>E103-D103</f>
        <v>0</v>
      </c>
      <c r="Z103" s="38">
        <f>F103-E103</f>
        <v>0</v>
      </c>
      <c r="AA103" s="38">
        <f>G103-F103</f>
        <v>0</v>
      </c>
      <c r="AB103" s="38">
        <f>FORESTS[[#This Row],[Column7]]+FORESTS[[#This Row],[Column8]]</f>
        <v>0</v>
      </c>
      <c r="AD103" s="63">
        <f>(D103-C103)/10</f>
        <v>0</v>
      </c>
      <c r="AE103" s="63">
        <f>(E103-D103)/10</f>
        <v>0</v>
      </c>
      <c r="AF103" s="63">
        <f>(F103-E103)/5</f>
        <v>0</v>
      </c>
      <c r="AG103" s="63">
        <f>(G103-F103)/5</f>
        <v>0</v>
      </c>
      <c r="AH103" s="28">
        <v>1</v>
      </c>
      <c r="AT103" s="28" t="str">
        <f ca="1"/>
        <v>Blue</v>
      </c>
      <c r="AU103" s="28" t="str">
        <f ca="1"/>
        <v>Green</v>
      </c>
    </row>
    <row r="104" spans="1:47" x14ac:dyDescent="0.2">
      <c r="A104" s="28">
        <v>20</v>
      </c>
      <c r="B104" s="28" t="s">
        <v>3</v>
      </c>
      <c r="C104" s="30">
        <v>16</v>
      </c>
      <c r="D104" s="30">
        <v>16</v>
      </c>
      <c r="E104" s="30">
        <v>16</v>
      </c>
      <c r="F104" s="30">
        <v>16</v>
      </c>
      <c r="G104" s="30">
        <v>16</v>
      </c>
      <c r="H104" s="30">
        <v>47</v>
      </c>
      <c r="I104" s="54">
        <f>C104/$H104</f>
        <v>0.34042553191489361</v>
      </c>
      <c r="J104" s="54">
        <f>D104/$H104</f>
        <v>0.34042553191489361</v>
      </c>
      <c r="K104" s="54">
        <f>E104/$H104</f>
        <v>0.34042553191489361</v>
      </c>
      <c r="L104" s="54">
        <f>F104/$H104</f>
        <v>0.34042553191489361</v>
      </c>
      <c r="M104" s="54">
        <f>G104/$H104</f>
        <v>0.34042553191489361</v>
      </c>
      <c r="N104" s="51">
        <f>FORESTS[[#This Row],[Area_2020]]-FORESTS[[#This Row],[Area_1990]]</f>
        <v>0</v>
      </c>
      <c r="O104" s="51">
        <f>ABS(FORESTS[[#This Row],[Area_Delta]])</f>
        <v>0</v>
      </c>
      <c r="P104" s="104">
        <f>FORESTS[[#This Row],[Area_2020_%]]-FORESTS[[#This Row],[Area_1990_%]]</f>
        <v>0</v>
      </c>
      <c r="Q104" s="54" t="b">
        <f>IF(G104&gt;C104, TRUE, FALSE)</f>
        <v>0</v>
      </c>
      <c r="R104" s="51">
        <f>IF(Q104=TRUE,G104-C104,0)</f>
        <v>0</v>
      </c>
      <c r="S104" s="51">
        <f>IF(Q104=TRUE,0,C104-G104)</f>
        <v>0</v>
      </c>
      <c r="T104" s="48">
        <f>IF(J104&lt;I104,1,0)+IF(K104&lt;J104,1,0)+IF(L104&lt;K104,1,0)+IF(M104&lt;L104,1,0)</f>
        <v>0</v>
      </c>
      <c r="U104" s="48">
        <v>34.04</v>
      </c>
      <c r="V104" s="30" t="s">
        <v>247</v>
      </c>
      <c r="W104" s="30" t="s">
        <v>247</v>
      </c>
      <c r="X104" s="38">
        <f>D104-C104</f>
        <v>0</v>
      </c>
      <c r="Y104" s="38">
        <f>E104-D104</f>
        <v>0</v>
      </c>
      <c r="Z104" s="38">
        <f>F104-E104</f>
        <v>0</v>
      </c>
      <c r="AA104" s="38">
        <f>G104-F104</f>
        <v>0</v>
      </c>
      <c r="AB104" s="38">
        <f>FORESTS[[#This Row],[Column7]]+FORESTS[[#This Row],[Column8]]</f>
        <v>0</v>
      </c>
      <c r="AD104" s="63">
        <f>(D104-C104)/10</f>
        <v>0</v>
      </c>
      <c r="AE104" s="63">
        <f>(E104-D104)/10</f>
        <v>0</v>
      </c>
      <c r="AF104" s="63">
        <f>(F104-E104)/5</f>
        <v>0</v>
      </c>
      <c r="AG104" s="63">
        <f>(G104-F104)/5</f>
        <v>0</v>
      </c>
      <c r="AH104" s="28">
        <v>1</v>
      </c>
      <c r="AT104" s="28" t="str">
        <f ca="1"/>
        <v>Blue</v>
      </c>
      <c r="AU104" s="28" t="str">
        <f ca="1"/>
        <v>Blue</v>
      </c>
    </row>
    <row r="105" spans="1:47" x14ac:dyDescent="0.2">
      <c r="A105" s="28">
        <v>798</v>
      </c>
      <c r="B105" s="28" t="s">
        <v>171</v>
      </c>
      <c r="C105" s="30">
        <v>1</v>
      </c>
      <c r="D105" s="30">
        <v>1</v>
      </c>
      <c r="E105" s="30">
        <v>1</v>
      </c>
      <c r="F105" s="30">
        <v>1</v>
      </c>
      <c r="G105" s="30">
        <v>1</v>
      </c>
      <c r="H105" s="30">
        <v>3</v>
      </c>
      <c r="I105" s="54">
        <f>C105/$H105</f>
        <v>0.33333333333333331</v>
      </c>
      <c r="J105" s="54">
        <f>D105/$H105</f>
        <v>0.33333333333333331</v>
      </c>
      <c r="K105" s="54">
        <f>E105/$H105</f>
        <v>0.33333333333333331</v>
      </c>
      <c r="L105" s="54">
        <f>F105/$H105</f>
        <v>0.33333333333333331</v>
      </c>
      <c r="M105" s="54">
        <f>G105/$H105</f>
        <v>0.33333333333333331</v>
      </c>
      <c r="N105" s="51">
        <f>FORESTS[[#This Row],[Area_2020]]-FORESTS[[#This Row],[Area_1990]]</f>
        <v>0</v>
      </c>
      <c r="O105" s="51">
        <f>ABS(FORESTS[[#This Row],[Area_Delta]])</f>
        <v>0</v>
      </c>
      <c r="P105" s="104">
        <f>FORESTS[[#This Row],[Area_2020_%]]-FORESTS[[#This Row],[Area_1990_%]]</f>
        <v>0</v>
      </c>
      <c r="Q105" s="54" t="b">
        <f>IF(G105&gt;C105, TRUE, FALSE)</f>
        <v>0</v>
      </c>
      <c r="R105" s="51">
        <f>IF(Q105=TRUE,G105-C105,0)</f>
        <v>0</v>
      </c>
      <c r="S105" s="51">
        <f>IF(Q105=TRUE,0,C105-G105)</f>
        <v>0</v>
      </c>
      <c r="T105" s="48">
        <f>IF(J105&lt;I105,1,0)+IF(K105&lt;J105,1,0)+IF(L105&lt;K105,1,0)+IF(M105&lt;L105,1,0)</f>
        <v>0</v>
      </c>
      <c r="U105" s="48">
        <v>33.33</v>
      </c>
      <c r="V105" s="30" t="s">
        <v>247</v>
      </c>
      <c r="W105" s="30">
        <v>0</v>
      </c>
      <c r="X105" s="38">
        <f>D105-C105</f>
        <v>0</v>
      </c>
      <c r="Y105" s="38">
        <f>E105-D105</f>
        <v>0</v>
      </c>
      <c r="Z105" s="38">
        <f>F105-E105</f>
        <v>0</v>
      </c>
      <c r="AA105" s="38">
        <f>G105-F105</f>
        <v>0</v>
      </c>
      <c r="AB105" s="38">
        <f>FORESTS[[#This Row],[Column7]]+FORESTS[[#This Row],[Column8]]</f>
        <v>0</v>
      </c>
      <c r="AD105" s="63">
        <f>(D105-C105)/10</f>
        <v>0</v>
      </c>
      <c r="AE105" s="63">
        <f>(E105-D105)/10</f>
        <v>0</v>
      </c>
      <c r="AF105" s="63">
        <f>(F105-E105)/5</f>
        <v>0</v>
      </c>
      <c r="AG105" s="63">
        <f>(G105-F105)/5</f>
        <v>0</v>
      </c>
      <c r="AH105" s="28">
        <v>1</v>
      </c>
      <c r="AT105" s="28" t="str">
        <f ca="1"/>
        <v>Red</v>
      </c>
      <c r="AU105" s="28" t="str">
        <f ca="1"/>
        <v>Red</v>
      </c>
    </row>
    <row r="106" spans="1:47" x14ac:dyDescent="0.2">
      <c r="A106" s="28">
        <v>663</v>
      </c>
      <c r="B106" s="28" t="s">
        <v>213</v>
      </c>
      <c r="C106" s="30">
        <v>1.24</v>
      </c>
      <c r="D106" s="30">
        <v>1.24</v>
      </c>
      <c r="E106" s="30">
        <v>1.24</v>
      </c>
      <c r="F106" s="30">
        <v>1.24</v>
      </c>
      <c r="G106" s="30">
        <v>1.24</v>
      </c>
      <c r="H106" s="30">
        <v>5</v>
      </c>
      <c r="I106" s="54">
        <f>C106/$H106</f>
        <v>0.248</v>
      </c>
      <c r="J106" s="54">
        <f>D106/$H106</f>
        <v>0.248</v>
      </c>
      <c r="K106" s="54">
        <f>E106/$H106</f>
        <v>0.248</v>
      </c>
      <c r="L106" s="54">
        <f>F106/$H106</f>
        <v>0.248</v>
      </c>
      <c r="M106" s="54">
        <f>G106/$H106</f>
        <v>0.248</v>
      </c>
      <c r="N106" s="51">
        <f>FORESTS[[#This Row],[Area_2020]]-FORESTS[[#This Row],[Area_1990]]</f>
        <v>0</v>
      </c>
      <c r="O106" s="51">
        <f>ABS(FORESTS[[#This Row],[Area_Delta]])</f>
        <v>0</v>
      </c>
      <c r="P106" s="104">
        <f>FORESTS[[#This Row],[Area_2020_%]]-FORESTS[[#This Row],[Area_1990_%]]</f>
        <v>0</v>
      </c>
      <c r="Q106" s="54" t="b">
        <f>IF(G106&gt;C106, TRUE, FALSE)</f>
        <v>0</v>
      </c>
      <c r="R106" s="51">
        <f>IF(Q106=TRUE,G106-C106,0)</f>
        <v>0</v>
      </c>
      <c r="S106" s="51">
        <f>IF(Q106=TRUE,0,C106-G106)</f>
        <v>0</v>
      </c>
      <c r="T106" s="48">
        <f>IF(J106&lt;I106,1,0)+IF(K106&lt;J106,1,0)+IF(L106&lt;K106,1,0)+IF(M106&lt;L106,1,0)</f>
        <v>0</v>
      </c>
      <c r="U106" s="48">
        <v>24.8</v>
      </c>
      <c r="V106" s="30" t="s">
        <v>247</v>
      </c>
      <c r="W106" s="30" t="s">
        <v>247</v>
      </c>
      <c r="X106" s="38">
        <f>D106-C106</f>
        <v>0</v>
      </c>
      <c r="Y106" s="38">
        <f>E106-D106</f>
        <v>0</v>
      </c>
      <c r="Z106" s="38">
        <f>F106-E106</f>
        <v>0</v>
      </c>
      <c r="AA106" s="38">
        <f>G106-F106</f>
        <v>0</v>
      </c>
      <c r="AB106" s="38">
        <f>FORESTS[[#This Row],[Column7]]+FORESTS[[#This Row],[Column8]]</f>
        <v>0</v>
      </c>
      <c r="AD106" s="63">
        <f>(D106-C106)/10</f>
        <v>0</v>
      </c>
      <c r="AE106" s="63">
        <f>(E106-D106)/10</f>
        <v>0</v>
      </c>
      <c r="AF106" s="63">
        <f>(F106-E106)/5</f>
        <v>0</v>
      </c>
      <c r="AG106" s="63">
        <f>(G106-F106)/5</f>
        <v>0</v>
      </c>
      <c r="AH106" s="28">
        <v>1</v>
      </c>
    </row>
    <row r="107" spans="1:47" x14ac:dyDescent="0.2">
      <c r="A107" s="28">
        <v>60</v>
      </c>
      <c r="B107" s="28" t="s">
        <v>218</v>
      </c>
      <c r="C107" s="30">
        <v>1</v>
      </c>
      <c r="D107" s="30">
        <v>1</v>
      </c>
      <c r="E107" s="30">
        <v>1</v>
      </c>
      <c r="F107" s="30">
        <v>1</v>
      </c>
      <c r="G107" s="30">
        <v>1</v>
      </c>
      <c r="H107" s="30">
        <v>5</v>
      </c>
      <c r="I107" s="54">
        <f>C107/$H107</f>
        <v>0.2</v>
      </c>
      <c r="J107" s="54">
        <f>D107/$H107</f>
        <v>0.2</v>
      </c>
      <c r="K107" s="54">
        <f>E107/$H107</f>
        <v>0.2</v>
      </c>
      <c r="L107" s="54">
        <f>F107/$H107</f>
        <v>0.2</v>
      </c>
      <c r="M107" s="54">
        <f>G107/$H107</f>
        <v>0.2</v>
      </c>
      <c r="N107" s="51">
        <f>FORESTS[[#This Row],[Area_2020]]-FORESTS[[#This Row],[Area_1990]]</f>
        <v>0</v>
      </c>
      <c r="O107" s="51">
        <f>ABS(FORESTS[[#This Row],[Area_Delta]])</f>
        <v>0</v>
      </c>
      <c r="P107" s="104">
        <f>FORESTS[[#This Row],[Area_2020_%]]-FORESTS[[#This Row],[Area_1990_%]]</f>
        <v>0</v>
      </c>
      <c r="Q107" s="54" t="b">
        <f>IF(G107&gt;C107, TRUE, FALSE)</f>
        <v>0</v>
      </c>
      <c r="R107" s="51">
        <f>IF(Q107=TRUE,G107-C107,0)</f>
        <v>0</v>
      </c>
      <c r="S107" s="51">
        <f>IF(Q107=TRUE,0,C107-G107)</f>
        <v>0</v>
      </c>
      <c r="T107" s="48">
        <f>IF(J107&lt;I107,1,0)+IF(K107&lt;J107,1,0)+IF(L107&lt;K107,1,0)+IF(M107&lt;L107,1,0)</f>
        <v>0</v>
      </c>
      <c r="U107" s="48">
        <v>20</v>
      </c>
      <c r="V107" s="30" t="s">
        <v>247</v>
      </c>
      <c r="W107" s="30" t="s">
        <v>247</v>
      </c>
      <c r="X107" s="38">
        <f>D107-C107</f>
        <v>0</v>
      </c>
      <c r="Y107" s="38">
        <f>E107-D107</f>
        <v>0</v>
      </c>
      <c r="Z107" s="38">
        <f>F107-E107</f>
        <v>0</v>
      </c>
      <c r="AA107" s="38">
        <f>G107-F107</f>
        <v>0</v>
      </c>
      <c r="AB107" s="38">
        <f>FORESTS[[#This Row],[Column7]]+FORESTS[[#This Row],[Column8]]</f>
        <v>0</v>
      </c>
      <c r="AD107" s="63">
        <f>(D107-C107)/10</f>
        <v>0</v>
      </c>
      <c r="AE107" s="63">
        <f>(E107-D107)/10</f>
        <v>0</v>
      </c>
      <c r="AF107" s="63">
        <f>(F107-E107)/5</f>
        <v>0</v>
      </c>
      <c r="AG107" s="63">
        <f>(G107-F107)/5</f>
        <v>0</v>
      </c>
    </row>
    <row r="108" spans="1:47" x14ac:dyDescent="0.2">
      <c r="A108" s="28">
        <v>674</v>
      </c>
      <c r="B108" s="28" t="s">
        <v>237</v>
      </c>
      <c r="C108" s="30">
        <v>1</v>
      </c>
      <c r="D108" s="30">
        <v>1</v>
      </c>
      <c r="E108" s="30">
        <v>1</v>
      </c>
      <c r="F108" s="30">
        <v>1</v>
      </c>
      <c r="G108" s="30">
        <v>1</v>
      </c>
      <c r="H108" s="30">
        <v>6</v>
      </c>
      <c r="I108" s="54">
        <f>C108/$H108</f>
        <v>0.16666666666666666</v>
      </c>
      <c r="J108" s="54">
        <f>D108/$H108</f>
        <v>0.16666666666666666</v>
      </c>
      <c r="K108" s="54">
        <f>E108/$H108</f>
        <v>0.16666666666666666</v>
      </c>
      <c r="L108" s="54">
        <f>F108/$H108</f>
        <v>0.16666666666666666</v>
      </c>
      <c r="M108" s="54">
        <f>G108/$H108</f>
        <v>0.16666666666666666</v>
      </c>
      <c r="N108" s="51">
        <f>FORESTS[[#This Row],[Area_2020]]-FORESTS[[#This Row],[Area_1990]]</f>
        <v>0</v>
      </c>
      <c r="O108" s="51">
        <f>ABS(FORESTS[[#This Row],[Area_Delta]])</f>
        <v>0</v>
      </c>
      <c r="P108" s="104">
        <f>FORESTS[[#This Row],[Area_2020_%]]-FORESTS[[#This Row],[Area_1990_%]]</f>
        <v>0</v>
      </c>
      <c r="Q108" s="54" t="b">
        <f>IF(G108&gt;C108, TRUE, FALSE)</f>
        <v>0</v>
      </c>
      <c r="R108" s="51">
        <f>IF(Q108=TRUE,G108-C108,0)</f>
        <v>0</v>
      </c>
      <c r="S108" s="51">
        <f>IF(Q108=TRUE,0,C108-G108)</f>
        <v>0</v>
      </c>
      <c r="T108" s="48">
        <f>IF(J108&lt;I108,1,0)+IF(K108&lt;J108,1,0)+IF(L108&lt;K108,1,0)+IF(M108&lt;L108,1,0)</f>
        <v>0</v>
      </c>
      <c r="U108" s="48">
        <v>16.670000000000002</v>
      </c>
      <c r="V108" s="30">
        <v>0</v>
      </c>
      <c r="W108" s="30" t="s">
        <v>247</v>
      </c>
      <c r="X108" s="38">
        <f>D108-C108</f>
        <v>0</v>
      </c>
      <c r="Y108" s="38">
        <f>E108-D108</f>
        <v>0</v>
      </c>
      <c r="Z108" s="38">
        <f>F108-E108</f>
        <v>0</v>
      </c>
      <c r="AA108" s="38">
        <f>G108-F108</f>
        <v>0</v>
      </c>
      <c r="AB108" s="38">
        <f>FORESTS[[#This Row],[Column7]]+FORESTS[[#This Row],[Column8]]</f>
        <v>0</v>
      </c>
      <c r="AD108" s="63">
        <f>(D108-C108)/10</f>
        <v>0</v>
      </c>
      <c r="AE108" s="63">
        <f>(E108-D108)/10</f>
        <v>0</v>
      </c>
      <c r="AF108" s="63">
        <f>(F108-E108)/5</f>
        <v>0</v>
      </c>
      <c r="AG108" s="63">
        <f>(G108-F108)/5</f>
        <v>0</v>
      </c>
      <c r="AH108" s="28">
        <v>1</v>
      </c>
    </row>
    <row r="109" spans="1:47" x14ac:dyDescent="0.2">
      <c r="A109" s="28">
        <v>52</v>
      </c>
      <c r="B109" s="28" t="s">
        <v>12</v>
      </c>
      <c r="C109" s="30">
        <v>6.3</v>
      </c>
      <c r="D109" s="30">
        <v>6.3</v>
      </c>
      <c r="E109" s="30">
        <v>6.3</v>
      </c>
      <c r="F109" s="30">
        <v>6.3</v>
      </c>
      <c r="G109" s="30">
        <v>6.3</v>
      </c>
      <c r="H109" s="30">
        <v>43</v>
      </c>
      <c r="I109" s="54">
        <f>C109/$H109</f>
        <v>0.14651162790697675</v>
      </c>
      <c r="J109" s="54">
        <f>D109/$H109</f>
        <v>0.14651162790697675</v>
      </c>
      <c r="K109" s="54">
        <f>E109/$H109</f>
        <v>0.14651162790697675</v>
      </c>
      <c r="L109" s="54">
        <f>F109/$H109</f>
        <v>0.14651162790697675</v>
      </c>
      <c r="M109" s="54">
        <f>G109/$H109</f>
        <v>0.14651162790697675</v>
      </c>
      <c r="N109" s="51">
        <f>FORESTS[[#This Row],[Area_2020]]-FORESTS[[#This Row],[Area_1990]]</f>
        <v>0</v>
      </c>
      <c r="O109" s="51">
        <f>ABS(FORESTS[[#This Row],[Area_Delta]])</f>
        <v>0</v>
      </c>
      <c r="P109" s="104">
        <f>FORESTS[[#This Row],[Area_2020_%]]-FORESTS[[#This Row],[Area_1990_%]]</f>
        <v>0</v>
      </c>
      <c r="Q109" s="54" t="b">
        <f>IF(G109&gt;C109, TRUE, FALSE)</f>
        <v>0</v>
      </c>
      <c r="R109" s="51">
        <f>IF(Q109=TRUE,G109-C109,0)</f>
        <v>0</v>
      </c>
      <c r="S109" s="51">
        <f>IF(Q109=TRUE,0,C109-G109)</f>
        <v>0</v>
      </c>
      <c r="T109" s="48">
        <f>IF(J109&lt;I109,1,0)+IF(K109&lt;J109,1,0)+IF(L109&lt;K109,1,0)+IF(M109&lt;L109,1,0)</f>
        <v>0</v>
      </c>
      <c r="U109" s="48">
        <v>14.65</v>
      </c>
      <c r="V109" s="30" t="s">
        <v>247</v>
      </c>
      <c r="W109" s="30" t="s">
        <v>247</v>
      </c>
      <c r="X109" s="38">
        <f>D109-C109</f>
        <v>0</v>
      </c>
      <c r="Y109" s="38">
        <f>E109-D109</f>
        <v>0</v>
      </c>
      <c r="Z109" s="38">
        <f>F109-E109</f>
        <v>0</v>
      </c>
      <c r="AA109" s="38">
        <f>G109-F109</f>
        <v>0</v>
      </c>
      <c r="AB109" s="38">
        <f>FORESTS[[#This Row],[Column7]]+FORESTS[[#This Row],[Column8]]</f>
        <v>0</v>
      </c>
      <c r="AD109" s="63">
        <f>(D109-C109)/10</f>
        <v>0</v>
      </c>
      <c r="AE109" s="63">
        <f>(E109-D109)/10</f>
        <v>0</v>
      </c>
      <c r="AF109" s="63">
        <f>(F109-E109)/5</f>
        <v>0</v>
      </c>
      <c r="AG109" s="63">
        <f>(G109-F109)/5</f>
        <v>0</v>
      </c>
      <c r="AH109" s="28">
        <v>1</v>
      </c>
    </row>
    <row r="110" spans="1:47" x14ac:dyDescent="0.2">
      <c r="A110" s="28">
        <v>776</v>
      </c>
      <c r="B110" s="28" t="s">
        <v>167</v>
      </c>
      <c r="C110" s="30">
        <v>8.9499999999999993</v>
      </c>
      <c r="D110" s="30">
        <v>8.9499999999999993</v>
      </c>
      <c r="E110" s="30">
        <v>8.9499999999999993</v>
      </c>
      <c r="F110" s="30">
        <v>8.9499999999999993</v>
      </c>
      <c r="G110" s="30">
        <v>8.9499999999999993</v>
      </c>
      <c r="H110" s="30">
        <v>72</v>
      </c>
      <c r="I110" s="54">
        <f>C110/$H110</f>
        <v>0.12430555555555554</v>
      </c>
      <c r="J110" s="54">
        <f>D110/$H110</f>
        <v>0.12430555555555554</v>
      </c>
      <c r="K110" s="54">
        <f>E110/$H110</f>
        <v>0.12430555555555554</v>
      </c>
      <c r="L110" s="54">
        <f>F110/$H110</f>
        <v>0.12430555555555554</v>
      </c>
      <c r="M110" s="54">
        <f>G110/$H110</f>
        <v>0.12430555555555554</v>
      </c>
      <c r="N110" s="51">
        <f>FORESTS[[#This Row],[Area_2020]]-FORESTS[[#This Row],[Area_1990]]</f>
        <v>0</v>
      </c>
      <c r="O110" s="51">
        <f>ABS(FORESTS[[#This Row],[Area_Delta]])</f>
        <v>0</v>
      </c>
      <c r="P110" s="104">
        <f>FORESTS[[#This Row],[Area_2020_%]]-FORESTS[[#This Row],[Area_1990_%]]</f>
        <v>0</v>
      </c>
      <c r="Q110" s="54" t="b">
        <f>IF(G110&gt;C110, TRUE, FALSE)</f>
        <v>0</v>
      </c>
      <c r="R110" s="51">
        <f>IF(Q110=TRUE,G110-C110,0)</f>
        <v>0</v>
      </c>
      <c r="S110" s="51">
        <f>IF(Q110=TRUE,0,C110-G110)</f>
        <v>0</v>
      </c>
      <c r="T110" s="48">
        <f>IF(J110&lt;I110,1,0)+IF(K110&lt;J110,1,0)+IF(L110&lt;K110,1,0)+IF(M110&lt;L110,1,0)</f>
        <v>0</v>
      </c>
      <c r="U110" s="48">
        <v>12.43</v>
      </c>
      <c r="V110" s="30" t="s">
        <v>247</v>
      </c>
      <c r="W110" s="30">
        <v>0</v>
      </c>
      <c r="X110" s="38">
        <f>D110-C110</f>
        <v>0</v>
      </c>
      <c r="Y110" s="38">
        <f>E110-D110</f>
        <v>0</v>
      </c>
      <c r="Z110" s="38">
        <f>F110-E110</f>
        <v>0</v>
      </c>
      <c r="AA110" s="38">
        <f>G110-F110</f>
        <v>0</v>
      </c>
      <c r="AB110" s="38">
        <f>FORESTS[[#This Row],[Column7]]+FORESTS[[#This Row],[Column8]]</f>
        <v>0</v>
      </c>
      <c r="AD110" s="63">
        <f>(D110-C110)/10</f>
        <v>0</v>
      </c>
      <c r="AE110" s="63">
        <f>(E110-D110)/10</f>
        <v>0</v>
      </c>
      <c r="AF110" s="63">
        <f>(F110-E110)/5</f>
        <v>0</v>
      </c>
      <c r="AG110" s="63">
        <f>(G110-F110)/5</f>
        <v>0</v>
      </c>
    </row>
    <row r="111" spans="1:47" x14ac:dyDescent="0.2">
      <c r="A111" s="28">
        <v>574</v>
      </c>
      <c r="B111" s="28" t="s">
        <v>239</v>
      </c>
      <c r="C111" s="30">
        <v>0.49</v>
      </c>
      <c r="D111" s="30">
        <v>0.49</v>
      </c>
      <c r="E111" s="30">
        <v>0.49</v>
      </c>
      <c r="F111" s="30">
        <v>0.49</v>
      </c>
      <c r="G111" s="30">
        <v>0.49</v>
      </c>
      <c r="H111" s="30">
        <v>4</v>
      </c>
      <c r="I111" s="54">
        <f>C111/$H111</f>
        <v>0.1225</v>
      </c>
      <c r="J111" s="54">
        <f>D111/$H111</f>
        <v>0.1225</v>
      </c>
      <c r="K111" s="54">
        <f>E111/$H111</f>
        <v>0.1225</v>
      </c>
      <c r="L111" s="54">
        <f>F111/$H111</f>
        <v>0.1225</v>
      </c>
      <c r="M111" s="54">
        <f>G111/$H111</f>
        <v>0.1225</v>
      </c>
      <c r="N111" s="51">
        <f>FORESTS[[#This Row],[Area_2020]]-FORESTS[[#This Row],[Area_1990]]</f>
        <v>0</v>
      </c>
      <c r="O111" s="51">
        <f>ABS(FORESTS[[#This Row],[Area_Delta]])</f>
        <v>0</v>
      </c>
      <c r="P111" s="104">
        <f>FORESTS[[#This Row],[Area_2020_%]]-FORESTS[[#This Row],[Area_1990_%]]</f>
        <v>0</v>
      </c>
      <c r="Q111" s="54" t="b">
        <f>IF(G111&gt;C111, TRUE, FALSE)</f>
        <v>0</v>
      </c>
      <c r="R111" s="51">
        <f>IF(Q111=TRUE,G111-C111,0)</f>
        <v>0</v>
      </c>
      <c r="S111" s="51">
        <f>IF(Q111=TRUE,0,C111-G111)</f>
        <v>0</v>
      </c>
      <c r="T111" s="48">
        <f>IF(J111&lt;I111,1,0)+IF(K111&lt;J111,1,0)+IF(L111&lt;K111,1,0)+IF(M111&lt;L111,1,0)</f>
        <v>0</v>
      </c>
      <c r="U111" s="48">
        <v>12.25</v>
      </c>
      <c r="V111" s="30" t="s">
        <v>247</v>
      </c>
      <c r="W111" s="30" t="s">
        <v>247</v>
      </c>
      <c r="X111" s="38">
        <f>D111-C111</f>
        <v>0</v>
      </c>
      <c r="Y111" s="38">
        <f>E111-D111</f>
        <v>0</v>
      </c>
      <c r="Z111" s="38">
        <f>F111-E111</f>
        <v>0</v>
      </c>
      <c r="AA111" s="38">
        <f>G111-F111</f>
        <v>0</v>
      </c>
      <c r="AB111" s="38">
        <f>FORESTS[[#This Row],[Column7]]+FORESTS[[#This Row],[Column8]]</f>
        <v>0</v>
      </c>
      <c r="AD111" s="63">
        <f>(D111-C111)/10</f>
        <v>0</v>
      </c>
      <c r="AE111" s="63">
        <f>(E111-D111)/10</f>
        <v>0</v>
      </c>
      <c r="AF111" s="63">
        <f>(F111-E111)/5</f>
        <v>0</v>
      </c>
      <c r="AG111" s="63">
        <f>(G111-F111)/5</f>
        <v>0</v>
      </c>
      <c r="AH111" s="28">
        <v>1</v>
      </c>
    </row>
    <row r="112" spans="1:47" x14ac:dyDescent="0.2">
      <c r="A112" s="28">
        <v>728</v>
      </c>
      <c r="B112" s="28" t="s">
        <v>154</v>
      </c>
      <c r="C112" s="38">
        <v>7157</v>
      </c>
      <c r="D112" s="38">
        <v>7157</v>
      </c>
      <c r="E112" s="38">
        <v>7157</v>
      </c>
      <c r="F112" s="38">
        <v>7157</v>
      </c>
      <c r="G112" s="38">
        <v>7157</v>
      </c>
      <c r="H112" s="38">
        <v>63173</v>
      </c>
      <c r="I112" s="54">
        <f>C112/$H112</f>
        <v>0.11329207097969068</v>
      </c>
      <c r="J112" s="54">
        <f>D112/$H112</f>
        <v>0.11329207097969068</v>
      </c>
      <c r="K112" s="54">
        <f>E112/$H112</f>
        <v>0.11329207097969068</v>
      </c>
      <c r="L112" s="54">
        <f>F112/$H112</f>
        <v>0.11329207097969068</v>
      </c>
      <c r="M112" s="54">
        <f>G112/$H112</f>
        <v>0.11329207097969068</v>
      </c>
      <c r="N112" s="51">
        <f>FORESTS[[#This Row],[Area_2020]]-FORESTS[[#This Row],[Area_1990]]</f>
        <v>0</v>
      </c>
      <c r="O112" s="51">
        <f>ABS(FORESTS[[#This Row],[Area_Delta]])</f>
        <v>0</v>
      </c>
      <c r="P112" s="104">
        <f>FORESTS[[#This Row],[Area_2020_%]]-FORESTS[[#This Row],[Area_1990_%]]</f>
        <v>0</v>
      </c>
      <c r="Q112" s="54" t="b">
        <f>IF(G112&gt;C112, TRUE, FALSE)</f>
        <v>0</v>
      </c>
      <c r="R112" s="51">
        <f>IF(Q112=TRUE,G112-C112,0)</f>
        <v>0</v>
      </c>
      <c r="S112" s="51">
        <f>IF(Q112=TRUE,0,C112-G112)</f>
        <v>0</v>
      </c>
      <c r="T112" s="48">
        <f>IF(J112&lt;I112,1,0)+IF(K112&lt;J112,1,0)+IF(L112&lt;K112,1,0)+IF(M112&lt;L112,1,0)</f>
        <v>0</v>
      </c>
      <c r="U112" s="43">
        <v>11.33</v>
      </c>
      <c r="V112" s="30" t="s">
        <v>247</v>
      </c>
      <c r="W112" s="38" t="s">
        <v>247</v>
      </c>
      <c r="X112" s="38">
        <f>D112-C112</f>
        <v>0</v>
      </c>
      <c r="Y112" s="38">
        <f>E112-D112</f>
        <v>0</v>
      </c>
      <c r="Z112" s="38">
        <f>F112-E112</f>
        <v>0</v>
      </c>
      <c r="AA112" s="38">
        <f>G112-F112</f>
        <v>0</v>
      </c>
      <c r="AB112" s="38">
        <f>FORESTS[[#This Row],[Column7]]+FORESTS[[#This Row],[Column8]]</f>
        <v>0</v>
      </c>
      <c r="AD112" s="63">
        <f>(D112-C112)/10</f>
        <v>0</v>
      </c>
      <c r="AE112" s="63">
        <f>(E112-D112)/10</f>
        <v>0</v>
      </c>
      <c r="AF112" s="63">
        <f>(F112-E112)/5</f>
        <v>0</v>
      </c>
      <c r="AG112" s="63">
        <f>(G112-F112)/5</f>
        <v>0</v>
      </c>
    </row>
    <row r="113" spans="1:34" x14ac:dyDescent="0.2">
      <c r="A113" s="28">
        <v>796</v>
      </c>
      <c r="B113" s="28" t="s">
        <v>215</v>
      </c>
      <c r="C113" s="30">
        <v>10.52</v>
      </c>
      <c r="D113" s="30">
        <v>10.52</v>
      </c>
      <c r="E113" s="30">
        <v>10.52</v>
      </c>
      <c r="F113" s="30">
        <v>10.52</v>
      </c>
      <c r="G113" s="30">
        <v>10.52</v>
      </c>
      <c r="H113" s="30">
        <v>95</v>
      </c>
      <c r="I113" s="54">
        <f>C113/$H113</f>
        <v>0.11073684210526315</v>
      </c>
      <c r="J113" s="54">
        <f>D113/$H113</f>
        <v>0.11073684210526315</v>
      </c>
      <c r="K113" s="54">
        <f>E113/$H113</f>
        <v>0.11073684210526315</v>
      </c>
      <c r="L113" s="54">
        <f>F113/$H113</f>
        <v>0.11073684210526315</v>
      </c>
      <c r="M113" s="54">
        <f>G113/$H113</f>
        <v>0.11073684210526315</v>
      </c>
      <c r="N113" s="51">
        <f>FORESTS[[#This Row],[Area_2020]]-FORESTS[[#This Row],[Area_1990]]</f>
        <v>0</v>
      </c>
      <c r="O113" s="51">
        <f>ABS(FORESTS[[#This Row],[Area_Delta]])</f>
        <v>0</v>
      </c>
      <c r="P113" s="104">
        <f>FORESTS[[#This Row],[Area_2020_%]]-FORESTS[[#This Row],[Area_1990_%]]</f>
        <v>0</v>
      </c>
      <c r="Q113" s="54" t="b">
        <f>IF(G113&gt;C113, TRUE, FALSE)</f>
        <v>0</v>
      </c>
      <c r="R113" s="51">
        <f>IF(Q113=TRUE,G113-C113,0)</f>
        <v>0</v>
      </c>
      <c r="S113" s="51">
        <f>IF(Q113=TRUE,0,C113-G113)</f>
        <v>0</v>
      </c>
      <c r="T113" s="48">
        <f>IF(J113&lt;I113,1,0)+IF(K113&lt;J113,1,0)+IF(L113&lt;K113,1,0)+IF(M113&lt;L113,1,0)</f>
        <v>0</v>
      </c>
      <c r="U113" s="48">
        <v>11.07</v>
      </c>
      <c r="V113" s="30" t="s">
        <v>247</v>
      </c>
      <c r="W113" s="30">
        <v>0</v>
      </c>
      <c r="X113" s="38">
        <f>D113-C113</f>
        <v>0</v>
      </c>
      <c r="Y113" s="38">
        <f>E113-D113</f>
        <v>0</v>
      </c>
      <c r="Z113" s="38">
        <f>F113-E113</f>
        <v>0</v>
      </c>
      <c r="AA113" s="38">
        <f>G113-F113</f>
        <v>0</v>
      </c>
      <c r="AB113" s="38">
        <f>FORESTS[[#This Row],[Column7]]+FORESTS[[#This Row],[Column8]]</f>
        <v>0</v>
      </c>
      <c r="AD113" s="63">
        <f>(D113-C113)/10</f>
        <v>0</v>
      </c>
      <c r="AE113" s="63">
        <f>(E113-D113)/10</f>
        <v>0</v>
      </c>
      <c r="AF113" s="63">
        <f>(F113-E113)/5</f>
        <v>0</v>
      </c>
      <c r="AG113" s="63">
        <f>(G113-F113)/5</f>
        <v>0</v>
      </c>
    </row>
    <row r="114" spans="1:34" x14ac:dyDescent="0.2">
      <c r="A114" s="28">
        <v>44</v>
      </c>
      <c r="B114" s="28" t="s">
        <v>10</v>
      </c>
      <c r="C114" s="30">
        <v>509.86</v>
      </c>
      <c r="D114" s="30">
        <v>509.86</v>
      </c>
      <c r="E114" s="30">
        <v>509.86</v>
      </c>
      <c r="F114" s="30">
        <v>509.86</v>
      </c>
      <c r="G114" s="30">
        <v>509.86</v>
      </c>
      <c r="H114" s="30">
        <v>1001</v>
      </c>
      <c r="I114" s="54">
        <f>C114/$H114</f>
        <v>0.50935064935064933</v>
      </c>
      <c r="J114" s="54">
        <f>D114/$H114</f>
        <v>0.50935064935064933</v>
      </c>
      <c r="K114" s="54">
        <f>E114/$H114</f>
        <v>0.50935064935064933</v>
      </c>
      <c r="L114" s="54">
        <f>F114/$H114</f>
        <v>0.50935064935064933</v>
      </c>
      <c r="M114" s="54">
        <f>G114/$H114</f>
        <v>0.50935064935064933</v>
      </c>
      <c r="N114" s="51">
        <f>FORESTS[[#This Row],[Area_2020]]-FORESTS[[#This Row],[Area_1990]]</f>
        <v>0</v>
      </c>
      <c r="O114" s="51">
        <f>ABS(FORESTS[[#This Row],[Area_Delta]])</f>
        <v>0</v>
      </c>
      <c r="P114" s="104">
        <f>FORESTS[[#This Row],[Area_2020_%]]-FORESTS[[#This Row],[Area_1990_%]]</f>
        <v>0</v>
      </c>
      <c r="Q114" s="54" t="b">
        <f>IF(G114&gt;C114, TRUE, FALSE)</f>
        <v>0</v>
      </c>
      <c r="R114" s="51">
        <f>IF(Q114=TRUE,G114-C114,0)</f>
        <v>0</v>
      </c>
      <c r="S114" s="51">
        <f>IF(Q114=TRUE,0,C114-G114)</f>
        <v>0</v>
      </c>
      <c r="T114" s="48">
        <f>IF(J114&lt;I114,1,0)+IF(K114&lt;J114,1,0)+IF(L114&lt;K114,1,0)+IF(M114&lt;L114,1,0)</f>
        <v>0</v>
      </c>
      <c r="U114" s="48">
        <v>50.94</v>
      </c>
      <c r="V114" s="30" t="s">
        <v>247</v>
      </c>
      <c r="W114" s="30">
        <v>0.28000000000000003</v>
      </c>
      <c r="X114" s="38">
        <f>D114-C114</f>
        <v>0</v>
      </c>
      <c r="Y114" s="38">
        <f>E114-D114</f>
        <v>0</v>
      </c>
      <c r="Z114" s="38">
        <f>F114-E114</f>
        <v>0</v>
      </c>
      <c r="AA114" s="38">
        <f>G114-F114</f>
        <v>0</v>
      </c>
      <c r="AB114" s="38">
        <f>FORESTS[[#This Row],[Column7]]+FORESTS[[#This Row],[Column8]]</f>
        <v>0</v>
      </c>
      <c r="AD114" s="63">
        <f>(D114-C114)/10</f>
        <v>0</v>
      </c>
      <c r="AE114" s="63">
        <f>(E114-D114)/10</f>
        <v>0</v>
      </c>
      <c r="AF114" s="63">
        <f>(F114-E114)/5</f>
        <v>0</v>
      </c>
      <c r="AG114" s="63">
        <f>(G114-F114)/5</f>
        <v>0</v>
      </c>
    </row>
    <row r="115" spans="1:34" x14ac:dyDescent="0.2">
      <c r="A115" s="28">
        <v>308</v>
      </c>
      <c r="B115" s="28" t="s">
        <v>65</v>
      </c>
      <c r="C115" s="30">
        <v>17.7</v>
      </c>
      <c r="D115" s="30">
        <v>17.7</v>
      </c>
      <c r="E115" s="30">
        <v>17.7</v>
      </c>
      <c r="F115" s="30">
        <v>17.7</v>
      </c>
      <c r="G115" s="30">
        <v>17.7</v>
      </c>
      <c r="H115" s="30">
        <v>34</v>
      </c>
      <c r="I115" s="54">
        <f>C115/$H115</f>
        <v>0.52058823529411757</v>
      </c>
      <c r="J115" s="54">
        <f>D115/$H115</f>
        <v>0.52058823529411757</v>
      </c>
      <c r="K115" s="54">
        <f>E115/$H115</f>
        <v>0.52058823529411757</v>
      </c>
      <c r="L115" s="54">
        <f>F115/$H115</f>
        <v>0.52058823529411757</v>
      </c>
      <c r="M115" s="54">
        <f>G115/$H115</f>
        <v>0.52058823529411757</v>
      </c>
      <c r="N115" s="51">
        <f>FORESTS[[#This Row],[Area_2020]]-FORESTS[[#This Row],[Area_1990]]</f>
        <v>0</v>
      </c>
      <c r="O115" s="51">
        <f>ABS(FORESTS[[#This Row],[Area_Delta]])</f>
        <v>0</v>
      </c>
      <c r="P115" s="104">
        <f>FORESTS[[#This Row],[Area_2020_%]]-FORESTS[[#This Row],[Area_1990_%]]</f>
        <v>0</v>
      </c>
      <c r="Q115" s="54" t="b">
        <f>IF(G115&gt;C115, TRUE, FALSE)</f>
        <v>0</v>
      </c>
      <c r="R115" s="51">
        <f>IF(Q115=TRUE,G115-C115,0)</f>
        <v>0</v>
      </c>
      <c r="S115" s="51">
        <f>IF(Q115=TRUE,0,C115-G115)</f>
        <v>0</v>
      </c>
      <c r="T115" s="48">
        <f>IF(J115&lt;I115,1,0)+IF(K115&lt;J115,1,0)+IF(L115&lt;K115,1,0)+IF(M115&lt;L115,1,0)</f>
        <v>0</v>
      </c>
      <c r="U115" s="48">
        <v>52.06</v>
      </c>
      <c r="V115" s="30" t="s">
        <v>247</v>
      </c>
      <c r="W115" s="30">
        <v>0</v>
      </c>
      <c r="X115" s="38">
        <f>D115-C115</f>
        <v>0</v>
      </c>
      <c r="Y115" s="38">
        <f>E115-D115</f>
        <v>0</v>
      </c>
      <c r="Z115" s="38">
        <f>F115-E115</f>
        <v>0</v>
      </c>
      <c r="AA115" s="38">
        <f>G115-F115</f>
        <v>0</v>
      </c>
      <c r="AB115" s="38">
        <f>FORESTS[[#This Row],[Column7]]+FORESTS[[#This Row],[Column8]]</f>
        <v>0</v>
      </c>
      <c r="AD115" s="63">
        <f>(D115-C115)/10</f>
        <v>0</v>
      </c>
      <c r="AE115" s="63">
        <f>(E115-D115)/10</f>
        <v>0</v>
      </c>
      <c r="AF115" s="63">
        <f>(F115-E115)/5</f>
        <v>0</v>
      </c>
      <c r="AG115" s="63">
        <f>(G115-F115)/5</f>
        <v>0</v>
      </c>
      <c r="AH115" s="28">
        <v>1</v>
      </c>
    </row>
    <row r="116" spans="1:34" x14ac:dyDescent="0.2">
      <c r="A116" s="28">
        <v>584</v>
      </c>
      <c r="B116" s="28" t="s">
        <v>102</v>
      </c>
      <c r="C116" s="30">
        <v>9.4</v>
      </c>
      <c r="D116" s="30">
        <v>9.4</v>
      </c>
      <c r="E116" s="30">
        <v>9.4</v>
      </c>
      <c r="F116" s="30">
        <v>9.4</v>
      </c>
      <c r="G116" s="30">
        <v>9.4</v>
      </c>
      <c r="H116" s="30">
        <v>18</v>
      </c>
      <c r="I116" s="54">
        <f>C116/$H116</f>
        <v>0.52222222222222225</v>
      </c>
      <c r="J116" s="54">
        <f>D116/$H116</f>
        <v>0.52222222222222225</v>
      </c>
      <c r="K116" s="54">
        <f>E116/$H116</f>
        <v>0.52222222222222225</v>
      </c>
      <c r="L116" s="54">
        <f>F116/$H116</f>
        <v>0.52222222222222225</v>
      </c>
      <c r="M116" s="54">
        <f>G116/$H116</f>
        <v>0.52222222222222225</v>
      </c>
      <c r="N116" s="51">
        <f>FORESTS[[#This Row],[Area_2020]]-FORESTS[[#This Row],[Area_1990]]</f>
        <v>0</v>
      </c>
      <c r="O116" s="51">
        <f>ABS(FORESTS[[#This Row],[Area_Delta]])</f>
        <v>0</v>
      </c>
      <c r="P116" s="104">
        <f>FORESTS[[#This Row],[Area_2020_%]]-FORESTS[[#This Row],[Area_1990_%]]</f>
        <v>0</v>
      </c>
      <c r="Q116" s="54" t="b">
        <f>IF(G116&gt;C116, TRUE, FALSE)</f>
        <v>0</v>
      </c>
      <c r="R116" s="51">
        <f>IF(Q116=TRUE,G116-C116,0)</f>
        <v>0</v>
      </c>
      <c r="S116" s="51">
        <f>IF(Q116=TRUE,0,C116-G116)</f>
        <v>0</v>
      </c>
      <c r="T116" s="48">
        <f>IF(J116&lt;I116,1,0)+IF(K116&lt;J116,1,0)+IF(L116&lt;K116,1,0)+IF(M116&lt;L116,1,0)</f>
        <v>0</v>
      </c>
      <c r="U116" s="48">
        <v>52.22</v>
      </c>
      <c r="V116" s="30" t="s">
        <v>247</v>
      </c>
      <c r="W116" s="30" t="s">
        <v>247</v>
      </c>
      <c r="X116" s="38">
        <f>D116-C116</f>
        <v>0</v>
      </c>
      <c r="Y116" s="38">
        <f>E116-D116</f>
        <v>0</v>
      </c>
      <c r="Z116" s="38">
        <f>F116-E116</f>
        <v>0</v>
      </c>
      <c r="AA116" s="38">
        <f>G116-F116</f>
        <v>0</v>
      </c>
      <c r="AB116" s="38">
        <f>FORESTS[[#This Row],[Column7]]+FORESTS[[#This Row],[Column8]]</f>
        <v>0</v>
      </c>
      <c r="AD116" s="63">
        <f>(D116-C116)/10</f>
        <v>0</v>
      </c>
      <c r="AE116" s="63">
        <f>(E116-D116)/10</f>
        <v>0</v>
      </c>
      <c r="AF116" s="63">
        <f>(F116-E116)/5</f>
        <v>0</v>
      </c>
      <c r="AG116" s="63">
        <f>(G116-F116)/5</f>
        <v>0</v>
      </c>
      <c r="AH116" s="28">
        <v>1</v>
      </c>
    </row>
    <row r="117" spans="1:34" x14ac:dyDescent="0.2">
      <c r="A117" s="28">
        <v>660</v>
      </c>
      <c r="B117" s="28" t="s">
        <v>203</v>
      </c>
      <c r="C117" s="30">
        <v>5.5</v>
      </c>
      <c r="D117" s="30">
        <v>5.5</v>
      </c>
      <c r="E117" s="30">
        <v>5.5</v>
      </c>
      <c r="F117" s="30">
        <v>5.5</v>
      </c>
      <c r="G117" s="30">
        <v>5.5</v>
      </c>
      <c r="H117" s="30">
        <v>9</v>
      </c>
      <c r="I117" s="54">
        <f>C117/$H117</f>
        <v>0.61111111111111116</v>
      </c>
      <c r="J117" s="54">
        <f>D117/$H117</f>
        <v>0.61111111111111116</v>
      </c>
      <c r="K117" s="54">
        <f>E117/$H117</f>
        <v>0.61111111111111116</v>
      </c>
      <c r="L117" s="54">
        <f>F117/$H117</f>
        <v>0.61111111111111116</v>
      </c>
      <c r="M117" s="54">
        <f>G117/$H117</f>
        <v>0.61111111111111116</v>
      </c>
      <c r="N117" s="51">
        <f>FORESTS[[#This Row],[Area_2020]]-FORESTS[[#This Row],[Area_1990]]</f>
        <v>0</v>
      </c>
      <c r="O117" s="51">
        <f>ABS(FORESTS[[#This Row],[Area_Delta]])</f>
        <v>0</v>
      </c>
      <c r="P117" s="104">
        <f>FORESTS[[#This Row],[Area_2020_%]]-FORESTS[[#This Row],[Area_1990_%]]</f>
        <v>0</v>
      </c>
      <c r="Q117" s="54" t="b">
        <f>IF(G117&gt;C117, TRUE, FALSE)</f>
        <v>0</v>
      </c>
      <c r="R117" s="51">
        <f>IF(Q117=TRUE,G117-C117,0)</f>
        <v>0</v>
      </c>
      <c r="S117" s="51">
        <f>IF(Q117=TRUE,0,C117-G117)</f>
        <v>0</v>
      </c>
      <c r="T117" s="48">
        <f>IF(J117&lt;I117,1,0)+IF(K117&lt;J117,1,0)+IF(L117&lt;K117,1,0)+IF(M117&lt;L117,1,0)</f>
        <v>0</v>
      </c>
      <c r="U117" s="48">
        <v>61.11</v>
      </c>
      <c r="V117" s="30" t="s">
        <v>247</v>
      </c>
      <c r="W117" s="30" t="s">
        <v>247</v>
      </c>
      <c r="X117" s="38">
        <f>D117-C117</f>
        <v>0</v>
      </c>
      <c r="Y117" s="38">
        <f>E117-D117</f>
        <v>0</v>
      </c>
      <c r="Z117" s="38">
        <f>F117-E117</f>
        <v>0</v>
      </c>
      <c r="AA117" s="38">
        <f>G117-F117</f>
        <v>0</v>
      </c>
      <c r="AB117" s="38">
        <f>FORESTS[[#This Row],[Column7]]+FORESTS[[#This Row],[Column8]]</f>
        <v>0</v>
      </c>
      <c r="AD117" s="63">
        <f>(D117-C117)/10</f>
        <v>0</v>
      </c>
      <c r="AE117" s="63">
        <f>(E117-D117)/10</f>
        <v>0</v>
      </c>
      <c r="AF117" s="63">
        <f>(F117-E117)/5</f>
        <v>0</v>
      </c>
      <c r="AG117" s="63">
        <f>(G117-F117)/5</f>
        <v>0</v>
      </c>
      <c r="AH117" s="28">
        <v>1</v>
      </c>
    </row>
    <row r="118" spans="1:34" x14ac:dyDescent="0.2">
      <c r="A118" s="28">
        <v>612</v>
      </c>
      <c r="B118" s="28" t="s">
        <v>244</v>
      </c>
      <c r="C118" s="30">
        <v>3.5</v>
      </c>
      <c r="D118" s="30">
        <v>3.5</v>
      </c>
      <c r="E118" s="30">
        <v>3.5</v>
      </c>
      <c r="F118" s="30">
        <v>3.5</v>
      </c>
      <c r="G118" s="30">
        <v>3.5</v>
      </c>
      <c r="H118" s="30">
        <v>5</v>
      </c>
      <c r="I118" s="54">
        <f>C118/$H118</f>
        <v>0.7</v>
      </c>
      <c r="J118" s="54">
        <f>D118/$H118</f>
        <v>0.7</v>
      </c>
      <c r="K118" s="54">
        <f>E118/$H118</f>
        <v>0.7</v>
      </c>
      <c r="L118" s="54">
        <f>F118/$H118</f>
        <v>0.7</v>
      </c>
      <c r="M118" s="54">
        <f>G118/$H118</f>
        <v>0.7</v>
      </c>
      <c r="N118" s="51">
        <f>FORESTS[[#This Row],[Area_2020]]-FORESTS[[#This Row],[Area_1990]]</f>
        <v>0</v>
      </c>
      <c r="O118" s="51">
        <f>ABS(FORESTS[[#This Row],[Area_Delta]])</f>
        <v>0</v>
      </c>
      <c r="P118" s="104">
        <f>FORESTS[[#This Row],[Area_2020_%]]-FORESTS[[#This Row],[Area_1990_%]]</f>
        <v>0</v>
      </c>
      <c r="Q118" s="54" t="b">
        <f>IF(G118&gt;C118, TRUE, FALSE)</f>
        <v>0</v>
      </c>
      <c r="R118" s="51">
        <f>IF(Q118=TRUE,G118-C118,0)</f>
        <v>0</v>
      </c>
      <c r="S118" s="51">
        <f>IF(Q118=TRUE,0,C118-G118)</f>
        <v>0</v>
      </c>
      <c r="T118" s="48">
        <f>IF(J118&lt;I118,1,0)+IF(K118&lt;J118,1,0)+IF(L118&lt;K118,1,0)+IF(M118&lt;L118,1,0)</f>
        <v>0</v>
      </c>
      <c r="U118" s="48">
        <v>70</v>
      </c>
      <c r="V118" s="30" t="s">
        <v>247</v>
      </c>
      <c r="W118" s="30" t="s">
        <v>247</v>
      </c>
      <c r="X118" s="38">
        <f>D118-C118</f>
        <v>0</v>
      </c>
      <c r="Y118" s="38">
        <f>E118-D118</f>
        <v>0</v>
      </c>
      <c r="Z118" s="38">
        <f>F118-E118</f>
        <v>0</v>
      </c>
      <c r="AA118" s="38">
        <f>G118-F118</f>
        <v>0</v>
      </c>
      <c r="AB118" s="38">
        <f>FORESTS[[#This Row],[Column7]]+FORESTS[[#This Row],[Column8]]</f>
        <v>0</v>
      </c>
      <c r="AD118" s="63">
        <f>(D118-C118)/10</f>
        <v>0</v>
      </c>
      <c r="AE118" s="63">
        <f>(E118-D118)/10</f>
        <v>0</v>
      </c>
      <c r="AF118" s="63">
        <f>(F118-E118)/5</f>
        <v>0</v>
      </c>
      <c r="AG118" s="63">
        <f>(G118-F118)/5</f>
        <v>0</v>
      </c>
      <c r="AH118" s="28">
        <v>1</v>
      </c>
    </row>
    <row r="119" spans="1:34" x14ac:dyDescent="0.2">
      <c r="A119" s="28">
        <v>690</v>
      </c>
      <c r="B119" s="28" t="s">
        <v>146</v>
      </c>
      <c r="C119" s="30">
        <v>33.700000000000003</v>
      </c>
      <c r="D119" s="30">
        <v>33.700000000000003</v>
      </c>
      <c r="E119" s="30">
        <v>33.700000000000003</v>
      </c>
      <c r="F119" s="30">
        <v>33.700000000000003</v>
      </c>
      <c r="G119" s="30">
        <v>33.700000000000003</v>
      </c>
      <c r="H119" s="30">
        <v>46</v>
      </c>
      <c r="I119" s="54">
        <f>C119/$H119</f>
        <v>0.73260869565217401</v>
      </c>
      <c r="J119" s="54">
        <f>D119/$H119</f>
        <v>0.73260869565217401</v>
      </c>
      <c r="K119" s="54">
        <f>E119/$H119</f>
        <v>0.73260869565217401</v>
      </c>
      <c r="L119" s="54">
        <f>F119/$H119</f>
        <v>0.73260869565217401</v>
      </c>
      <c r="M119" s="54">
        <f>G119/$H119</f>
        <v>0.73260869565217401</v>
      </c>
      <c r="N119" s="51">
        <f>FORESTS[[#This Row],[Area_2020]]-FORESTS[[#This Row],[Area_1990]]</f>
        <v>0</v>
      </c>
      <c r="O119" s="51">
        <f>ABS(FORESTS[[#This Row],[Area_Delta]])</f>
        <v>0</v>
      </c>
      <c r="P119" s="104">
        <f>FORESTS[[#This Row],[Area_2020_%]]-FORESTS[[#This Row],[Area_1990_%]]</f>
        <v>0</v>
      </c>
      <c r="Q119" s="54" t="b">
        <f>IF(G119&gt;C119, TRUE, FALSE)</f>
        <v>0</v>
      </c>
      <c r="R119" s="51">
        <f>IF(Q119=TRUE,G119-C119,0)</f>
        <v>0</v>
      </c>
      <c r="S119" s="51">
        <f>IF(Q119=TRUE,0,C119-G119)</f>
        <v>0</v>
      </c>
      <c r="T119" s="48">
        <f>IF(J119&lt;I119,1,0)+IF(K119&lt;J119,1,0)+IF(L119&lt;K119,1,0)+IF(M119&lt;L119,1,0)</f>
        <v>0</v>
      </c>
      <c r="U119" s="48">
        <v>73.260000000000005</v>
      </c>
      <c r="V119" s="30" t="s">
        <v>247</v>
      </c>
      <c r="W119" s="30" t="s">
        <v>247</v>
      </c>
      <c r="X119" s="38">
        <f>D119-C119</f>
        <v>0</v>
      </c>
      <c r="Y119" s="38">
        <f>E119-D119</f>
        <v>0</v>
      </c>
      <c r="Z119" s="38">
        <f>F119-E119</f>
        <v>0</v>
      </c>
      <c r="AA119" s="38">
        <f>G119-F119</f>
        <v>0</v>
      </c>
      <c r="AB119" s="38">
        <f>FORESTS[[#This Row],[Column7]]+FORESTS[[#This Row],[Column8]]</f>
        <v>0</v>
      </c>
      <c r="AD119" s="63">
        <f>(D119-C119)/10</f>
        <v>0</v>
      </c>
      <c r="AE119" s="63">
        <f>(E119-D119)/10</f>
        <v>0</v>
      </c>
      <c r="AF119" s="63">
        <f>(F119-E119)/5</f>
        <v>0</v>
      </c>
      <c r="AG119" s="63">
        <f>(G119-F119)/5</f>
        <v>0</v>
      </c>
    </row>
    <row r="120" spans="1:34" x14ac:dyDescent="0.2">
      <c r="A120" s="28">
        <v>466</v>
      </c>
      <c r="B120" s="28" t="s">
        <v>100</v>
      </c>
      <c r="C120" s="38">
        <v>13296</v>
      </c>
      <c r="D120" s="38">
        <v>13296</v>
      </c>
      <c r="E120" s="38">
        <v>13296</v>
      </c>
      <c r="F120" s="38">
        <v>13296</v>
      </c>
      <c r="G120" s="38">
        <v>13296</v>
      </c>
      <c r="H120" s="38">
        <v>122019</v>
      </c>
      <c r="I120" s="54">
        <f>C120/$H120</f>
        <v>0.10896663634352027</v>
      </c>
      <c r="J120" s="54">
        <f>D120/$H120</f>
        <v>0.10896663634352027</v>
      </c>
      <c r="K120" s="54">
        <f>E120/$H120</f>
        <v>0.10896663634352027</v>
      </c>
      <c r="L120" s="54">
        <f>F120/$H120</f>
        <v>0.10896663634352027</v>
      </c>
      <c r="M120" s="54">
        <f>G120/$H120</f>
        <v>0.10896663634352027</v>
      </c>
      <c r="N120" s="51">
        <f>FORESTS[[#This Row],[Area_2020]]-FORESTS[[#This Row],[Area_1990]]</f>
        <v>0</v>
      </c>
      <c r="O120" s="51">
        <f>ABS(FORESTS[[#This Row],[Area_Delta]])</f>
        <v>0</v>
      </c>
      <c r="P120" s="104">
        <f>FORESTS[[#This Row],[Area_2020_%]]-FORESTS[[#This Row],[Area_1990_%]]</f>
        <v>0</v>
      </c>
      <c r="Q120" s="54" t="b">
        <f>IF(G120&gt;C120, TRUE, FALSE)</f>
        <v>0</v>
      </c>
      <c r="R120" s="51">
        <f>IF(Q120=TRUE,G120-C120,0)</f>
        <v>0</v>
      </c>
      <c r="S120" s="51">
        <f>IF(Q120=TRUE,0,C120-G120)</f>
        <v>0</v>
      </c>
      <c r="T120" s="62">
        <f>IF(J120&lt;I120,1,0)+IF(K120&lt;J120,1,0)+IF(L120&lt;K120,1,0)+IF(M120&lt;L120,1,0)</f>
        <v>0</v>
      </c>
      <c r="U120" s="43">
        <v>10.9</v>
      </c>
      <c r="V120" s="30">
        <v>0</v>
      </c>
      <c r="W120" s="38" t="s">
        <v>247</v>
      </c>
      <c r="X120" s="38">
        <f>D120-C120</f>
        <v>0</v>
      </c>
      <c r="Y120" s="38">
        <f>E120-D120</f>
        <v>0</v>
      </c>
      <c r="Z120" s="38">
        <f>F120-E120</f>
        <v>0</v>
      </c>
      <c r="AA120" s="38">
        <f>G120-F120</f>
        <v>0</v>
      </c>
      <c r="AB120" s="38">
        <f>FORESTS[[#This Row],[Column7]]+FORESTS[[#This Row],[Column8]]</f>
        <v>0</v>
      </c>
      <c r="AD120" s="63">
        <f>(D120-C120)/10</f>
        <v>0</v>
      </c>
      <c r="AE120" s="63">
        <f>(E120-D120)/10</f>
        <v>0</v>
      </c>
      <c r="AF120" s="63">
        <f>(F120-E120)/5</f>
        <v>0</v>
      </c>
      <c r="AG120" s="63">
        <f>(G120-F120)/5</f>
        <v>0</v>
      </c>
      <c r="AH120" s="28">
        <v>1</v>
      </c>
    </row>
    <row r="121" spans="1:34" x14ac:dyDescent="0.2">
      <c r="A121" s="28">
        <v>534</v>
      </c>
      <c r="B121" s="28" t="s">
        <v>214</v>
      </c>
      <c r="C121" s="30">
        <v>0.37</v>
      </c>
      <c r="D121" s="30">
        <v>0.37</v>
      </c>
      <c r="E121" s="30">
        <v>0.37</v>
      </c>
      <c r="F121" s="30">
        <v>0.37</v>
      </c>
      <c r="G121" s="30">
        <v>0.37</v>
      </c>
      <c r="H121" s="30">
        <v>3.4</v>
      </c>
      <c r="I121" s="54">
        <f>C121/$H121</f>
        <v>0.10882352941176471</v>
      </c>
      <c r="J121" s="54">
        <f>D121/$H121</f>
        <v>0.10882352941176471</v>
      </c>
      <c r="K121" s="54">
        <f>E121/$H121</f>
        <v>0.10882352941176471</v>
      </c>
      <c r="L121" s="54">
        <f>F121/$H121</f>
        <v>0.10882352941176471</v>
      </c>
      <c r="M121" s="54">
        <f>G121/$H121</f>
        <v>0.10882352941176471</v>
      </c>
      <c r="N121" s="51">
        <f>FORESTS[[#This Row],[Area_2020]]-FORESTS[[#This Row],[Area_1990]]</f>
        <v>0</v>
      </c>
      <c r="O121" s="51">
        <f>ABS(FORESTS[[#This Row],[Area_Delta]])</f>
        <v>0</v>
      </c>
      <c r="P121" s="104">
        <f>FORESTS[[#This Row],[Area_2020_%]]-FORESTS[[#This Row],[Area_1990_%]]</f>
        <v>0</v>
      </c>
      <c r="Q121" s="54" t="b">
        <f>IF(G121&gt;C121, TRUE, FALSE)</f>
        <v>0</v>
      </c>
      <c r="R121" s="51">
        <f>IF(Q121=TRUE,G121-C121,0)</f>
        <v>0</v>
      </c>
      <c r="S121" s="51">
        <f>IF(Q121=TRUE,0,C121-G121)</f>
        <v>0</v>
      </c>
      <c r="T121" s="48">
        <f>IF(J121&lt;I121,1,0)+IF(K121&lt;J121,1,0)+IF(L121&lt;K121,1,0)+IF(M121&lt;L121,1,0)</f>
        <v>0</v>
      </c>
      <c r="U121" s="48">
        <v>10.88</v>
      </c>
      <c r="V121" s="30" t="s">
        <v>247</v>
      </c>
      <c r="W121" s="30" t="s">
        <v>247</v>
      </c>
      <c r="X121" s="38">
        <f>D121-C121</f>
        <v>0</v>
      </c>
      <c r="Y121" s="38">
        <f>E121-D121</f>
        <v>0</v>
      </c>
      <c r="Z121" s="38">
        <f>F121-E121</f>
        <v>0</v>
      </c>
      <c r="AA121" s="38">
        <f>G121-F121</f>
        <v>0</v>
      </c>
      <c r="AB121" s="38">
        <f>FORESTS[[#This Row],[Column7]]+FORESTS[[#This Row],[Column8]]</f>
        <v>0</v>
      </c>
      <c r="AD121" s="63">
        <f>(D121-C121)/10</f>
        <v>0</v>
      </c>
      <c r="AE121" s="63">
        <f>(E121-D121)/10</f>
        <v>0</v>
      </c>
      <c r="AF121" s="63">
        <f>(F121-E121)/5</f>
        <v>0</v>
      </c>
      <c r="AG121" s="63">
        <f>(G121-F121)/5</f>
        <v>0</v>
      </c>
      <c r="AH121" s="28">
        <v>1</v>
      </c>
    </row>
    <row r="122" spans="1:34" x14ac:dyDescent="0.2">
      <c r="A122" s="28">
        <v>795</v>
      </c>
      <c r="B122" s="28" t="s">
        <v>220</v>
      </c>
      <c r="C122" s="38">
        <v>4127</v>
      </c>
      <c r="D122" s="38">
        <v>4127</v>
      </c>
      <c r="E122" s="38">
        <v>4127</v>
      </c>
      <c r="F122" s="38">
        <v>4127</v>
      </c>
      <c r="G122" s="38">
        <v>4127</v>
      </c>
      <c r="H122" s="38">
        <v>46993</v>
      </c>
      <c r="I122" s="54">
        <f>C122/$H122</f>
        <v>8.782159044964144E-2</v>
      </c>
      <c r="J122" s="54">
        <f>D122/$H122</f>
        <v>8.782159044964144E-2</v>
      </c>
      <c r="K122" s="54">
        <f>E122/$H122</f>
        <v>8.782159044964144E-2</v>
      </c>
      <c r="L122" s="54">
        <f>F122/$H122</f>
        <v>8.782159044964144E-2</v>
      </c>
      <c r="M122" s="54">
        <f>G122/$H122</f>
        <v>8.782159044964144E-2</v>
      </c>
      <c r="N122" s="51">
        <f>FORESTS[[#This Row],[Area_2020]]-FORESTS[[#This Row],[Area_1990]]</f>
        <v>0</v>
      </c>
      <c r="O122" s="51">
        <f>ABS(FORESTS[[#This Row],[Area_Delta]])</f>
        <v>0</v>
      </c>
      <c r="P122" s="104">
        <f>FORESTS[[#This Row],[Area_2020_%]]-FORESTS[[#This Row],[Area_1990_%]]</f>
        <v>0</v>
      </c>
      <c r="Q122" s="54" t="b">
        <f>IF(G122&gt;C122, TRUE, FALSE)</f>
        <v>0</v>
      </c>
      <c r="R122" s="51">
        <f>IF(Q122=TRUE,G122-C122,0)</f>
        <v>0</v>
      </c>
      <c r="S122" s="51">
        <f>IF(Q122=TRUE,0,C122-G122)</f>
        <v>0</v>
      </c>
      <c r="T122" s="48">
        <f>IF(J122&lt;I122,1,0)+IF(K122&lt;J122,1,0)+IF(L122&lt;K122,1,0)+IF(M122&lt;L122,1,0)</f>
        <v>0</v>
      </c>
      <c r="U122" s="43">
        <v>8.7799999999999994</v>
      </c>
      <c r="V122" s="30" t="s">
        <v>247</v>
      </c>
      <c r="W122" s="38" t="s">
        <v>247</v>
      </c>
      <c r="X122" s="38">
        <f>D122-C122</f>
        <v>0</v>
      </c>
      <c r="Y122" s="38">
        <f>E122-D122</f>
        <v>0</v>
      </c>
      <c r="Z122" s="38">
        <f>F122-E122</f>
        <v>0</v>
      </c>
      <c r="AA122" s="38">
        <f>G122-F122</f>
        <v>0</v>
      </c>
      <c r="AB122" s="38">
        <f>FORESTS[[#This Row],[Column7]]+FORESTS[[#This Row],[Column8]]</f>
        <v>0</v>
      </c>
      <c r="AD122" s="63">
        <f>(D122-C122)/10</f>
        <v>0</v>
      </c>
      <c r="AE122" s="63">
        <f>(E122-D122)/10</f>
        <v>0</v>
      </c>
      <c r="AF122" s="63">
        <f>(F122-E122)/5</f>
        <v>0</v>
      </c>
      <c r="AG122" s="63">
        <f>(G122-F122)/5</f>
        <v>0</v>
      </c>
    </row>
    <row r="123" spans="1:34" x14ac:dyDescent="0.2">
      <c r="A123" s="28">
        <v>652</v>
      </c>
      <c r="B123" s="28" t="s">
        <v>211</v>
      </c>
      <c r="C123" s="30">
        <v>0.17</v>
      </c>
      <c r="D123" s="30">
        <v>0.17</v>
      </c>
      <c r="E123" s="30">
        <v>0.17</v>
      </c>
      <c r="F123" s="30">
        <v>0.17</v>
      </c>
      <c r="G123" s="30">
        <v>0.17</v>
      </c>
      <c r="H123" s="30">
        <v>2</v>
      </c>
      <c r="I123" s="54">
        <f>C123/$H123</f>
        <v>8.5000000000000006E-2</v>
      </c>
      <c r="J123" s="54">
        <f>D123/$H123</f>
        <v>8.5000000000000006E-2</v>
      </c>
      <c r="K123" s="54">
        <f>E123/$H123</f>
        <v>8.5000000000000006E-2</v>
      </c>
      <c r="L123" s="54">
        <f>F123/$H123</f>
        <v>8.5000000000000006E-2</v>
      </c>
      <c r="M123" s="54">
        <f>G123/$H123</f>
        <v>8.5000000000000006E-2</v>
      </c>
      <c r="N123" s="51">
        <f>FORESTS[[#This Row],[Area_2020]]-FORESTS[[#This Row],[Area_1990]]</f>
        <v>0</v>
      </c>
      <c r="O123" s="51">
        <f>ABS(FORESTS[[#This Row],[Area_Delta]])</f>
        <v>0</v>
      </c>
      <c r="P123" s="104">
        <f>FORESTS[[#This Row],[Area_2020_%]]-FORESTS[[#This Row],[Area_1990_%]]</f>
        <v>0</v>
      </c>
      <c r="Q123" s="54" t="b">
        <f>IF(G123&gt;C123, TRUE, FALSE)</f>
        <v>0</v>
      </c>
      <c r="R123" s="51">
        <f>IF(Q123=TRUE,G123-C123,0)</f>
        <v>0</v>
      </c>
      <c r="S123" s="51">
        <f>IF(Q123=TRUE,0,C123-G123)</f>
        <v>0</v>
      </c>
      <c r="T123" s="48">
        <f>IF(J123&lt;I123,1,0)+IF(K123&lt;J123,1,0)+IF(L123&lt;K123,1,0)+IF(M123&lt;L123,1,0)</f>
        <v>0</v>
      </c>
      <c r="U123" s="48">
        <v>8.5</v>
      </c>
      <c r="V123" s="30" t="s">
        <v>247</v>
      </c>
      <c r="W123" s="30" t="s">
        <v>247</v>
      </c>
      <c r="X123" s="38">
        <f>D123-C123</f>
        <v>0</v>
      </c>
      <c r="Y123" s="38">
        <f>E123-D123</f>
        <v>0</v>
      </c>
      <c r="Z123" s="38">
        <f>F123-E123</f>
        <v>0</v>
      </c>
      <c r="AA123" s="38">
        <f>G123-F123</f>
        <v>0</v>
      </c>
      <c r="AB123" s="38">
        <f>FORESTS[[#This Row],[Column7]]+FORESTS[[#This Row],[Column8]]</f>
        <v>0</v>
      </c>
      <c r="AD123" s="63">
        <f>(D123-C123)/10</f>
        <v>0</v>
      </c>
      <c r="AE123" s="63">
        <f>(E123-D123)/10</f>
        <v>0</v>
      </c>
      <c r="AF123" s="63">
        <f>(F123-E123)/5</f>
        <v>0</v>
      </c>
      <c r="AG123" s="63">
        <f>(G123-F123)/5</f>
        <v>0</v>
      </c>
      <c r="AH123" s="28">
        <v>1</v>
      </c>
    </row>
    <row r="124" spans="1:34" x14ac:dyDescent="0.2">
      <c r="A124" s="28">
        <v>833</v>
      </c>
      <c r="B124" s="28" t="s">
        <v>231</v>
      </c>
      <c r="C124" s="30">
        <v>3.46</v>
      </c>
      <c r="D124" s="30">
        <v>3.46</v>
      </c>
      <c r="E124" s="30">
        <v>3.46</v>
      </c>
      <c r="F124" s="30">
        <v>3.46</v>
      </c>
      <c r="G124" s="30">
        <v>3.46</v>
      </c>
      <c r="H124" s="30">
        <v>57</v>
      </c>
      <c r="I124" s="54">
        <f>C124/$H124</f>
        <v>6.0701754385964909E-2</v>
      </c>
      <c r="J124" s="54">
        <f>D124/$H124</f>
        <v>6.0701754385964909E-2</v>
      </c>
      <c r="K124" s="54">
        <f>E124/$H124</f>
        <v>6.0701754385964909E-2</v>
      </c>
      <c r="L124" s="54">
        <f>F124/$H124</f>
        <v>6.0701754385964909E-2</v>
      </c>
      <c r="M124" s="54">
        <f>G124/$H124</f>
        <v>6.0701754385964909E-2</v>
      </c>
      <c r="N124" s="51">
        <f>FORESTS[[#This Row],[Area_2020]]-FORESTS[[#This Row],[Area_1990]]</f>
        <v>0</v>
      </c>
      <c r="O124" s="51">
        <f>ABS(FORESTS[[#This Row],[Area_Delta]])</f>
        <v>0</v>
      </c>
      <c r="P124" s="104">
        <f>FORESTS[[#This Row],[Area_2020_%]]-FORESTS[[#This Row],[Area_1990_%]]</f>
        <v>0</v>
      </c>
      <c r="Q124" s="54" t="b">
        <f>IF(G124&gt;C124, TRUE, FALSE)</f>
        <v>0</v>
      </c>
      <c r="R124" s="51">
        <f>IF(Q124=TRUE,G124-C124,0)</f>
        <v>0</v>
      </c>
      <c r="S124" s="51">
        <f>IF(Q124=TRUE,0,C124-G124)</f>
        <v>0</v>
      </c>
      <c r="T124" s="48">
        <f>IF(J124&lt;I124,1,0)+IF(K124&lt;J124,1,0)+IF(L124&lt;K124,1,0)+IF(M124&lt;L124,1,0)</f>
        <v>0</v>
      </c>
      <c r="U124" s="48">
        <v>6.07</v>
      </c>
      <c r="V124" s="30">
        <v>0</v>
      </c>
      <c r="W124" s="30" t="s">
        <v>247</v>
      </c>
      <c r="X124" s="38">
        <f>D124-C124</f>
        <v>0</v>
      </c>
      <c r="Y124" s="38">
        <f>E124-D124</f>
        <v>0</v>
      </c>
      <c r="Z124" s="38">
        <f>F124-E124</f>
        <v>0</v>
      </c>
      <c r="AA124" s="38">
        <f>G124-F124</f>
        <v>0</v>
      </c>
      <c r="AB124" s="38">
        <f>FORESTS[[#This Row],[Column7]]+FORESTS[[#This Row],[Column8]]</f>
        <v>0</v>
      </c>
      <c r="AD124" s="63">
        <f>(D124-C124)/10</f>
        <v>0</v>
      </c>
      <c r="AE124" s="63">
        <f>(E124-D124)/10</f>
        <v>0</v>
      </c>
      <c r="AF124" s="63">
        <f>(F124-E124)/5</f>
        <v>0</v>
      </c>
      <c r="AG124" s="63">
        <f>(G124-F124)/5</f>
        <v>0</v>
      </c>
    </row>
    <row r="125" spans="1:34" x14ac:dyDescent="0.2">
      <c r="A125" s="28">
        <v>535</v>
      </c>
      <c r="B125" s="28" t="s">
        <v>206</v>
      </c>
      <c r="C125" s="30">
        <v>1.91</v>
      </c>
      <c r="D125" s="30">
        <v>1.91</v>
      </c>
      <c r="E125" s="30">
        <v>1.91</v>
      </c>
      <c r="F125" s="30">
        <v>1.91</v>
      </c>
      <c r="G125" s="30">
        <v>1.91</v>
      </c>
      <c r="H125" s="30">
        <v>32.200000000000003</v>
      </c>
      <c r="I125" s="54">
        <f>C125/$H125</f>
        <v>5.9316770186335396E-2</v>
      </c>
      <c r="J125" s="54">
        <f>D125/$H125</f>
        <v>5.9316770186335396E-2</v>
      </c>
      <c r="K125" s="54">
        <f>E125/$H125</f>
        <v>5.9316770186335396E-2</v>
      </c>
      <c r="L125" s="54">
        <f>F125/$H125</f>
        <v>5.9316770186335396E-2</v>
      </c>
      <c r="M125" s="54">
        <f>G125/$H125</f>
        <v>5.9316770186335396E-2</v>
      </c>
      <c r="N125" s="51">
        <f>FORESTS[[#This Row],[Area_2020]]-FORESTS[[#This Row],[Area_1990]]</f>
        <v>0</v>
      </c>
      <c r="O125" s="51">
        <f>ABS(FORESTS[[#This Row],[Area_Delta]])</f>
        <v>0</v>
      </c>
      <c r="P125" s="104">
        <f>FORESTS[[#This Row],[Area_2020_%]]-FORESTS[[#This Row],[Area_1990_%]]</f>
        <v>0</v>
      </c>
      <c r="Q125" s="54" t="b">
        <f>IF(G125&gt;C125, TRUE, FALSE)</f>
        <v>0</v>
      </c>
      <c r="R125" s="51">
        <f>IF(Q125=TRUE,G125-C125,0)</f>
        <v>0</v>
      </c>
      <c r="S125" s="51">
        <f>IF(Q125=TRUE,0,C125-G125)</f>
        <v>0</v>
      </c>
      <c r="T125" s="48">
        <f>IF(J125&lt;I125,1,0)+IF(K125&lt;J125,1,0)+IF(L125&lt;K125,1,0)+IF(M125&lt;L125,1,0)</f>
        <v>0</v>
      </c>
      <c r="U125" s="48">
        <v>5.93</v>
      </c>
      <c r="V125" s="30" t="s">
        <v>247</v>
      </c>
      <c r="W125" s="30" t="s">
        <v>247</v>
      </c>
      <c r="X125" s="38">
        <f>D125-C125</f>
        <v>0</v>
      </c>
      <c r="Y125" s="38">
        <f>E125-D125</f>
        <v>0</v>
      </c>
      <c r="Z125" s="38">
        <f>F125-E125</f>
        <v>0</v>
      </c>
      <c r="AA125" s="38">
        <f>G125-F125</f>
        <v>0</v>
      </c>
      <c r="AB125" s="38">
        <f>FORESTS[[#This Row],[Column7]]+FORESTS[[#This Row],[Column8]]</f>
        <v>0</v>
      </c>
      <c r="AD125" s="63">
        <f>(D125-C125)/10</f>
        <v>0</v>
      </c>
      <c r="AE125" s="63">
        <f>(E125-D125)/10</f>
        <v>0</v>
      </c>
      <c r="AF125" s="63">
        <f>(F125-E125)/5</f>
        <v>0</v>
      </c>
      <c r="AG125" s="63">
        <f>(G125-F125)/5</f>
        <v>0</v>
      </c>
      <c r="AH125" s="28">
        <v>1</v>
      </c>
    </row>
    <row r="126" spans="1:34" x14ac:dyDescent="0.2">
      <c r="A126" s="28">
        <v>654</v>
      </c>
      <c r="B126" s="28" t="s">
        <v>202</v>
      </c>
      <c r="C126" s="30">
        <v>2</v>
      </c>
      <c r="D126" s="30">
        <v>2</v>
      </c>
      <c r="E126" s="30">
        <v>2</v>
      </c>
      <c r="F126" s="30">
        <v>2</v>
      </c>
      <c r="G126" s="30">
        <v>2</v>
      </c>
      <c r="H126" s="30">
        <v>39</v>
      </c>
      <c r="I126" s="54">
        <f>C126/$H126</f>
        <v>5.128205128205128E-2</v>
      </c>
      <c r="J126" s="54">
        <f>D126/$H126</f>
        <v>5.128205128205128E-2</v>
      </c>
      <c r="K126" s="54">
        <f>E126/$H126</f>
        <v>5.128205128205128E-2</v>
      </c>
      <c r="L126" s="54">
        <f>F126/$H126</f>
        <v>5.128205128205128E-2</v>
      </c>
      <c r="M126" s="54">
        <f>G126/$H126</f>
        <v>5.128205128205128E-2</v>
      </c>
      <c r="N126" s="51">
        <f>FORESTS[[#This Row],[Area_2020]]-FORESTS[[#This Row],[Area_1990]]</f>
        <v>0</v>
      </c>
      <c r="O126" s="51">
        <f>ABS(FORESTS[[#This Row],[Area_Delta]])</f>
        <v>0</v>
      </c>
      <c r="P126" s="104">
        <f>FORESTS[[#This Row],[Area_2020_%]]-FORESTS[[#This Row],[Area_1990_%]]</f>
        <v>0</v>
      </c>
      <c r="Q126" s="54" t="b">
        <f>IF(G126&gt;C126, TRUE, FALSE)</f>
        <v>0</v>
      </c>
      <c r="R126" s="51">
        <f>IF(Q126=TRUE,G126-C126,0)</f>
        <v>0</v>
      </c>
      <c r="S126" s="51">
        <f>IF(Q126=TRUE,0,C126-G126)</f>
        <v>0</v>
      </c>
      <c r="T126" s="48">
        <f>IF(J126&lt;I126,1,0)+IF(K126&lt;J126,1,0)+IF(L126&lt;K126,1,0)+IF(M126&lt;L126,1,0)</f>
        <v>0</v>
      </c>
      <c r="U126" s="48">
        <v>5.13</v>
      </c>
      <c r="V126" s="30" t="s">
        <v>247</v>
      </c>
      <c r="W126" s="30" t="s">
        <v>247</v>
      </c>
      <c r="X126" s="38">
        <f>D126-C126</f>
        <v>0</v>
      </c>
      <c r="Y126" s="38">
        <f>E126-D126</f>
        <v>0</v>
      </c>
      <c r="Z126" s="38">
        <f>F126-E126</f>
        <v>0</v>
      </c>
      <c r="AA126" s="38">
        <f>G126-F126</f>
        <v>0</v>
      </c>
      <c r="AB126" s="38">
        <f>FORESTS[[#This Row],[Column7]]+FORESTS[[#This Row],[Column8]]</f>
        <v>0</v>
      </c>
      <c r="AD126" s="63">
        <f>(D126-C126)/10</f>
        <v>0</v>
      </c>
      <c r="AE126" s="63">
        <f>(E126-D126)/10</f>
        <v>0</v>
      </c>
      <c r="AF126" s="63">
        <f>(F126-E126)/5</f>
        <v>0</v>
      </c>
      <c r="AG126" s="63">
        <f>(G126-F126)/5</f>
        <v>0</v>
      </c>
      <c r="AH126" s="28">
        <v>1</v>
      </c>
    </row>
    <row r="127" spans="1:34" x14ac:dyDescent="0.2">
      <c r="A127" s="28">
        <v>832</v>
      </c>
      <c r="B127" s="28" t="s">
        <v>229</v>
      </c>
      <c r="C127" s="30">
        <v>0.6</v>
      </c>
      <c r="D127" s="30">
        <v>0.6</v>
      </c>
      <c r="E127" s="30">
        <v>0.6</v>
      </c>
      <c r="F127" s="30">
        <v>0.6</v>
      </c>
      <c r="G127" s="30">
        <v>0.6</v>
      </c>
      <c r="H127" s="30">
        <v>12</v>
      </c>
      <c r="I127" s="54">
        <f>C127/$H127</f>
        <v>4.9999999999999996E-2</v>
      </c>
      <c r="J127" s="54">
        <f>D127/$H127</f>
        <v>4.9999999999999996E-2</v>
      </c>
      <c r="K127" s="54">
        <f>E127/$H127</f>
        <v>4.9999999999999996E-2</v>
      </c>
      <c r="L127" s="54">
        <f>F127/$H127</f>
        <v>4.9999999999999996E-2</v>
      </c>
      <c r="M127" s="54">
        <f>G127/$H127</f>
        <v>4.9999999999999996E-2</v>
      </c>
      <c r="N127" s="51">
        <f>FORESTS[[#This Row],[Area_2020]]-FORESTS[[#This Row],[Area_1990]]</f>
        <v>0</v>
      </c>
      <c r="O127" s="51">
        <f>ABS(FORESTS[[#This Row],[Area_Delta]])</f>
        <v>0</v>
      </c>
      <c r="P127" s="104">
        <f>FORESTS[[#This Row],[Area_2020_%]]-FORESTS[[#This Row],[Area_1990_%]]</f>
        <v>0</v>
      </c>
      <c r="Q127" s="54" t="b">
        <f>IF(G127&gt;C127, TRUE, FALSE)</f>
        <v>0</v>
      </c>
      <c r="R127" s="51">
        <f>IF(Q127=TRUE,G127-C127,0)</f>
        <v>0</v>
      </c>
      <c r="S127" s="51">
        <f>IF(Q127=TRUE,0,C127-G127)</f>
        <v>0</v>
      </c>
      <c r="T127" s="48">
        <f>IF(J127&lt;I127,1,0)+IF(K127&lt;J127,1,0)+IF(L127&lt;K127,1,0)+IF(M127&lt;L127,1,0)</f>
        <v>0</v>
      </c>
      <c r="U127" s="48">
        <v>5</v>
      </c>
      <c r="V127" s="30">
        <v>0</v>
      </c>
      <c r="W127" s="30" t="s">
        <v>247</v>
      </c>
      <c r="X127" s="38">
        <f>D127-C127</f>
        <v>0</v>
      </c>
      <c r="Y127" s="38">
        <f>E127-D127</f>
        <v>0</v>
      </c>
      <c r="Z127" s="38">
        <f>F127-E127</f>
        <v>0</v>
      </c>
      <c r="AA127" s="38">
        <f>G127-F127</f>
        <v>0</v>
      </c>
      <c r="AB127" s="38">
        <f>FORESTS[[#This Row],[Column7]]+FORESTS[[#This Row],[Column8]]</f>
        <v>0</v>
      </c>
      <c r="AD127" s="63">
        <f>(D127-C127)/10</f>
        <v>0</v>
      </c>
      <c r="AE127" s="63">
        <f>(E127-D127)/10</f>
        <v>0</v>
      </c>
      <c r="AF127" s="63">
        <f>(F127-E127)/5</f>
        <v>0</v>
      </c>
      <c r="AG127" s="63">
        <f>(G127-F127)/5</f>
        <v>0</v>
      </c>
    </row>
    <row r="128" spans="1:34" x14ac:dyDescent="0.2">
      <c r="A128" s="28">
        <v>462</v>
      </c>
      <c r="B128" s="28" t="s">
        <v>99</v>
      </c>
      <c r="C128" s="30">
        <v>0.82</v>
      </c>
      <c r="D128" s="30">
        <v>0.82</v>
      </c>
      <c r="E128" s="30">
        <v>0.82</v>
      </c>
      <c r="F128" s="30">
        <v>0.82</v>
      </c>
      <c r="G128" s="30">
        <v>0.82</v>
      </c>
      <c r="H128" s="30">
        <v>30</v>
      </c>
      <c r="I128" s="54">
        <f>C128/$H128</f>
        <v>2.7333333333333331E-2</v>
      </c>
      <c r="J128" s="54">
        <f>D128/$H128</f>
        <v>2.7333333333333331E-2</v>
      </c>
      <c r="K128" s="54">
        <f>E128/$H128</f>
        <v>2.7333333333333331E-2</v>
      </c>
      <c r="L128" s="54">
        <f>F128/$H128</f>
        <v>2.7333333333333331E-2</v>
      </c>
      <c r="M128" s="54">
        <f>G128/$H128</f>
        <v>2.7333333333333331E-2</v>
      </c>
      <c r="N128" s="51">
        <f>FORESTS[[#This Row],[Area_2020]]-FORESTS[[#This Row],[Area_1990]]</f>
        <v>0</v>
      </c>
      <c r="O128" s="51">
        <f>ABS(FORESTS[[#This Row],[Area_Delta]])</f>
        <v>0</v>
      </c>
      <c r="P128" s="104">
        <f>FORESTS[[#This Row],[Area_2020_%]]-FORESTS[[#This Row],[Area_1990_%]]</f>
        <v>0</v>
      </c>
      <c r="Q128" s="54" t="b">
        <f>IF(G128&gt;C128, TRUE, FALSE)</f>
        <v>0</v>
      </c>
      <c r="R128" s="51">
        <f>IF(Q128=TRUE,G128-C128,0)</f>
        <v>0</v>
      </c>
      <c r="S128" s="51">
        <f>IF(Q128=TRUE,0,C128-G128)</f>
        <v>0</v>
      </c>
      <c r="T128" s="48">
        <f>IF(J128&lt;I128,1,0)+IF(K128&lt;J128,1,0)+IF(L128&lt;K128,1,0)+IF(M128&lt;L128,1,0)</f>
        <v>0</v>
      </c>
      <c r="U128" s="48">
        <v>2.73</v>
      </c>
      <c r="V128" s="30">
        <v>0</v>
      </c>
      <c r="W128" s="30">
        <v>0</v>
      </c>
      <c r="X128" s="38">
        <f>D128-C128</f>
        <v>0</v>
      </c>
      <c r="Y128" s="38">
        <f>E128-D128</f>
        <v>0</v>
      </c>
      <c r="Z128" s="38">
        <f>F128-E128</f>
        <v>0</v>
      </c>
      <c r="AA128" s="38">
        <f>G128-F128</f>
        <v>0</v>
      </c>
      <c r="AB128" s="38">
        <f>FORESTS[[#This Row],[Column7]]+FORESTS[[#This Row],[Column8]]</f>
        <v>0</v>
      </c>
      <c r="AD128" s="63">
        <f>(D128-C128)/10</f>
        <v>0</v>
      </c>
      <c r="AE128" s="63">
        <f>(E128-D128)/10</f>
        <v>0</v>
      </c>
      <c r="AF128" s="63">
        <f>(F128-E128)/5</f>
        <v>0</v>
      </c>
      <c r="AG128" s="63">
        <f>(G128-F128)/5</f>
        <v>0</v>
      </c>
      <c r="AH128" s="28">
        <v>1</v>
      </c>
    </row>
    <row r="129" spans="1:34" x14ac:dyDescent="0.2">
      <c r="A129" s="28">
        <v>533</v>
      </c>
      <c r="B129" s="28" t="s">
        <v>205</v>
      </c>
      <c r="C129" s="30">
        <v>0.42</v>
      </c>
      <c r="D129" s="30">
        <v>0.42</v>
      </c>
      <c r="E129" s="30">
        <v>0.42</v>
      </c>
      <c r="F129" s="30">
        <v>0.42</v>
      </c>
      <c r="G129" s="30">
        <v>0.42</v>
      </c>
      <c r="H129" s="30">
        <v>18</v>
      </c>
      <c r="I129" s="54">
        <f>C129/$H129</f>
        <v>2.3333333333333331E-2</v>
      </c>
      <c r="J129" s="54">
        <f>D129/$H129</f>
        <v>2.3333333333333331E-2</v>
      </c>
      <c r="K129" s="54">
        <f>E129/$H129</f>
        <v>2.3333333333333331E-2</v>
      </c>
      <c r="L129" s="54">
        <f>F129/$H129</f>
        <v>2.3333333333333331E-2</v>
      </c>
      <c r="M129" s="54">
        <f>G129/$H129</f>
        <v>2.3333333333333331E-2</v>
      </c>
      <c r="N129" s="51">
        <f>FORESTS[[#This Row],[Area_2020]]-FORESTS[[#This Row],[Area_1990]]</f>
        <v>0</v>
      </c>
      <c r="O129" s="51">
        <f>ABS(FORESTS[[#This Row],[Area_Delta]])</f>
        <v>0</v>
      </c>
      <c r="P129" s="104">
        <f>FORESTS[[#This Row],[Area_2020_%]]-FORESTS[[#This Row],[Area_1990_%]]</f>
        <v>0</v>
      </c>
      <c r="Q129" s="54" t="b">
        <f>IF(G129&gt;C129, TRUE, FALSE)</f>
        <v>0</v>
      </c>
      <c r="R129" s="51">
        <f>IF(Q129=TRUE,G129-C129,0)</f>
        <v>0</v>
      </c>
      <c r="S129" s="51">
        <f>IF(Q129=TRUE,0,C129-G129)</f>
        <v>0</v>
      </c>
      <c r="T129" s="48">
        <f>IF(J129&lt;I129,1,0)+IF(K129&lt;J129,1,0)+IF(L129&lt;K129,1,0)+IF(M129&lt;L129,1,0)</f>
        <v>0</v>
      </c>
      <c r="U129" s="48">
        <v>2.33</v>
      </c>
      <c r="V129" s="30">
        <v>0</v>
      </c>
      <c r="W129" s="30" t="s">
        <v>247</v>
      </c>
      <c r="X129" s="38">
        <f>D129-C129</f>
        <v>0</v>
      </c>
      <c r="Y129" s="38">
        <f>E129-D129</f>
        <v>0</v>
      </c>
      <c r="Z129" s="38">
        <f>F129-E129</f>
        <v>0</v>
      </c>
      <c r="AA129" s="38">
        <f>G129-F129</f>
        <v>0</v>
      </c>
      <c r="AB129" s="38">
        <f>FORESTS[[#This Row],[Column7]]+FORESTS[[#This Row],[Column8]]</f>
        <v>0</v>
      </c>
      <c r="AD129" s="63">
        <f>(D129-C129)/10</f>
        <v>0</v>
      </c>
      <c r="AE129" s="63">
        <f>(E129-D129)/10</f>
        <v>0</v>
      </c>
      <c r="AF129" s="63">
        <f>(F129-E129)/5</f>
        <v>0</v>
      </c>
      <c r="AG129" s="63">
        <f>(G129-F129)/5</f>
        <v>0</v>
      </c>
      <c r="AH129" s="28">
        <v>1</v>
      </c>
    </row>
    <row r="130" spans="1:34" x14ac:dyDescent="0.2">
      <c r="A130" s="28">
        <v>4</v>
      </c>
      <c r="B130" s="28" t="s">
        <v>0</v>
      </c>
      <c r="C130" s="38">
        <v>1208.44</v>
      </c>
      <c r="D130" s="38">
        <v>1208.44</v>
      </c>
      <c r="E130" s="38">
        <v>1208.44</v>
      </c>
      <c r="F130" s="38">
        <v>1208.44</v>
      </c>
      <c r="G130" s="38">
        <v>1208.44</v>
      </c>
      <c r="H130" s="38">
        <v>65286</v>
      </c>
      <c r="I130" s="54">
        <f>C130/$H130</f>
        <v>1.8509940875532274E-2</v>
      </c>
      <c r="J130" s="54">
        <f>D130/$H130</f>
        <v>1.8509940875532274E-2</v>
      </c>
      <c r="K130" s="54">
        <f>E130/$H130</f>
        <v>1.8509940875532274E-2</v>
      </c>
      <c r="L130" s="54">
        <f>F130/$H130</f>
        <v>1.8509940875532274E-2</v>
      </c>
      <c r="M130" s="54">
        <f>G130/$H130</f>
        <v>1.8509940875532274E-2</v>
      </c>
      <c r="N130" s="51">
        <f>FORESTS[[#This Row],[Area_2020]]-FORESTS[[#This Row],[Area_1990]]</f>
        <v>0</v>
      </c>
      <c r="O130" s="51">
        <f>ABS(FORESTS[[#This Row],[Area_Delta]])</f>
        <v>0</v>
      </c>
      <c r="P130" s="104">
        <f>FORESTS[[#This Row],[Area_2020_%]]-FORESTS[[#This Row],[Area_1990_%]]</f>
        <v>0</v>
      </c>
      <c r="Q130" s="54" t="b">
        <f>IF(G130&gt;C130, TRUE, FALSE)</f>
        <v>0</v>
      </c>
      <c r="R130" s="51">
        <f>IF(Q130=TRUE,G130-C130,0)</f>
        <v>0</v>
      </c>
      <c r="S130" s="51">
        <f>IF(Q130=TRUE,0,C130-G130)</f>
        <v>0</v>
      </c>
      <c r="T130" s="48">
        <f>IF(J130&lt;I130,1,0)+IF(K130&lt;J130,1,0)+IF(L130&lt;K130,1,0)+IF(M130&lt;L130,1,0)</f>
        <v>0</v>
      </c>
      <c r="U130" s="43">
        <v>1.85</v>
      </c>
      <c r="V130" s="30" t="s">
        <v>247</v>
      </c>
      <c r="W130" s="38" t="s">
        <v>247</v>
      </c>
      <c r="X130" s="38">
        <f>D130-C130</f>
        <v>0</v>
      </c>
      <c r="Y130" s="38">
        <f>E130-D130</f>
        <v>0</v>
      </c>
      <c r="Z130" s="38">
        <f>F130-E130</f>
        <v>0</v>
      </c>
      <c r="AA130" s="38">
        <f>G130-F130</f>
        <v>0</v>
      </c>
      <c r="AB130" s="38">
        <f>FORESTS[[#This Row],[Column7]]+FORESTS[[#This Row],[Column8]]</f>
        <v>0</v>
      </c>
      <c r="AD130" s="63">
        <f>(D130-C130)/10</f>
        <v>0</v>
      </c>
      <c r="AE130" s="63">
        <f>(E130-D130)/10</f>
        <v>0</v>
      </c>
      <c r="AF130" s="63">
        <f>(F130-E130)/5</f>
        <v>0</v>
      </c>
      <c r="AG130" s="63">
        <f>(G130-F130)/5</f>
        <v>0</v>
      </c>
      <c r="AH130" s="28">
        <v>1</v>
      </c>
    </row>
    <row r="131" spans="1:34" x14ac:dyDescent="0.2">
      <c r="A131" s="28">
        <v>296</v>
      </c>
      <c r="B131" s="28" t="s">
        <v>241</v>
      </c>
      <c r="C131" s="30">
        <v>1.18</v>
      </c>
      <c r="D131" s="30">
        <v>1.18</v>
      </c>
      <c r="E131" s="30">
        <v>1.18</v>
      </c>
      <c r="F131" s="30">
        <v>1.18</v>
      </c>
      <c r="G131" s="30">
        <v>1.18</v>
      </c>
      <c r="H131" s="30">
        <v>81</v>
      </c>
      <c r="I131" s="54">
        <f>C131/$H131</f>
        <v>1.4567901234567901E-2</v>
      </c>
      <c r="J131" s="54">
        <f>D131/$H131</f>
        <v>1.4567901234567901E-2</v>
      </c>
      <c r="K131" s="54">
        <f>E131/$H131</f>
        <v>1.4567901234567901E-2</v>
      </c>
      <c r="L131" s="54">
        <f>F131/$H131</f>
        <v>1.4567901234567901E-2</v>
      </c>
      <c r="M131" s="54">
        <f>G131/$H131</f>
        <v>1.4567901234567901E-2</v>
      </c>
      <c r="N131" s="51">
        <f>FORESTS[[#This Row],[Area_2020]]-FORESTS[[#This Row],[Area_1990]]</f>
        <v>0</v>
      </c>
      <c r="O131" s="51">
        <f>ABS(FORESTS[[#This Row],[Area_Delta]])</f>
        <v>0</v>
      </c>
      <c r="P131" s="104">
        <f>FORESTS[[#This Row],[Area_2020_%]]-FORESTS[[#This Row],[Area_1990_%]]</f>
        <v>0</v>
      </c>
      <c r="Q131" s="54" t="b">
        <f>IF(G131&gt;C131, TRUE, FALSE)</f>
        <v>0</v>
      </c>
      <c r="R131" s="51">
        <f>IF(Q131=TRUE,G131-C131,0)</f>
        <v>0</v>
      </c>
      <c r="S131" s="51">
        <f>IF(Q131=TRUE,0,C131-G131)</f>
        <v>0</v>
      </c>
      <c r="T131" s="48">
        <f>IF(J131&lt;I131,1,0)+IF(K131&lt;J131,1,0)+IF(L131&lt;K131,1,0)+IF(M131&lt;L131,1,0)</f>
        <v>0</v>
      </c>
      <c r="U131" s="48">
        <v>1.46</v>
      </c>
      <c r="V131" s="30" t="s">
        <v>247</v>
      </c>
      <c r="W131" s="30" t="s">
        <v>247</v>
      </c>
      <c r="X131" s="38">
        <f>D131-C131</f>
        <v>0</v>
      </c>
      <c r="Y131" s="38">
        <f>E131-D131</f>
        <v>0</v>
      </c>
      <c r="Z131" s="38">
        <f>F131-E131</f>
        <v>0</v>
      </c>
      <c r="AA131" s="38">
        <f>G131-F131</f>
        <v>0</v>
      </c>
      <c r="AB131" s="38">
        <f>FORESTS[[#This Row],[Column7]]+FORESTS[[#This Row],[Column8]]</f>
        <v>0</v>
      </c>
      <c r="AD131" s="63">
        <f>(D131-C131)/10</f>
        <v>0</v>
      </c>
      <c r="AE131" s="63">
        <f>(E131-D131)/10</f>
        <v>0</v>
      </c>
      <c r="AF131" s="63">
        <f>(F131-E131)/5</f>
        <v>0</v>
      </c>
      <c r="AG131" s="63">
        <f>(G131-F131)/5</f>
        <v>0</v>
      </c>
      <c r="AH131" s="28">
        <v>1</v>
      </c>
    </row>
    <row r="132" spans="1:34" x14ac:dyDescent="0.2">
      <c r="A132" s="28">
        <v>426</v>
      </c>
      <c r="B132" s="28" t="s">
        <v>91</v>
      </c>
      <c r="C132" s="30">
        <v>34.520000000000003</v>
      </c>
      <c r="D132" s="30">
        <v>34.520000000000003</v>
      </c>
      <c r="E132" s="30">
        <v>34.520000000000003</v>
      </c>
      <c r="F132" s="30">
        <v>34.520000000000003</v>
      </c>
      <c r="G132" s="30">
        <v>34.520000000000003</v>
      </c>
      <c r="H132" s="30">
        <v>3036</v>
      </c>
      <c r="I132" s="54">
        <f>C132/$H132</f>
        <v>1.1370223978919632E-2</v>
      </c>
      <c r="J132" s="54">
        <f>D132/$H132</f>
        <v>1.1370223978919632E-2</v>
      </c>
      <c r="K132" s="54">
        <f>E132/$H132</f>
        <v>1.1370223978919632E-2</v>
      </c>
      <c r="L132" s="54">
        <f>F132/$H132</f>
        <v>1.1370223978919632E-2</v>
      </c>
      <c r="M132" s="54">
        <f>G132/$H132</f>
        <v>1.1370223978919632E-2</v>
      </c>
      <c r="N132" s="51">
        <f>FORESTS[[#This Row],[Area_2020]]-FORESTS[[#This Row],[Area_1990]]</f>
        <v>0</v>
      </c>
      <c r="O132" s="51">
        <f>ABS(FORESTS[[#This Row],[Area_Delta]])</f>
        <v>0</v>
      </c>
      <c r="P132" s="104">
        <f>FORESTS[[#This Row],[Area_2020_%]]-FORESTS[[#This Row],[Area_1990_%]]</f>
        <v>0</v>
      </c>
      <c r="Q132" s="54" t="b">
        <f>IF(G132&gt;C132, TRUE, FALSE)</f>
        <v>0</v>
      </c>
      <c r="R132" s="51">
        <f>IF(Q132=TRUE,G132-C132,0)</f>
        <v>0</v>
      </c>
      <c r="S132" s="51">
        <f>IF(Q132=TRUE,0,C132-G132)</f>
        <v>0</v>
      </c>
      <c r="T132" s="48">
        <f>IF(J132&lt;I132,1,0)+IF(K132&lt;J132,1,0)+IF(L132&lt;K132,1,0)+IF(M132&lt;L132,1,0)</f>
        <v>0</v>
      </c>
      <c r="U132" s="48">
        <v>1.1399999999999999</v>
      </c>
      <c r="V132" s="30" t="s">
        <v>247</v>
      </c>
      <c r="W132" s="30" t="s">
        <v>247</v>
      </c>
      <c r="X132" s="38">
        <f>D132-C132</f>
        <v>0</v>
      </c>
      <c r="Y132" s="38">
        <f>E132-D132</f>
        <v>0</v>
      </c>
      <c r="Z132" s="38">
        <f>F132-E132</f>
        <v>0</v>
      </c>
      <c r="AA132" s="38">
        <f>G132-F132</f>
        <v>0</v>
      </c>
      <c r="AB132" s="38">
        <f>FORESTS[[#This Row],[Column7]]+FORESTS[[#This Row],[Column8]]</f>
        <v>0</v>
      </c>
      <c r="AD132" s="63">
        <f>(D132-C132)/10</f>
        <v>0</v>
      </c>
      <c r="AE132" s="63">
        <f>(E132-D132)/10</f>
        <v>0</v>
      </c>
      <c r="AF132" s="63">
        <f>(F132-E132)/5</f>
        <v>0</v>
      </c>
      <c r="AG132" s="63">
        <f>(G132-F132)/5</f>
        <v>0</v>
      </c>
      <c r="AH132" s="28">
        <v>1</v>
      </c>
    </row>
    <row r="133" spans="1:34" x14ac:dyDescent="0.2">
      <c r="A133" s="28">
        <v>400</v>
      </c>
      <c r="B133" s="28" t="s">
        <v>84</v>
      </c>
      <c r="C133" s="38">
        <v>97.5</v>
      </c>
      <c r="D133" s="38">
        <v>97.5</v>
      </c>
      <c r="E133" s="38">
        <v>97.5</v>
      </c>
      <c r="F133" s="38">
        <v>97.5</v>
      </c>
      <c r="G133" s="38">
        <v>97.5</v>
      </c>
      <c r="H133" s="38">
        <v>8878</v>
      </c>
      <c r="I133" s="54">
        <f>C133/$H133</f>
        <v>1.0982203198918676E-2</v>
      </c>
      <c r="J133" s="54">
        <f>D133/$H133</f>
        <v>1.0982203198918676E-2</v>
      </c>
      <c r="K133" s="54">
        <f>E133/$H133</f>
        <v>1.0982203198918676E-2</v>
      </c>
      <c r="L133" s="54">
        <f>F133/$H133</f>
        <v>1.0982203198918676E-2</v>
      </c>
      <c r="M133" s="54">
        <f>G133/$H133</f>
        <v>1.0982203198918676E-2</v>
      </c>
      <c r="N133" s="51">
        <f>FORESTS[[#This Row],[Area_2020]]-FORESTS[[#This Row],[Area_1990]]</f>
        <v>0</v>
      </c>
      <c r="O133" s="51">
        <f>ABS(FORESTS[[#This Row],[Area_Delta]])</f>
        <v>0</v>
      </c>
      <c r="P133" s="104">
        <f>FORESTS[[#This Row],[Area_2020_%]]-FORESTS[[#This Row],[Area_1990_%]]</f>
        <v>0</v>
      </c>
      <c r="Q133" s="54" t="b">
        <f>IF(G133&gt;C133, TRUE, FALSE)</f>
        <v>0</v>
      </c>
      <c r="R133" s="51">
        <f>IF(Q133=TRUE,G133-C133,0)</f>
        <v>0</v>
      </c>
      <c r="S133" s="51">
        <f>IF(Q133=TRUE,0,C133-G133)</f>
        <v>0</v>
      </c>
      <c r="T133" s="48">
        <f>IF(J133&lt;I133,1,0)+IF(K133&lt;J133,1,0)+IF(L133&lt;K133,1,0)+IF(M133&lt;L133,1,0)</f>
        <v>0</v>
      </c>
      <c r="U133" s="43">
        <v>1.1000000000000001</v>
      </c>
      <c r="V133" s="30" t="s">
        <v>247</v>
      </c>
      <c r="W133" s="38" t="s">
        <v>247</v>
      </c>
      <c r="X133" s="38">
        <f>D133-C133</f>
        <v>0</v>
      </c>
      <c r="Y133" s="38">
        <f>E133-D133</f>
        <v>0</v>
      </c>
      <c r="Z133" s="38">
        <f>F133-E133</f>
        <v>0</v>
      </c>
      <c r="AA133" s="38">
        <f>G133-F133</f>
        <v>0</v>
      </c>
      <c r="AB133" s="38">
        <f>FORESTS[[#This Row],[Column7]]+FORESTS[[#This Row],[Column8]]</f>
        <v>0</v>
      </c>
      <c r="AD133" s="63">
        <f>(D133-C133)/10</f>
        <v>0</v>
      </c>
      <c r="AE133" s="63">
        <f>(E133-D133)/10</f>
        <v>0</v>
      </c>
      <c r="AF133" s="63">
        <f>(F133-E133)/5</f>
        <v>0</v>
      </c>
      <c r="AG133" s="63">
        <f>(G133-F133)/5</f>
        <v>0</v>
      </c>
    </row>
    <row r="134" spans="1:34" x14ac:dyDescent="0.2">
      <c r="A134" s="28">
        <v>887</v>
      </c>
      <c r="B134" s="28" t="s">
        <v>183</v>
      </c>
      <c r="C134" s="38">
        <v>549</v>
      </c>
      <c r="D134" s="38">
        <v>549</v>
      </c>
      <c r="E134" s="38">
        <v>549</v>
      </c>
      <c r="F134" s="38">
        <v>549</v>
      </c>
      <c r="G134" s="38">
        <v>549</v>
      </c>
      <c r="H134" s="38">
        <v>52797</v>
      </c>
      <c r="I134" s="54">
        <f>C134/$H134</f>
        <v>1.0398318086254901E-2</v>
      </c>
      <c r="J134" s="54">
        <f>D134/$H134</f>
        <v>1.0398318086254901E-2</v>
      </c>
      <c r="K134" s="54">
        <f>E134/$H134</f>
        <v>1.0398318086254901E-2</v>
      </c>
      <c r="L134" s="54">
        <f>F134/$H134</f>
        <v>1.0398318086254901E-2</v>
      </c>
      <c r="M134" s="54">
        <f>G134/$H134</f>
        <v>1.0398318086254901E-2</v>
      </c>
      <c r="N134" s="51">
        <f>FORESTS[[#This Row],[Area_2020]]-FORESTS[[#This Row],[Area_1990]]</f>
        <v>0</v>
      </c>
      <c r="O134" s="51">
        <f>ABS(FORESTS[[#This Row],[Area_Delta]])</f>
        <v>0</v>
      </c>
      <c r="P134" s="104">
        <f>FORESTS[[#This Row],[Area_2020_%]]-FORESTS[[#This Row],[Area_1990_%]]</f>
        <v>0</v>
      </c>
      <c r="Q134" s="54" t="b">
        <f>IF(G134&gt;C134, TRUE, FALSE)</f>
        <v>0</v>
      </c>
      <c r="R134" s="51">
        <f>IF(Q134=TRUE,G134-C134,0)</f>
        <v>0</v>
      </c>
      <c r="S134" s="51">
        <f>IF(Q134=TRUE,0,C134-G134)</f>
        <v>0</v>
      </c>
      <c r="T134" s="48">
        <f>IF(J134&lt;I134,1,0)+IF(K134&lt;J134,1,0)+IF(L134&lt;K134,1,0)+IF(M134&lt;L134,1,0)</f>
        <v>0</v>
      </c>
      <c r="U134" s="43">
        <v>1.04</v>
      </c>
      <c r="V134" s="30" t="s">
        <v>247</v>
      </c>
      <c r="W134" s="38" t="s">
        <v>247</v>
      </c>
      <c r="X134" s="38">
        <f>D134-C134</f>
        <v>0</v>
      </c>
      <c r="Y134" s="38">
        <f>E134-D134</f>
        <v>0</v>
      </c>
      <c r="Z134" s="38">
        <f>F134-E134</f>
        <v>0</v>
      </c>
      <c r="AA134" s="38">
        <f>G134-F134</f>
        <v>0</v>
      </c>
      <c r="AB134" s="38">
        <f>FORESTS[[#This Row],[Column7]]+FORESTS[[#This Row],[Column8]]</f>
        <v>0</v>
      </c>
      <c r="AD134" s="63">
        <f>(D134-C134)/10</f>
        <v>0</v>
      </c>
      <c r="AE134" s="63">
        <f>(E134-D134)/10</f>
        <v>0</v>
      </c>
      <c r="AF134" s="63">
        <f>(F134-E134)/5</f>
        <v>0</v>
      </c>
      <c r="AG134" s="63">
        <f>(G134-F134)/5</f>
        <v>0</v>
      </c>
    </row>
    <row r="135" spans="1:34" x14ac:dyDescent="0.2">
      <c r="A135" s="28">
        <v>682</v>
      </c>
      <c r="B135" s="28" t="s">
        <v>225</v>
      </c>
      <c r="C135" s="38">
        <v>977</v>
      </c>
      <c r="D135" s="38">
        <v>977</v>
      </c>
      <c r="E135" s="38">
        <v>977</v>
      </c>
      <c r="F135" s="38">
        <v>977</v>
      </c>
      <c r="G135" s="38">
        <v>977</v>
      </c>
      <c r="H135" s="38">
        <v>214969</v>
      </c>
      <c r="I135" s="54">
        <f>C135/$H135</f>
        <v>4.5448413492177944E-3</v>
      </c>
      <c r="J135" s="54">
        <f>D135/$H135</f>
        <v>4.5448413492177944E-3</v>
      </c>
      <c r="K135" s="54">
        <f>E135/$H135</f>
        <v>4.5448413492177944E-3</v>
      </c>
      <c r="L135" s="54">
        <f>F135/$H135</f>
        <v>4.5448413492177944E-3</v>
      </c>
      <c r="M135" s="54">
        <f>G135/$H135</f>
        <v>4.5448413492177944E-3</v>
      </c>
      <c r="N135" s="51">
        <f>FORESTS[[#This Row],[Area_2020]]-FORESTS[[#This Row],[Area_1990]]</f>
        <v>0</v>
      </c>
      <c r="O135" s="51">
        <f>ABS(FORESTS[[#This Row],[Area_Delta]])</f>
        <v>0</v>
      </c>
      <c r="P135" s="104">
        <f>FORESTS[[#This Row],[Area_2020_%]]-FORESTS[[#This Row],[Area_1990_%]]</f>
        <v>0</v>
      </c>
      <c r="Q135" s="54" t="b">
        <f>IF(G135&gt;C135, TRUE, FALSE)</f>
        <v>0</v>
      </c>
      <c r="R135" s="51">
        <f>IF(Q135=TRUE,G135-C135,0)</f>
        <v>0</v>
      </c>
      <c r="S135" s="51">
        <f>IF(Q135=TRUE,0,C135-G135)</f>
        <v>0</v>
      </c>
      <c r="T135" s="48">
        <f>IF(J135&lt;I135,1,0)+IF(K135&lt;J135,1,0)+IF(L135&lt;K135,1,0)+IF(M135&lt;L135,1,0)</f>
        <v>0</v>
      </c>
      <c r="U135" s="43">
        <v>0.45</v>
      </c>
      <c r="V135" s="30" t="s">
        <v>247</v>
      </c>
      <c r="W135" s="38" t="s">
        <v>247</v>
      </c>
      <c r="X135" s="38">
        <f>D135-C135</f>
        <v>0</v>
      </c>
      <c r="Y135" s="38">
        <f>E135-D135</f>
        <v>0</v>
      </c>
      <c r="Z135" s="38">
        <f>F135-E135</f>
        <v>0</v>
      </c>
      <c r="AA135" s="38">
        <f>G135-F135</f>
        <v>0</v>
      </c>
      <c r="AB135" s="38">
        <f>FORESTS[[#This Row],[Column7]]+FORESTS[[#This Row],[Column8]]</f>
        <v>0</v>
      </c>
      <c r="AD135" s="63">
        <f>(D135-C135)/10</f>
        <v>0</v>
      </c>
      <c r="AE135" s="63">
        <f>(E135-D135)/10</f>
        <v>0</v>
      </c>
      <c r="AF135" s="63">
        <f>(F135-E135)/5</f>
        <v>0</v>
      </c>
      <c r="AG135" s="63">
        <f>(G135-F135)/5</f>
        <v>0</v>
      </c>
    </row>
    <row r="136" spans="1:34" x14ac:dyDescent="0.2">
      <c r="A136" s="28">
        <v>531</v>
      </c>
      <c r="B136" s="28" t="s">
        <v>209</v>
      </c>
      <c r="C136" s="30">
        <v>7.0000000000000007E-2</v>
      </c>
      <c r="D136" s="30">
        <v>7.0000000000000007E-2</v>
      </c>
      <c r="E136" s="30">
        <v>7.0000000000000007E-2</v>
      </c>
      <c r="F136" s="30">
        <v>7.0000000000000007E-2</v>
      </c>
      <c r="G136" s="30">
        <v>7.0000000000000007E-2</v>
      </c>
      <c r="H136" s="30">
        <v>44.4</v>
      </c>
      <c r="I136" s="54">
        <f>C136/$H136</f>
        <v>1.5765765765765767E-3</v>
      </c>
      <c r="J136" s="54">
        <f>D136/$H136</f>
        <v>1.5765765765765767E-3</v>
      </c>
      <c r="K136" s="54">
        <f>E136/$H136</f>
        <v>1.5765765765765767E-3</v>
      </c>
      <c r="L136" s="54">
        <f>F136/$H136</f>
        <v>1.5765765765765767E-3</v>
      </c>
      <c r="M136" s="54">
        <f>G136/$H136</f>
        <v>1.5765765765765767E-3</v>
      </c>
      <c r="N136" s="51">
        <f>FORESTS[[#This Row],[Area_2020]]-FORESTS[[#This Row],[Area_1990]]</f>
        <v>0</v>
      </c>
      <c r="O136" s="51">
        <f>ABS(FORESTS[[#This Row],[Area_Delta]])</f>
        <v>0</v>
      </c>
      <c r="P136" s="104">
        <f>FORESTS[[#This Row],[Area_2020_%]]-FORESTS[[#This Row],[Area_1990_%]]</f>
        <v>0</v>
      </c>
      <c r="Q136" s="54" t="b">
        <f>IF(G136&gt;C136, TRUE, FALSE)</f>
        <v>0</v>
      </c>
      <c r="R136" s="51">
        <f>IF(Q136=TRUE,G136-C136,0)</f>
        <v>0</v>
      </c>
      <c r="S136" s="51">
        <f>IF(Q136=TRUE,0,C136-G136)</f>
        <v>0</v>
      </c>
      <c r="T136" s="48">
        <f>IF(J136&lt;I136,1,0)+IF(K136&lt;J136,1,0)+IF(L136&lt;K136,1,0)+IF(M136&lt;L136,1,0)</f>
        <v>0</v>
      </c>
      <c r="U136" s="48">
        <v>0.16</v>
      </c>
      <c r="V136" s="30" t="s">
        <v>247</v>
      </c>
      <c r="W136" s="30" t="s">
        <v>247</v>
      </c>
      <c r="X136" s="38">
        <f>D136-C136</f>
        <v>0</v>
      </c>
      <c r="Y136" s="38">
        <f>E136-D136</f>
        <v>0</v>
      </c>
      <c r="Z136" s="38">
        <f>F136-E136</f>
        <v>0</v>
      </c>
      <c r="AA136" s="38">
        <f>G136-F136</f>
        <v>0</v>
      </c>
      <c r="AB136" s="38">
        <f>FORESTS[[#This Row],[Column7]]+FORESTS[[#This Row],[Column8]]</f>
        <v>0</v>
      </c>
      <c r="AD136" s="63">
        <f>(D136-C136)/10</f>
        <v>0</v>
      </c>
      <c r="AE136" s="63">
        <f>(E136-D136)/10</f>
        <v>0</v>
      </c>
      <c r="AF136" s="63">
        <f>(F136-E136)/5</f>
        <v>0</v>
      </c>
      <c r="AG136" s="63">
        <f>(G136-F136)/5</f>
        <v>0</v>
      </c>
    </row>
    <row r="137" spans="1:34" x14ac:dyDescent="0.2">
      <c r="A137" s="28">
        <v>434</v>
      </c>
      <c r="B137" s="28" t="s">
        <v>197</v>
      </c>
      <c r="C137" s="38">
        <v>217</v>
      </c>
      <c r="D137" s="38">
        <v>217</v>
      </c>
      <c r="E137" s="38">
        <v>217</v>
      </c>
      <c r="F137" s="38">
        <v>217</v>
      </c>
      <c r="G137" s="38">
        <v>217</v>
      </c>
      <c r="H137" s="38">
        <v>175954</v>
      </c>
      <c r="I137" s="54">
        <f>C137/$H137</f>
        <v>1.2332768791843323E-3</v>
      </c>
      <c r="J137" s="54">
        <f>D137/$H137</f>
        <v>1.2332768791843323E-3</v>
      </c>
      <c r="K137" s="54">
        <f>E137/$H137</f>
        <v>1.2332768791843323E-3</v>
      </c>
      <c r="L137" s="54">
        <f>F137/$H137</f>
        <v>1.2332768791843323E-3</v>
      </c>
      <c r="M137" s="54">
        <f>G137/$H137</f>
        <v>1.2332768791843323E-3</v>
      </c>
      <c r="N137" s="51">
        <f>FORESTS[[#This Row],[Area_2020]]-FORESTS[[#This Row],[Area_1990]]</f>
        <v>0</v>
      </c>
      <c r="O137" s="51">
        <f>ABS(FORESTS[[#This Row],[Area_Delta]])</f>
        <v>0</v>
      </c>
      <c r="P137" s="104">
        <f>FORESTS[[#This Row],[Area_2020_%]]-FORESTS[[#This Row],[Area_1990_%]]</f>
        <v>0</v>
      </c>
      <c r="Q137" s="54" t="b">
        <f>IF(G137&gt;C137, TRUE, FALSE)</f>
        <v>0</v>
      </c>
      <c r="R137" s="51">
        <f>IF(Q137=TRUE,G137-C137,0)</f>
        <v>0</v>
      </c>
      <c r="S137" s="51">
        <f>IF(Q137=TRUE,0,C137-G137)</f>
        <v>0</v>
      </c>
      <c r="T137" s="48">
        <f>IF(J137&lt;I137,1,0)+IF(K137&lt;J137,1,0)+IF(L137&lt;K137,1,0)+IF(M137&lt;L137,1,0)</f>
        <v>0</v>
      </c>
      <c r="U137" s="43">
        <v>0.12</v>
      </c>
      <c r="V137" s="30" t="s">
        <v>247</v>
      </c>
      <c r="W137" s="38" t="s">
        <v>247</v>
      </c>
      <c r="X137" s="38">
        <f>D137-C137</f>
        <v>0</v>
      </c>
      <c r="Y137" s="38">
        <f>E137-D137</f>
        <v>0</v>
      </c>
      <c r="Z137" s="38">
        <f>F137-E137</f>
        <v>0</v>
      </c>
      <c r="AA137" s="38">
        <f>G137-F137</f>
        <v>0</v>
      </c>
      <c r="AB137" s="38">
        <f>FORESTS[[#This Row],[Column7]]+FORESTS[[#This Row],[Column8]]</f>
        <v>0</v>
      </c>
      <c r="AD137" s="63">
        <f>(D137-C137)/10</f>
        <v>0</v>
      </c>
      <c r="AE137" s="63">
        <f>(E137-D137)/10</f>
        <v>0</v>
      </c>
      <c r="AF137" s="63">
        <f>(F137-E137)/5</f>
        <v>0</v>
      </c>
      <c r="AG137" s="63">
        <f>(G137-F137)/5</f>
        <v>0</v>
      </c>
    </row>
    <row r="138" spans="1:34" x14ac:dyDescent="0.2">
      <c r="A138" s="28">
        <v>234</v>
      </c>
      <c r="B138" s="31" t="s">
        <v>230</v>
      </c>
      <c r="C138" s="30">
        <v>0.08</v>
      </c>
      <c r="D138" s="30">
        <v>0.08</v>
      </c>
      <c r="E138" s="30">
        <v>0.08</v>
      </c>
      <c r="F138" s="30">
        <v>0.08</v>
      </c>
      <c r="G138" s="30">
        <v>0.08</v>
      </c>
      <c r="H138" s="30">
        <v>140</v>
      </c>
      <c r="I138" s="54">
        <f>C138/$H138</f>
        <v>5.7142857142857147E-4</v>
      </c>
      <c r="J138" s="54">
        <f>D138/$H138</f>
        <v>5.7142857142857147E-4</v>
      </c>
      <c r="K138" s="54">
        <f>E138/$H138</f>
        <v>5.7142857142857147E-4</v>
      </c>
      <c r="L138" s="54">
        <f>F138/$H138</f>
        <v>5.7142857142857147E-4</v>
      </c>
      <c r="M138" s="54">
        <f>G138/$H138</f>
        <v>5.7142857142857147E-4</v>
      </c>
      <c r="N138" s="51">
        <f>FORESTS[[#This Row],[Area_2020]]-FORESTS[[#This Row],[Area_1990]]</f>
        <v>0</v>
      </c>
      <c r="O138" s="51">
        <f>ABS(FORESTS[[#This Row],[Area_Delta]])</f>
        <v>0</v>
      </c>
      <c r="P138" s="104">
        <f>FORESTS[[#This Row],[Area_2020_%]]-FORESTS[[#This Row],[Area_1990_%]]</f>
        <v>0</v>
      </c>
      <c r="Q138" s="54" t="b">
        <f>IF(G138&gt;C138, TRUE, FALSE)</f>
        <v>0</v>
      </c>
      <c r="R138" s="51">
        <f>IF(Q138=TRUE,G138-C138,0)</f>
        <v>0</v>
      </c>
      <c r="S138" s="51">
        <f>IF(Q138=TRUE,0,C138-G138)</f>
        <v>0</v>
      </c>
      <c r="T138" s="48">
        <f>IF(J138&lt;I138,1,0)+IF(K138&lt;J138,1,0)+IF(L138&lt;K138,1,0)+IF(M138&lt;L138,1,0)</f>
        <v>0</v>
      </c>
      <c r="U138" s="48">
        <v>0.06</v>
      </c>
      <c r="V138" s="30">
        <v>0</v>
      </c>
      <c r="W138" s="30" t="s">
        <v>247</v>
      </c>
      <c r="X138" s="38">
        <f>D138-C138</f>
        <v>0</v>
      </c>
      <c r="Y138" s="38">
        <f>E138-D138</f>
        <v>0</v>
      </c>
      <c r="Z138" s="38">
        <f>F138-E138</f>
        <v>0</v>
      </c>
      <c r="AA138" s="38">
        <f>G138-F138</f>
        <v>0</v>
      </c>
      <c r="AB138" s="38">
        <f>FORESTS[[#This Row],[Column7]]+FORESTS[[#This Row],[Column8]]</f>
        <v>0</v>
      </c>
      <c r="AD138" s="63">
        <f>(D138-C138)/10</f>
        <v>0</v>
      </c>
      <c r="AE138" s="63">
        <f>(E138-D138)/10</f>
        <v>0</v>
      </c>
      <c r="AF138" s="63">
        <f>(F138-E138)/5</f>
        <v>0</v>
      </c>
      <c r="AG138" s="63">
        <f>(G138-F138)/5</f>
        <v>0</v>
      </c>
    </row>
    <row r="139" spans="1:34" x14ac:dyDescent="0.2">
      <c r="A139" s="28">
        <v>304</v>
      </c>
      <c r="B139" s="28" t="s">
        <v>64</v>
      </c>
      <c r="C139" s="38">
        <v>0.22</v>
      </c>
      <c r="D139" s="38">
        <v>0.22</v>
      </c>
      <c r="E139" s="38">
        <v>0.22</v>
      </c>
      <c r="F139" s="38">
        <v>0.22</v>
      </c>
      <c r="G139" s="38">
        <v>0.22</v>
      </c>
      <c r="H139" s="38">
        <v>41045</v>
      </c>
      <c r="I139" s="54">
        <f>C139/$H139</f>
        <v>5.3599707637958335E-6</v>
      </c>
      <c r="J139" s="54">
        <f>D139/$H139</f>
        <v>5.3599707637958335E-6</v>
      </c>
      <c r="K139" s="54">
        <f>E139/$H139</f>
        <v>5.3599707637958335E-6</v>
      </c>
      <c r="L139" s="54">
        <f>F139/$H139</f>
        <v>5.3599707637958335E-6</v>
      </c>
      <c r="M139" s="54">
        <f>G139/$H139</f>
        <v>5.3599707637958335E-6</v>
      </c>
      <c r="N139" s="51">
        <f>FORESTS[[#This Row],[Area_2020]]-FORESTS[[#This Row],[Area_1990]]</f>
        <v>0</v>
      </c>
      <c r="O139" s="51">
        <f>ABS(FORESTS[[#This Row],[Area_Delta]])</f>
        <v>0</v>
      </c>
      <c r="P139" s="104">
        <f>FORESTS[[#This Row],[Area_2020_%]]-FORESTS[[#This Row],[Area_1990_%]]</f>
        <v>0</v>
      </c>
      <c r="Q139" s="54" t="b">
        <f>IF(G139&gt;C139, TRUE, FALSE)</f>
        <v>0</v>
      </c>
      <c r="R139" s="51">
        <f>IF(Q139=TRUE,G139-C139,0)</f>
        <v>0</v>
      </c>
      <c r="S139" s="51">
        <f>IF(Q139=TRUE,0,C139-G139)</f>
        <v>0</v>
      </c>
      <c r="T139" s="48">
        <f>IF(J139&lt;I139,1,0)+IF(K139&lt;J139,1,0)+IF(L139&lt;K139,1,0)+IF(M139&lt;L139,1,0)</f>
        <v>0</v>
      </c>
      <c r="U139" s="43">
        <v>0</v>
      </c>
      <c r="V139" s="30">
        <v>0</v>
      </c>
      <c r="W139" s="38">
        <v>0</v>
      </c>
      <c r="X139" s="38">
        <f>D139-C139</f>
        <v>0</v>
      </c>
      <c r="Y139" s="38">
        <f>E139-D139</f>
        <v>0</v>
      </c>
      <c r="Z139" s="38">
        <f>F139-E139</f>
        <v>0</v>
      </c>
      <c r="AA139" s="38">
        <f>G139-F139</f>
        <v>0</v>
      </c>
      <c r="AB139" s="38">
        <f>FORESTS[[#This Row],[Column7]]+FORESTS[[#This Row],[Column8]]</f>
        <v>0</v>
      </c>
      <c r="AD139" s="63">
        <f>(D139-C139)/10</f>
        <v>0</v>
      </c>
      <c r="AE139" s="63">
        <f>(E139-D139)/10</f>
        <v>0</v>
      </c>
      <c r="AF139" s="63">
        <f>(F139-E139)/5</f>
        <v>0</v>
      </c>
      <c r="AG139" s="63">
        <f>(G139-F139)/5</f>
        <v>0</v>
      </c>
    </row>
    <row r="140" spans="1:34" x14ac:dyDescent="0.2">
      <c r="A140" s="28">
        <v>744</v>
      </c>
      <c r="B140" s="28" t="s">
        <v>159</v>
      </c>
      <c r="C140" s="38">
        <v>0</v>
      </c>
      <c r="D140" s="38">
        <v>0</v>
      </c>
      <c r="E140" s="38">
        <v>0</v>
      </c>
      <c r="F140" s="38">
        <v>0</v>
      </c>
      <c r="G140" s="38">
        <v>0</v>
      </c>
      <c r="H140" s="38">
        <v>6100</v>
      </c>
      <c r="I140" s="54">
        <f>C140/$H140</f>
        <v>0</v>
      </c>
      <c r="J140" s="54">
        <f>D140/$H140</f>
        <v>0</v>
      </c>
      <c r="K140" s="54">
        <f>E140/$H140</f>
        <v>0</v>
      </c>
      <c r="L140" s="54">
        <f>F140/$H140</f>
        <v>0</v>
      </c>
      <c r="M140" s="54">
        <f>G140/$H140</f>
        <v>0</v>
      </c>
      <c r="N140" s="51">
        <f>FORESTS[[#This Row],[Area_2020]]-FORESTS[[#This Row],[Area_1990]]</f>
        <v>0</v>
      </c>
      <c r="O140" s="51">
        <f>ABS(FORESTS[[#This Row],[Area_Delta]])</f>
        <v>0</v>
      </c>
      <c r="P140" s="104">
        <f>FORESTS[[#This Row],[Area_2020_%]]-FORESTS[[#This Row],[Area_1990_%]]</f>
        <v>0</v>
      </c>
      <c r="Q140" s="54" t="b">
        <f>IF(G140&gt;C140, TRUE, FALSE)</f>
        <v>0</v>
      </c>
      <c r="R140" s="51">
        <f>IF(Q140=TRUE,G140-C140,0)</f>
        <v>0</v>
      </c>
      <c r="S140" s="51">
        <f>IF(Q140=TRUE,0,C140-G140)</f>
        <v>0</v>
      </c>
      <c r="T140" s="48">
        <f>IF(J140&lt;I140,1,0)+IF(K140&lt;J140,1,0)+IF(L140&lt;K140,1,0)+IF(M140&lt;L140,1,0)</f>
        <v>0</v>
      </c>
      <c r="U140" s="43">
        <v>0</v>
      </c>
      <c r="V140" s="30">
        <v>0</v>
      </c>
      <c r="W140" s="38">
        <v>0</v>
      </c>
      <c r="X140" s="38">
        <f>D140-C140</f>
        <v>0</v>
      </c>
      <c r="Y140" s="38">
        <f>E140-D140</f>
        <v>0</v>
      </c>
      <c r="Z140" s="38">
        <f>F140-E140</f>
        <v>0</v>
      </c>
      <c r="AA140" s="38">
        <f>G140-F140</f>
        <v>0</v>
      </c>
      <c r="AB140" s="38">
        <f>FORESTS[[#This Row],[Column7]]+FORESTS[[#This Row],[Column8]]</f>
        <v>0</v>
      </c>
      <c r="AD140" s="63">
        <f>(D140-C140)/10</f>
        <v>0</v>
      </c>
      <c r="AE140" s="63">
        <f>(E140-D140)/10</f>
        <v>0</v>
      </c>
      <c r="AF140" s="63">
        <f>(F140-E140)/5</f>
        <v>0</v>
      </c>
      <c r="AG140" s="63">
        <f>(G140-F140)/5</f>
        <v>0</v>
      </c>
    </row>
    <row r="141" spans="1:34" x14ac:dyDescent="0.2">
      <c r="A141" s="28">
        <v>238</v>
      </c>
      <c r="B141" s="28" t="s">
        <v>216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1217</v>
      </c>
      <c r="I141" s="54">
        <f>C141/$H141</f>
        <v>0</v>
      </c>
      <c r="J141" s="54">
        <f>D141/$H141</f>
        <v>0</v>
      </c>
      <c r="K141" s="54">
        <f>E141/$H141</f>
        <v>0</v>
      </c>
      <c r="L141" s="54">
        <f>F141/$H141</f>
        <v>0</v>
      </c>
      <c r="M141" s="54">
        <f>G141/$H141</f>
        <v>0</v>
      </c>
      <c r="N141" s="51">
        <f>FORESTS[[#This Row],[Area_2020]]-FORESTS[[#This Row],[Area_1990]]</f>
        <v>0</v>
      </c>
      <c r="O141" s="51">
        <f>ABS(FORESTS[[#This Row],[Area_Delta]])</f>
        <v>0</v>
      </c>
      <c r="P141" s="104">
        <f>FORESTS[[#This Row],[Area_2020_%]]-FORESTS[[#This Row],[Area_1990_%]]</f>
        <v>0</v>
      </c>
      <c r="Q141" s="54" t="b">
        <f>IF(G141&gt;C141, TRUE, FALSE)</f>
        <v>0</v>
      </c>
      <c r="R141" s="51">
        <f>IF(Q141=TRUE,G141-C141,0)</f>
        <v>0</v>
      </c>
      <c r="S141" s="51">
        <f>IF(Q141=TRUE,0,C141-G141)</f>
        <v>0</v>
      </c>
      <c r="T141" s="48">
        <f>IF(J141&lt;I141,1,0)+IF(K141&lt;J141,1,0)+IF(L141&lt;K141,1,0)+IF(M141&lt;L141,1,0)</f>
        <v>0</v>
      </c>
      <c r="U141" s="48">
        <v>0</v>
      </c>
      <c r="V141" s="30">
        <v>0</v>
      </c>
      <c r="W141" s="30">
        <v>0</v>
      </c>
      <c r="X141" s="38">
        <f>D141-C141</f>
        <v>0</v>
      </c>
      <c r="Y141" s="38">
        <f>E141-D141</f>
        <v>0</v>
      </c>
      <c r="Z141" s="38">
        <f>F141-E141</f>
        <v>0</v>
      </c>
      <c r="AA141" s="38">
        <f>G141-F141</f>
        <v>0</v>
      </c>
      <c r="AB141" s="38">
        <f>FORESTS[[#This Row],[Column7]]+FORESTS[[#This Row],[Column8]]</f>
        <v>0</v>
      </c>
      <c r="AD141" s="63">
        <f>(D141-C141)/10</f>
        <v>0</v>
      </c>
      <c r="AE141" s="63">
        <f>(E141-D141)/10</f>
        <v>0</v>
      </c>
      <c r="AF141" s="63">
        <f>(F141-E141)/5</f>
        <v>0</v>
      </c>
      <c r="AG141" s="63">
        <f>(G141-F141)/5</f>
        <v>0</v>
      </c>
    </row>
    <row r="142" spans="1:34" x14ac:dyDescent="0.2">
      <c r="A142" s="28">
        <v>292</v>
      </c>
      <c r="B142" s="28" t="s">
        <v>234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1</v>
      </c>
      <c r="I142" s="54">
        <f>C142/$H142</f>
        <v>0</v>
      </c>
      <c r="J142" s="54">
        <f>D142/$H142</f>
        <v>0</v>
      </c>
      <c r="K142" s="54">
        <f>E142/$H142</f>
        <v>0</v>
      </c>
      <c r="L142" s="54">
        <f>F142/$H142</f>
        <v>0</v>
      </c>
      <c r="M142" s="54">
        <f>G142/$H142</f>
        <v>0</v>
      </c>
      <c r="N142" s="51">
        <f>FORESTS[[#This Row],[Area_2020]]-FORESTS[[#This Row],[Area_1990]]</f>
        <v>0</v>
      </c>
      <c r="O142" s="51">
        <f>ABS(FORESTS[[#This Row],[Area_Delta]])</f>
        <v>0</v>
      </c>
      <c r="P142" s="104">
        <f>FORESTS[[#This Row],[Area_2020_%]]-FORESTS[[#This Row],[Area_1990_%]]</f>
        <v>0</v>
      </c>
      <c r="Q142" s="54" t="b">
        <f>IF(G142&gt;C142, TRUE, FALSE)</f>
        <v>0</v>
      </c>
      <c r="R142" s="51">
        <f>IF(Q142=TRUE,G142-C142,0)</f>
        <v>0</v>
      </c>
      <c r="S142" s="51">
        <f>IF(Q142=TRUE,0,C142-G142)</f>
        <v>0</v>
      </c>
      <c r="T142" s="48">
        <f>IF(J142&lt;I142,1,0)+IF(K142&lt;J142,1,0)+IF(L142&lt;K142,1,0)+IF(M142&lt;L142,1,0)</f>
        <v>0</v>
      </c>
      <c r="U142" s="48">
        <v>0</v>
      </c>
      <c r="V142" s="30">
        <v>0</v>
      </c>
      <c r="W142" s="30">
        <v>0</v>
      </c>
      <c r="X142" s="38">
        <f>D142-C142</f>
        <v>0</v>
      </c>
      <c r="Y142" s="38">
        <f>E142-D142</f>
        <v>0</v>
      </c>
      <c r="Z142" s="38">
        <f>F142-E142</f>
        <v>0</v>
      </c>
      <c r="AA142" s="38">
        <f>G142-F142</f>
        <v>0</v>
      </c>
      <c r="AB142" s="38">
        <f>FORESTS[[#This Row],[Column7]]+FORESTS[[#This Row],[Column8]]</f>
        <v>0</v>
      </c>
      <c r="AD142" s="63">
        <f>(D142-C142)/10</f>
        <v>0</v>
      </c>
      <c r="AE142" s="63">
        <f>(E142-D142)/10</f>
        <v>0</v>
      </c>
      <c r="AF142" s="63">
        <f>(F142-E142)/5</f>
        <v>0</v>
      </c>
      <c r="AG142" s="63">
        <f>(G142-F142)/5</f>
        <v>0</v>
      </c>
    </row>
    <row r="143" spans="1:34" x14ac:dyDescent="0.2">
      <c r="A143" s="28">
        <v>520</v>
      </c>
      <c r="B143" s="28" t="s">
        <v>242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2</v>
      </c>
      <c r="I143" s="54">
        <f>C143/$H143</f>
        <v>0</v>
      </c>
      <c r="J143" s="54">
        <f>D143/$H143</f>
        <v>0</v>
      </c>
      <c r="K143" s="54">
        <f>E143/$H143</f>
        <v>0</v>
      </c>
      <c r="L143" s="54">
        <f>F143/$H143</f>
        <v>0</v>
      </c>
      <c r="M143" s="54">
        <f>G143/$H143</f>
        <v>0</v>
      </c>
      <c r="N143" s="51">
        <f>FORESTS[[#This Row],[Area_2020]]-FORESTS[[#This Row],[Area_1990]]</f>
        <v>0</v>
      </c>
      <c r="O143" s="51">
        <f>ABS(FORESTS[[#This Row],[Area_Delta]])</f>
        <v>0</v>
      </c>
      <c r="P143" s="104">
        <f>FORESTS[[#This Row],[Area_2020_%]]-FORESTS[[#This Row],[Area_1990_%]]</f>
        <v>0</v>
      </c>
      <c r="Q143" s="54" t="b">
        <f>IF(G143&gt;C143, TRUE, FALSE)</f>
        <v>0</v>
      </c>
      <c r="R143" s="51">
        <f>IF(Q143=TRUE,G143-C143,0)</f>
        <v>0</v>
      </c>
      <c r="S143" s="51">
        <f>IF(Q143=TRUE,0,C143-G143)</f>
        <v>0</v>
      </c>
      <c r="T143" s="48">
        <f>IF(J143&lt;I143,1,0)+IF(K143&lt;J143,1,0)+IF(L143&lt;K143,1,0)+IF(M143&lt;L143,1,0)</f>
        <v>0</v>
      </c>
      <c r="U143" s="48">
        <v>0</v>
      </c>
      <c r="V143" s="30">
        <v>0</v>
      </c>
      <c r="W143" s="30">
        <v>0</v>
      </c>
      <c r="X143" s="38">
        <f>D143-C143</f>
        <v>0</v>
      </c>
      <c r="Y143" s="38">
        <f>E143-D143</f>
        <v>0</v>
      </c>
      <c r="Z143" s="38">
        <f>F143-E143</f>
        <v>0</v>
      </c>
      <c r="AA143" s="38">
        <f>G143-F143</f>
        <v>0</v>
      </c>
      <c r="AB143" s="38">
        <f>FORESTS[[#This Row],[Column7]]+FORESTS[[#This Row],[Column8]]</f>
        <v>0</v>
      </c>
      <c r="AD143" s="63">
        <f>(D143-C143)/10</f>
        <v>0</v>
      </c>
      <c r="AE143" s="63">
        <f>(E143-D143)/10</f>
        <v>0</v>
      </c>
      <c r="AF143" s="63">
        <f>(F143-E143)/5</f>
        <v>0</v>
      </c>
      <c r="AG143" s="63">
        <f>(G143-F143)/5</f>
        <v>0</v>
      </c>
    </row>
    <row r="144" spans="1:34" x14ac:dyDescent="0.2">
      <c r="A144" s="28">
        <v>634</v>
      </c>
      <c r="B144" s="28" t="s">
        <v>224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1161</v>
      </c>
      <c r="I144" s="54">
        <f>C144/$H144</f>
        <v>0</v>
      </c>
      <c r="J144" s="54">
        <f>D144/$H144</f>
        <v>0</v>
      </c>
      <c r="K144" s="54">
        <f>E144/$H144</f>
        <v>0</v>
      </c>
      <c r="L144" s="54">
        <f>F144/$H144</f>
        <v>0</v>
      </c>
      <c r="M144" s="54">
        <f>G144/$H144</f>
        <v>0</v>
      </c>
      <c r="N144" s="51">
        <f>FORESTS[[#This Row],[Area_2020]]-FORESTS[[#This Row],[Area_1990]]</f>
        <v>0</v>
      </c>
      <c r="O144" s="51">
        <f>ABS(FORESTS[[#This Row],[Area_Delta]])</f>
        <v>0</v>
      </c>
      <c r="P144" s="104">
        <f>FORESTS[[#This Row],[Area_2020_%]]-FORESTS[[#This Row],[Area_1990_%]]</f>
        <v>0</v>
      </c>
      <c r="Q144" s="54" t="b">
        <f>IF(G144&gt;C144, TRUE, FALSE)</f>
        <v>0</v>
      </c>
      <c r="R144" s="51">
        <f>IF(Q144=TRUE,G144-C144,0)</f>
        <v>0</v>
      </c>
      <c r="S144" s="51">
        <f>IF(Q144=TRUE,0,C144-G144)</f>
        <v>0</v>
      </c>
      <c r="T144" s="48">
        <f>IF(J144&lt;I144,1,0)+IF(K144&lt;J144,1,0)+IF(L144&lt;K144,1,0)+IF(M144&lt;L144,1,0)</f>
        <v>0</v>
      </c>
      <c r="U144" s="48">
        <v>0</v>
      </c>
      <c r="V144" s="30">
        <v>0</v>
      </c>
      <c r="W144" s="30">
        <v>0</v>
      </c>
      <c r="X144" s="38">
        <f>D144-C144</f>
        <v>0</v>
      </c>
      <c r="Y144" s="38">
        <f>E144-D144</f>
        <v>0</v>
      </c>
      <c r="Z144" s="38">
        <f>F144-E144</f>
        <v>0</v>
      </c>
      <c r="AA144" s="38">
        <f>G144-F144</f>
        <v>0</v>
      </c>
      <c r="AB144" s="38">
        <f>FORESTS[[#This Row],[Column7]]+FORESTS[[#This Row],[Column8]]</f>
        <v>0</v>
      </c>
      <c r="AD144" s="63">
        <f>(D144-C144)/10</f>
        <v>0</v>
      </c>
      <c r="AE144" s="63">
        <f>(E144-D144)/10</f>
        <v>0</v>
      </c>
      <c r="AF144" s="63">
        <f>(F144-E144)/5</f>
        <v>0</v>
      </c>
      <c r="AG144" s="63">
        <f>(G144-F144)/5</f>
        <v>0</v>
      </c>
    </row>
    <row r="145" spans="1:33" x14ac:dyDescent="0.2">
      <c r="A145" s="28">
        <v>772</v>
      </c>
      <c r="B145" s="28" t="s">
        <v>245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1</v>
      </c>
      <c r="I145" s="54">
        <f>C145/$H145</f>
        <v>0</v>
      </c>
      <c r="J145" s="54">
        <f>D145/$H145</f>
        <v>0</v>
      </c>
      <c r="K145" s="54">
        <f>E145/$H145</f>
        <v>0</v>
      </c>
      <c r="L145" s="54">
        <f>F145/$H145</f>
        <v>0</v>
      </c>
      <c r="M145" s="54">
        <f>G145/$H145</f>
        <v>0</v>
      </c>
      <c r="N145" s="51">
        <f>FORESTS[[#This Row],[Area_2020]]-FORESTS[[#This Row],[Area_1990]]</f>
        <v>0</v>
      </c>
      <c r="O145" s="51">
        <f>ABS(FORESTS[[#This Row],[Area_Delta]])</f>
        <v>0</v>
      </c>
      <c r="P145" s="104">
        <f>FORESTS[[#This Row],[Area_2020_%]]-FORESTS[[#This Row],[Area_1990_%]]</f>
        <v>0</v>
      </c>
      <c r="Q145" s="54" t="b">
        <f>IF(G145&gt;C145, TRUE, FALSE)</f>
        <v>0</v>
      </c>
      <c r="R145" s="51">
        <f>IF(Q145=TRUE,G145-C145,0)</f>
        <v>0</v>
      </c>
      <c r="S145" s="51">
        <f>IF(Q145=TRUE,0,C145-G145)</f>
        <v>0</v>
      </c>
      <c r="T145" s="48">
        <f>IF(J145&lt;I145,1,0)+IF(K145&lt;J145,1,0)+IF(L145&lt;K145,1,0)+IF(M145&lt;L145,1,0)</f>
        <v>0</v>
      </c>
      <c r="U145" s="48">
        <v>0</v>
      </c>
      <c r="V145" s="30">
        <v>0</v>
      </c>
      <c r="W145" s="30">
        <v>0</v>
      </c>
      <c r="X145" s="38">
        <f>D145-C145</f>
        <v>0</v>
      </c>
      <c r="Y145" s="38">
        <f>E145-D145</f>
        <v>0</v>
      </c>
      <c r="Z145" s="38">
        <f>F145-E145</f>
        <v>0</v>
      </c>
      <c r="AA145" s="38">
        <f>G145-F145</f>
        <v>0</v>
      </c>
      <c r="AB145" s="38">
        <f>FORESTS[[#This Row],[Column7]]+FORESTS[[#This Row],[Column8]]</f>
        <v>0</v>
      </c>
      <c r="AD145" s="63">
        <f>(D145-C145)/10</f>
        <v>0</v>
      </c>
      <c r="AE145" s="63">
        <f>(E145-D145)/10</f>
        <v>0</v>
      </c>
      <c r="AF145" s="63">
        <f>(F145-E145)/5</f>
        <v>0</v>
      </c>
      <c r="AG145" s="63">
        <f>(G145-F145)/5</f>
        <v>0</v>
      </c>
    </row>
    <row r="146" spans="1:33" x14ac:dyDescent="0.2">
      <c r="A146" s="28">
        <v>336</v>
      </c>
      <c r="B146" s="28" t="s">
        <v>235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9.9999999999999995E-7</v>
      </c>
      <c r="I146" s="54">
        <f>C146/$H146</f>
        <v>0</v>
      </c>
      <c r="J146" s="54">
        <f>D146/$H146</f>
        <v>0</v>
      </c>
      <c r="K146" s="54">
        <f>E146/$H146</f>
        <v>0</v>
      </c>
      <c r="L146" s="54">
        <f>F146/$H146</f>
        <v>0</v>
      </c>
      <c r="M146" s="54">
        <f>G146/$H146</f>
        <v>0</v>
      </c>
      <c r="N146" s="51">
        <f>FORESTS[[#This Row],[Area_2020]]-FORESTS[[#This Row],[Area_1990]]</f>
        <v>0</v>
      </c>
      <c r="O146" s="51">
        <f>ABS(FORESTS[[#This Row],[Area_Delta]])</f>
        <v>0</v>
      </c>
      <c r="P146" s="104">
        <f>FORESTS[[#This Row],[Area_2020_%]]-FORESTS[[#This Row],[Area_1990_%]]</f>
        <v>0</v>
      </c>
      <c r="Q146" s="54" t="b">
        <f>IF(G146&gt;C146, TRUE, FALSE)</f>
        <v>0</v>
      </c>
      <c r="R146" s="51">
        <f>IF(Q146=TRUE,G146-C146,0)</f>
        <v>0</v>
      </c>
      <c r="S146" s="51">
        <f>IF(Q146=TRUE,0,C146-G146)</f>
        <v>0</v>
      </c>
      <c r="T146" s="48">
        <f>IF(J146&lt;I146,1,0)+IF(K146&lt;J146,1,0)+IF(L146&lt;K146,1,0)+IF(M146&lt;L146,1,0)</f>
        <v>0</v>
      </c>
      <c r="U146" s="48">
        <v>0</v>
      </c>
      <c r="V146" s="30">
        <v>0</v>
      </c>
      <c r="W146" s="30">
        <v>0</v>
      </c>
      <c r="X146" s="38">
        <f>D146-C146</f>
        <v>0</v>
      </c>
      <c r="Y146" s="38">
        <f>E146-D146</f>
        <v>0</v>
      </c>
      <c r="Z146" s="38">
        <f>F146-E146</f>
        <v>0</v>
      </c>
      <c r="AA146" s="38">
        <f>G146-F146</f>
        <v>0</v>
      </c>
      <c r="AB146" s="38">
        <f>FORESTS[[#This Row],[Column7]]+FORESTS[[#This Row],[Column8]]</f>
        <v>0</v>
      </c>
      <c r="AD146" s="63">
        <f>(D146-C146)/10</f>
        <v>0</v>
      </c>
      <c r="AE146" s="63">
        <f>(E146-D146)/10</f>
        <v>0</v>
      </c>
      <c r="AF146" s="63">
        <f>(F146-E146)/5</f>
        <v>0</v>
      </c>
      <c r="AG146" s="63">
        <f>(G146-F146)/5</f>
        <v>0</v>
      </c>
    </row>
    <row r="147" spans="1:33" x14ac:dyDescent="0.2">
      <c r="A147" s="28">
        <v>492</v>
      </c>
      <c r="B147" s="28" t="s">
        <v>238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9.9999999999999995E-7</v>
      </c>
      <c r="I147" s="54">
        <f>C147/$H147</f>
        <v>0</v>
      </c>
      <c r="J147" s="54">
        <f>D147/$H147</f>
        <v>0</v>
      </c>
      <c r="K147" s="54">
        <f>E147/$H147</f>
        <v>0</v>
      </c>
      <c r="L147" s="54">
        <f>F147/$H147</f>
        <v>0</v>
      </c>
      <c r="M147" s="54">
        <f>G147/$H147</f>
        <v>0</v>
      </c>
      <c r="N147" s="51">
        <f>FORESTS[[#This Row],[Area_2020]]-FORESTS[[#This Row],[Area_1990]]</f>
        <v>0</v>
      </c>
      <c r="O147" s="51">
        <f>ABS(FORESTS[[#This Row],[Area_Delta]])</f>
        <v>0</v>
      </c>
      <c r="P147" s="104">
        <f>FORESTS[[#This Row],[Area_2020_%]]-FORESTS[[#This Row],[Area_1990_%]]</f>
        <v>0</v>
      </c>
      <c r="Q147" s="54" t="b">
        <f>IF(G147&gt;C147, TRUE, FALSE)</f>
        <v>0</v>
      </c>
      <c r="R147" s="51">
        <f>IF(Q147=TRUE,G147-C147,0)</f>
        <v>0</v>
      </c>
      <c r="S147" s="51">
        <f>IF(Q147=TRUE,0,C147-G147)</f>
        <v>0</v>
      </c>
      <c r="T147" s="48">
        <f>IF(J147&lt;I147,1,0)+IF(K147&lt;J147,1,0)+IF(L147&lt;K147,1,0)+IF(M147&lt;L147,1,0)</f>
        <v>0</v>
      </c>
      <c r="U147" s="48">
        <v>0</v>
      </c>
      <c r="V147" s="30">
        <v>0</v>
      </c>
      <c r="W147" s="30">
        <v>0</v>
      </c>
      <c r="X147" s="38">
        <f>D147-C147</f>
        <v>0</v>
      </c>
      <c r="Y147" s="38">
        <f>E147-D147</f>
        <v>0</v>
      </c>
      <c r="Z147" s="38">
        <f>F147-E147</f>
        <v>0</v>
      </c>
      <c r="AA147" s="38">
        <f>G147-F147</f>
        <v>0</v>
      </c>
      <c r="AB147" s="38">
        <f>FORESTS[[#This Row],[Column7]]+FORESTS[[#This Row],[Column8]]</f>
        <v>0</v>
      </c>
      <c r="AD147" s="63">
        <f>(D147-C147)/10</f>
        <v>0</v>
      </c>
      <c r="AE147" s="63">
        <f>(E147-D147)/10</f>
        <v>0</v>
      </c>
      <c r="AF147" s="63">
        <f>(F147-E147)/5</f>
        <v>0</v>
      </c>
      <c r="AG147" s="63">
        <f>(G147-F147)/5</f>
        <v>0</v>
      </c>
    </row>
    <row r="148" spans="1:33" x14ac:dyDescent="0.2">
      <c r="A148" s="28">
        <v>732</v>
      </c>
      <c r="B148" s="28" t="s">
        <v>198</v>
      </c>
      <c r="C148" s="38">
        <v>665.1</v>
      </c>
      <c r="D148" s="38">
        <v>669.31</v>
      </c>
      <c r="E148" s="38">
        <v>665.11</v>
      </c>
      <c r="F148" s="38">
        <v>664.7</v>
      </c>
      <c r="G148" s="38">
        <v>665.07</v>
      </c>
      <c r="H148" s="38">
        <v>26600</v>
      </c>
      <c r="I148" s="54">
        <f>C148/$H148</f>
        <v>2.500375939849624E-2</v>
      </c>
      <c r="J148" s="54">
        <f>D148/$H148</f>
        <v>2.5162030075187969E-2</v>
      </c>
      <c r="K148" s="54">
        <f>E148/$H148</f>
        <v>2.5004135338345865E-2</v>
      </c>
      <c r="L148" s="54">
        <f>F148/$H148</f>
        <v>2.4988721804511279E-2</v>
      </c>
      <c r="M148" s="54">
        <f>G148/$H148</f>
        <v>2.500263157894737E-2</v>
      </c>
      <c r="N148" s="51">
        <f>FORESTS[[#This Row],[Area_2020]]-FORESTS[[#This Row],[Area_1990]]</f>
        <v>-2.9999999999972715E-2</v>
      </c>
      <c r="O148" s="51">
        <f>ABS(FORESTS[[#This Row],[Area_Delta]])</f>
        <v>2.9999999999972715E-2</v>
      </c>
      <c r="P148" s="104">
        <f>FORESTS[[#This Row],[Area_2020_%]]-FORESTS[[#This Row],[Area_1990_%]]</f>
        <v>-1.1278195488698128E-6</v>
      </c>
      <c r="Q148" s="54" t="b">
        <f>IF(G148&gt;C148, TRUE, FALSE)</f>
        <v>0</v>
      </c>
      <c r="R148" s="51">
        <f>IF(Q148=TRUE,G148-C148,0)</f>
        <v>0</v>
      </c>
      <c r="S148" s="51">
        <f>IF(Q148=TRUE,0,C148-G148)</f>
        <v>2.9999999999972715E-2</v>
      </c>
      <c r="T148" s="48">
        <f>IF(J148&lt;I148,1,0)+IF(K148&lt;J148,1,0)+IF(L148&lt;K148,1,0)+IF(M148&lt;L148,1,0)</f>
        <v>2</v>
      </c>
      <c r="U148" s="43">
        <v>2.5</v>
      </c>
      <c r="V148" s="30" t="s">
        <v>247</v>
      </c>
      <c r="W148" s="38" t="s">
        <v>247</v>
      </c>
      <c r="X148" s="38">
        <f>D148-C148</f>
        <v>4.2099999999999227</v>
      </c>
      <c r="Y148" s="38">
        <f>E148-D148</f>
        <v>-4.1999999999999318</v>
      </c>
      <c r="Z148" s="38">
        <f>F148-E148</f>
        <v>-0.40999999999996817</v>
      </c>
      <c r="AA148" s="38">
        <f>G148-F148</f>
        <v>0.37000000000000455</v>
      </c>
      <c r="AB148" s="38">
        <f>FORESTS[[#This Row],[Column7]]+FORESTS[[#This Row],[Column8]]</f>
        <v>-3.999999999996362E-2</v>
      </c>
      <c r="AD148" s="63">
        <f>(D148-C148)/10</f>
        <v>0.42099999999999227</v>
      </c>
      <c r="AE148" s="63">
        <f>(E148-D148)/10</f>
        <v>-0.41999999999999316</v>
      </c>
      <c r="AF148" s="63">
        <f>(F148-E148)/5</f>
        <v>-8.1999999999993634E-2</v>
      </c>
      <c r="AG148" s="63">
        <f>(G148-F148)/5</f>
        <v>7.4000000000000912E-2</v>
      </c>
    </row>
    <row r="149" spans="1:33" x14ac:dyDescent="0.2">
      <c r="A149" s="28">
        <v>512</v>
      </c>
      <c r="B149" s="28" t="s">
        <v>124</v>
      </c>
      <c r="C149" s="38">
        <v>3</v>
      </c>
      <c r="D149" s="38">
        <v>3</v>
      </c>
      <c r="E149" s="38">
        <v>3</v>
      </c>
      <c r="F149" s="38">
        <v>3</v>
      </c>
      <c r="G149" s="38">
        <v>2.5</v>
      </c>
      <c r="H149" s="38">
        <v>30950</v>
      </c>
      <c r="I149" s="54">
        <f>C149/$H149</f>
        <v>9.6930533117932147E-5</v>
      </c>
      <c r="J149" s="54">
        <f>D149/$H149</f>
        <v>9.6930533117932147E-5</v>
      </c>
      <c r="K149" s="54">
        <f>E149/$H149</f>
        <v>9.6930533117932147E-5</v>
      </c>
      <c r="L149" s="54">
        <f>F149/$H149</f>
        <v>9.6930533117932147E-5</v>
      </c>
      <c r="M149" s="54">
        <f>G149/$H149</f>
        <v>8.0775444264943462E-5</v>
      </c>
      <c r="N149" s="51">
        <f>FORESTS[[#This Row],[Area_2020]]-FORESTS[[#This Row],[Area_1990]]</f>
        <v>-0.5</v>
      </c>
      <c r="O149" s="51">
        <f>ABS(FORESTS[[#This Row],[Area_Delta]])</f>
        <v>0.5</v>
      </c>
      <c r="P149" s="104">
        <f>FORESTS[[#This Row],[Area_2020_%]]-FORESTS[[#This Row],[Area_1990_%]]</f>
        <v>-1.6155088852988684E-5</v>
      </c>
      <c r="Q149" s="54" t="b">
        <f>IF(G149&gt;C149, TRUE, FALSE)</f>
        <v>0</v>
      </c>
      <c r="R149" s="51">
        <f>IF(Q149=TRUE,G149-C149,0)</f>
        <v>0</v>
      </c>
      <c r="S149" s="51">
        <f>IF(Q149=TRUE,0,C149-G149)</f>
        <v>0.5</v>
      </c>
      <c r="T149" s="48">
        <f>IF(J149&lt;I149,1,0)+IF(K149&lt;J149,1,0)+IF(L149&lt;K149,1,0)+IF(M149&lt;L149,1,0)</f>
        <v>1</v>
      </c>
      <c r="U149" s="43">
        <v>0.01</v>
      </c>
      <c r="V149" s="30" t="s">
        <v>247</v>
      </c>
      <c r="W149" s="38">
        <v>0</v>
      </c>
      <c r="X149" s="38">
        <f>D149-C149</f>
        <v>0</v>
      </c>
      <c r="Y149" s="38">
        <f>E149-D149</f>
        <v>0</v>
      </c>
      <c r="Z149" s="38">
        <f>F149-E149</f>
        <v>0</v>
      </c>
      <c r="AA149" s="38">
        <f>G149-F149</f>
        <v>-0.5</v>
      </c>
      <c r="AB149" s="38">
        <f>FORESTS[[#This Row],[Column7]]+FORESTS[[#This Row],[Column8]]</f>
        <v>-0.5</v>
      </c>
      <c r="AD149" s="63">
        <f>(D149-C149)/10</f>
        <v>0</v>
      </c>
      <c r="AE149" s="63">
        <f>(E149-D149)/10</f>
        <v>0</v>
      </c>
      <c r="AF149" s="63">
        <f>(F149-E149)/5</f>
        <v>0</v>
      </c>
      <c r="AG149" s="63">
        <f>(G149-F149)/5</f>
        <v>-0.1</v>
      </c>
    </row>
    <row r="150" spans="1:33" x14ac:dyDescent="0.2">
      <c r="A150" s="28">
        <v>392</v>
      </c>
      <c r="B150" s="28" t="s">
        <v>83</v>
      </c>
      <c r="C150" s="38">
        <v>24950</v>
      </c>
      <c r="D150" s="38">
        <v>24876</v>
      </c>
      <c r="E150" s="38">
        <v>24966</v>
      </c>
      <c r="F150" s="38">
        <v>24944</v>
      </c>
      <c r="G150" s="38">
        <v>24935</v>
      </c>
      <c r="H150" s="38">
        <v>36456</v>
      </c>
      <c r="I150" s="54">
        <f>C150/$H150</f>
        <v>0.68438665788896202</v>
      </c>
      <c r="J150" s="54">
        <f>D150/$H150</f>
        <v>0.68235681369321921</v>
      </c>
      <c r="K150" s="54">
        <f>E150/$H150</f>
        <v>0.68482554312047395</v>
      </c>
      <c r="L150" s="54">
        <f>F150/$H150</f>
        <v>0.68422207592714501</v>
      </c>
      <c r="M150" s="54">
        <f>G150/$H150</f>
        <v>0.68397520298441961</v>
      </c>
      <c r="N150" s="51">
        <f>FORESTS[[#This Row],[Area_2020]]-FORESTS[[#This Row],[Area_1990]]</f>
        <v>-15</v>
      </c>
      <c r="O150" s="51">
        <f>ABS(FORESTS[[#This Row],[Area_Delta]])</f>
        <v>15</v>
      </c>
      <c r="P150" s="104">
        <f>FORESTS[[#This Row],[Area_2020_%]]-FORESTS[[#This Row],[Area_1990_%]]</f>
        <v>-4.1145490454241873E-4</v>
      </c>
      <c r="Q150" s="54" t="b">
        <f>IF(G150&gt;C150, TRUE, FALSE)</f>
        <v>0</v>
      </c>
      <c r="R150" s="51">
        <f>IF(Q150=TRUE,G150-C150,0)</f>
        <v>0</v>
      </c>
      <c r="S150" s="51">
        <f>IF(Q150=TRUE,0,C150-G150)</f>
        <v>15</v>
      </c>
      <c r="T150" s="62">
        <f>IF(J150&lt;I150,1,0)+IF(K150&lt;J150,1,0)+IF(L150&lt;K150,1,0)+IF(M150&lt;L150,1,0)</f>
        <v>3</v>
      </c>
      <c r="U150" s="43">
        <v>68.400000000000006</v>
      </c>
      <c r="V150" s="30" t="s">
        <v>247</v>
      </c>
      <c r="W150" s="38">
        <v>0.5</v>
      </c>
      <c r="X150" s="38">
        <f>D150-C150</f>
        <v>-74</v>
      </c>
      <c r="Y150" s="38">
        <f>E150-D150</f>
        <v>90</v>
      </c>
      <c r="Z150" s="38">
        <f>F150-E150</f>
        <v>-22</v>
      </c>
      <c r="AA150" s="38">
        <f>G150-F150</f>
        <v>-9</v>
      </c>
      <c r="AB150" s="38">
        <f>FORESTS[[#This Row],[Column7]]+FORESTS[[#This Row],[Column8]]</f>
        <v>-31</v>
      </c>
      <c r="AD150" s="63">
        <f>(D150-C150)/10</f>
        <v>-7.4</v>
      </c>
      <c r="AE150" s="63">
        <f>(E150-D150)/10</f>
        <v>9</v>
      </c>
      <c r="AF150" s="63">
        <f>(F150-E150)/5</f>
        <v>-4.4000000000000004</v>
      </c>
      <c r="AG150" s="63">
        <f>(G150-F150)/5</f>
        <v>-1.8</v>
      </c>
    </row>
    <row r="151" spans="1:33" x14ac:dyDescent="0.2">
      <c r="A151" s="28">
        <v>496</v>
      </c>
      <c r="B151" s="28" t="s">
        <v>109</v>
      </c>
      <c r="C151" s="46">
        <v>14352</v>
      </c>
      <c r="D151" s="46">
        <v>14263.9</v>
      </c>
      <c r="E151" s="46">
        <v>14183.9</v>
      </c>
      <c r="F151" s="46">
        <v>14178.33</v>
      </c>
      <c r="G151" s="46">
        <v>14172.78</v>
      </c>
      <c r="H151" s="46">
        <v>155356</v>
      </c>
      <c r="I151" s="54">
        <f>C151/$H151</f>
        <v>9.2381369242256497E-2</v>
      </c>
      <c r="J151" s="54">
        <f>D151/$H151</f>
        <v>9.1814284610829314E-2</v>
      </c>
      <c r="K151" s="54">
        <f>E151/$H151</f>
        <v>9.1299338293982846E-2</v>
      </c>
      <c r="L151" s="54">
        <f>F151/$H151</f>
        <v>9.1263485156672416E-2</v>
      </c>
      <c r="M151" s="54">
        <f>G151/$H151</f>
        <v>9.1227760755941203E-2</v>
      </c>
      <c r="N151" s="51">
        <f>FORESTS[[#This Row],[Area_2020]]-FORESTS[[#This Row],[Area_1990]]</f>
        <v>-179.21999999999935</v>
      </c>
      <c r="O151" s="51">
        <f>ABS(FORESTS[[#This Row],[Area_Delta]])</f>
        <v>179.21999999999935</v>
      </c>
      <c r="P151" s="104">
        <f>FORESTS[[#This Row],[Area_2020_%]]-FORESTS[[#This Row],[Area_1990_%]]</f>
        <v>-1.153608486315294E-3</v>
      </c>
      <c r="Q151" s="54" t="b">
        <f>IF(G151&gt;C151, TRUE, FALSE)</f>
        <v>0</v>
      </c>
      <c r="R151" s="51">
        <f>IF(Q151=TRUE,G151-C151,0)</f>
        <v>0</v>
      </c>
      <c r="S151" s="51">
        <f>IF(Q151=TRUE,0,C151-G151)</f>
        <v>179.21999999999935</v>
      </c>
      <c r="T151" s="62">
        <f>IF(J151&lt;I151,1,0)+IF(K151&lt;J151,1,0)+IF(L151&lt;K151,1,0)+IF(M151&lt;L151,1,0)</f>
        <v>4</v>
      </c>
      <c r="U151" s="43">
        <v>9.1199999999999992</v>
      </c>
      <c r="V151" s="30">
        <v>1.52</v>
      </c>
      <c r="W151" s="38">
        <v>45</v>
      </c>
      <c r="X151" s="38">
        <f>D151-C151</f>
        <v>-88.100000000000364</v>
      </c>
      <c r="Y151" s="38">
        <f>E151-D151</f>
        <v>-80</v>
      </c>
      <c r="Z151" s="38">
        <f>F151-E151</f>
        <v>-5.569999999999709</v>
      </c>
      <c r="AA151" s="38">
        <f>G151-F151</f>
        <v>-5.5499999999992724</v>
      </c>
      <c r="AB151" s="38">
        <f>FORESTS[[#This Row],[Column7]]+FORESTS[[#This Row],[Column8]]</f>
        <v>-11.119999999998981</v>
      </c>
      <c r="AD151" s="63">
        <f>(D151-C151)/10</f>
        <v>-8.810000000000036</v>
      </c>
      <c r="AE151" s="63">
        <f>(E151-D151)/10</f>
        <v>-8</v>
      </c>
      <c r="AF151" s="63">
        <f>(F151-E151)/5</f>
        <v>-1.1139999999999417</v>
      </c>
      <c r="AG151" s="63">
        <f>(G151-F151)/5</f>
        <v>-1.1099999999998544</v>
      </c>
    </row>
    <row r="152" spans="1:33" x14ac:dyDescent="0.2">
      <c r="A152" s="28">
        <v>124</v>
      </c>
      <c r="B152" s="28" t="s">
        <v>28</v>
      </c>
      <c r="C152" s="46">
        <v>348272.93</v>
      </c>
      <c r="D152" s="46">
        <v>347801.97</v>
      </c>
      <c r="E152" s="46">
        <v>347322.21</v>
      </c>
      <c r="F152" s="46">
        <v>347115.71</v>
      </c>
      <c r="G152" s="46">
        <v>346928.1</v>
      </c>
      <c r="H152" s="46">
        <v>909351</v>
      </c>
      <c r="I152" s="54">
        <f>C152/$H152</f>
        <v>0.38299064937521377</v>
      </c>
      <c r="J152" s="54">
        <f>D152/$H152</f>
        <v>0.38247274154864291</v>
      </c>
      <c r="K152" s="54">
        <f>E152/$H152</f>
        <v>0.38194515649072802</v>
      </c>
      <c r="L152" s="54">
        <f>F152/$H152</f>
        <v>0.38171807145975539</v>
      </c>
      <c r="M152" s="54">
        <f>G152/$H152</f>
        <v>0.38151175948561117</v>
      </c>
      <c r="N152" s="51">
        <f>FORESTS[[#This Row],[Area_2020]]-FORESTS[[#This Row],[Area_1990]]</f>
        <v>-1344.8300000000163</v>
      </c>
      <c r="O152" s="51">
        <f>ABS(FORESTS[[#This Row],[Area_Delta]])</f>
        <v>1344.8300000000163</v>
      </c>
      <c r="P152" s="104">
        <f>FORESTS[[#This Row],[Area_2020_%]]-FORESTS[[#This Row],[Area_1990_%]]</f>
        <v>-1.478889889602597E-3</v>
      </c>
      <c r="Q152" s="54" t="b">
        <f>IF(G152&gt;C152, TRUE, FALSE)</f>
        <v>0</v>
      </c>
      <c r="R152" s="51">
        <f>IF(Q152=TRUE,G152-C152,0)</f>
        <v>0</v>
      </c>
      <c r="S152" s="51">
        <f>IF(Q152=TRUE,0,C152-G152)</f>
        <v>1344.8300000000163</v>
      </c>
      <c r="T152" s="62">
        <f>IF(J152&lt;I152,1,0)+IF(K152&lt;J152,1,0)+IF(L152&lt;K152,1,0)+IF(M152&lt;L152,1,0)</f>
        <v>4</v>
      </c>
      <c r="U152" s="43">
        <v>38.15</v>
      </c>
      <c r="V152" s="30">
        <v>37.520000000000003</v>
      </c>
      <c r="W152" s="38">
        <v>3861.65</v>
      </c>
      <c r="X152" s="38">
        <f>D152-C152</f>
        <v>-470.96000000002095</v>
      </c>
      <c r="Y152" s="38">
        <f>E152-D152</f>
        <v>-479.75999999995111</v>
      </c>
      <c r="Z152" s="38">
        <f>F152-E152</f>
        <v>-206.5</v>
      </c>
      <c r="AA152" s="38">
        <f>G152-F152</f>
        <v>-187.61000000004424</v>
      </c>
      <c r="AB152" s="38">
        <f>FORESTS[[#This Row],[Column7]]+FORESTS[[#This Row],[Column8]]</f>
        <v>-394.11000000004424</v>
      </c>
      <c r="AD152" s="63">
        <f>(D152-C152)/10</f>
        <v>-47.096000000002093</v>
      </c>
      <c r="AE152" s="63">
        <f>(E152-D152)/10</f>
        <v>-47.975999999995111</v>
      </c>
      <c r="AF152" s="63">
        <f>(F152-E152)/5</f>
        <v>-41.3</v>
      </c>
      <c r="AG152" s="63">
        <f>(G152-F152)/5</f>
        <v>-37.522000000008845</v>
      </c>
    </row>
    <row r="153" spans="1:33" x14ac:dyDescent="0.2">
      <c r="A153" s="28">
        <v>478</v>
      </c>
      <c r="B153" s="28" t="s">
        <v>104</v>
      </c>
      <c r="C153" s="46">
        <v>476.04</v>
      </c>
      <c r="D153" s="46">
        <v>421.64</v>
      </c>
      <c r="E153" s="46">
        <v>367.24</v>
      </c>
      <c r="F153" s="46">
        <v>340.04</v>
      </c>
      <c r="G153" s="46">
        <v>312.8</v>
      </c>
      <c r="H153" s="46">
        <v>103070</v>
      </c>
      <c r="I153" s="54">
        <f>C153/$H153</f>
        <v>4.6186087125254681E-3</v>
      </c>
      <c r="J153" s="54">
        <f>D153/$H153</f>
        <v>4.0908120694673521E-3</v>
      </c>
      <c r="K153" s="54">
        <f>E153/$H153</f>
        <v>3.5630154264092366E-3</v>
      </c>
      <c r="L153" s="54">
        <f>F153/$H153</f>
        <v>3.2991171048801786E-3</v>
      </c>
      <c r="M153" s="54">
        <f>G153/$H153</f>
        <v>3.0348306975841663E-3</v>
      </c>
      <c r="N153" s="51">
        <f>FORESTS[[#This Row],[Area_2020]]-FORESTS[[#This Row],[Area_1990]]</f>
        <v>-163.24</v>
      </c>
      <c r="O153" s="51">
        <f>ABS(FORESTS[[#This Row],[Area_Delta]])</f>
        <v>163.24</v>
      </c>
      <c r="P153" s="104">
        <f>FORESTS[[#This Row],[Area_2020_%]]-FORESTS[[#This Row],[Area_1990_%]]</f>
        <v>-1.5837780149413018E-3</v>
      </c>
      <c r="Q153" s="54" t="b">
        <f>IF(G153&gt;C153, TRUE, FALSE)</f>
        <v>0</v>
      </c>
      <c r="R153" s="51">
        <f>IF(Q153=TRUE,G153-C153,0)</f>
        <v>0</v>
      </c>
      <c r="S153" s="51">
        <f>IF(Q153=TRUE,0,C153-G153)</f>
        <v>163.24</v>
      </c>
      <c r="T153" s="48">
        <f>IF(J153&lt;I153,1,0)+IF(K153&lt;J153,1,0)+IF(L153&lt;K153,1,0)+IF(M153&lt;L153,1,0)</f>
        <v>4</v>
      </c>
      <c r="U153" s="43">
        <v>0.3</v>
      </c>
      <c r="V153" s="30">
        <v>45.38</v>
      </c>
      <c r="W153" s="38">
        <v>0.47</v>
      </c>
      <c r="X153" s="38">
        <f>D153-C153</f>
        <v>-54.400000000000034</v>
      </c>
      <c r="Y153" s="38">
        <f>E153-D153</f>
        <v>-54.399999999999977</v>
      </c>
      <c r="Z153" s="38">
        <f>F153-E153</f>
        <v>-27.199999999999989</v>
      </c>
      <c r="AA153" s="38">
        <f>G153-F153</f>
        <v>-27.240000000000009</v>
      </c>
      <c r="AB153" s="38">
        <f>FORESTS[[#This Row],[Column7]]+FORESTS[[#This Row],[Column8]]</f>
        <v>-54.44</v>
      </c>
      <c r="AD153" s="63">
        <f>(D153-C153)/10</f>
        <v>-5.4400000000000031</v>
      </c>
      <c r="AE153" s="63">
        <f>(E153-D153)/10</f>
        <v>-5.4399999999999977</v>
      </c>
      <c r="AF153" s="63">
        <f>(F153-E153)/5</f>
        <v>-5.4399999999999977</v>
      </c>
      <c r="AG153" s="63">
        <f>(G153-F153)/5</f>
        <v>-5.4480000000000022</v>
      </c>
    </row>
    <row r="154" spans="1:33" x14ac:dyDescent="0.2">
      <c r="A154" s="28">
        <v>752</v>
      </c>
      <c r="B154" s="28" t="s">
        <v>160</v>
      </c>
      <c r="C154" s="38">
        <v>28063</v>
      </c>
      <c r="D154" s="38">
        <v>28163</v>
      </c>
      <c r="E154" s="38">
        <v>28073</v>
      </c>
      <c r="F154" s="38">
        <v>27980</v>
      </c>
      <c r="G154" s="38">
        <v>27980</v>
      </c>
      <c r="H154" s="38">
        <v>40731</v>
      </c>
      <c r="I154" s="54">
        <f>C154/$H154</f>
        <v>0.68898382067712549</v>
      </c>
      <c r="J154" s="54">
        <f>D154/$H154</f>
        <v>0.69143895313152148</v>
      </c>
      <c r="K154" s="54">
        <f>E154/$H154</f>
        <v>0.68922933392256513</v>
      </c>
      <c r="L154" s="54">
        <f>F154/$H154</f>
        <v>0.68694606073997688</v>
      </c>
      <c r="M154" s="54">
        <f>G154/$H154</f>
        <v>0.68694606073997688</v>
      </c>
      <c r="N154" s="51">
        <f>FORESTS[[#This Row],[Area_2020]]-FORESTS[[#This Row],[Area_1990]]</f>
        <v>-83</v>
      </c>
      <c r="O154" s="51">
        <f>ABS(FORESTS[[#This Row],[Area_Delta]])</f>
        <v>83</v>
      </c>
      <c r="P154" s="104">
        <f>FORESTS[[#This Row],[Area_2020_%]]-FORESTS[[#This Row],[Area_1990_%]]</f>
        <v>-2.0377599371486088E-3</v>
      </c>
      <c r="Q154" s="54" t="b">
        <f>IF(G154&gt;C154, TRUE, FALSE)</f>
        <v>0</v>
      </c>
      <c r="R154" s="51">
        <f>IF(Q154=TRUE,G154-C154,0)</f>
        <v>0</v>
      </c>
      <c r="S154" s="51">
        <f>IF(Q154=TRUE,0,C154-G154)</f>
        <v>83</v>
      </c>
      <c r="T154" s="62">
        <f>IF(J154&lt;I154,1,0)+IF(K154&lt;J154,1,0)+IF(L154&lt;K154,1,0)+IF(M154&lt;L154,1,0)</f>
        <v>2</v>
      </c>
      <c r="U154" s="43">
        <v>68.69</v>
      </c>
      <c r="V154" s="30">
        <v>13.05</v>
      </c>
      <c r="W154" s="38">
        <v>0.35</v>
      </c>
      <c r="X154" s="38">
        <f>D154-C154</f>
        <v>100</v>
      </c>
      <c r="Y154" s="38">
        <f>E154-D154</f>
        <v>-90</v>
      </c>
      <c r="Z154" s="38">
        <f>F154-E154</f>
        <v>-93</v>
      </c>
      <c r="AA154" s="38">
        <f>G154-F154</f>
        <v>0</v>
      </c>
      <c r="AB154" s="38">
        <f>FORESTS[[#This Row],[Column7]]+FORESTS[[#This Row],[Column8]]</f>
        <v>-93</v>
      </c>
      <c r="AD154" s="63">
        <f>(D154-C154)/10</f>
        <v>10</v>
      </c>
      <c r="AE154" s="63">
        <f>(E154-D154)/10</f>
        <v>-9</v>
      </c>
      <c r="AF154" s="63">
        <f>(F154-E154)/5</f>
        <v>-18.600000000000001</v>
      </c>
      <c r="AG154" s="63">
        <f>(G154-F154)/5</f>
        <v>0</v>
      </c>
    </row>
    <row r="155" spans="1:33" x14ac:dyDescent="0.2">
      <c r="A155" s="28">
        <v>51</v>
      </c>
      <c r="B155" s="28" t="s">
        <v>6</v>
      </c>
      <c r="C155" s="46">
        <v>334.73</v>
      </c>
      <c r="D155" s="46">
        <v>332.64</v>
      </c>
      <c r="E155" s="46">
        <v>330.56</v>
      </c>
      <c r="F155" s="46">
        <v>329.52</v>
      </c>
      <c r="G155" s="46">
        <v>328.47</v>
      </c>
      <c r="H155" s="46">
        <v>2847</v>
      </c>
      <c r="I155" s="54">
        <f>C155/$H155</f>
        <v>0.11757288373726731</v>
      </c>
      <c r="J155" s="54">
        <f>D155/$H155</f>
        <v>0.11683877766069546</v>
      </c>
      <c r="K155" s="54">
        <f>E155/$H155</f>
        <v>0.11610818405338953</v>
      </c>
      <c r="L155" s="54">
        <f>F155/$H155</f>
        <v>0.11574288724973655</v>
      </c>
      <c r="M155" s="54">
        <f>G155/$H155</f>
        <v>0.11537407797681772</v>
      </c>
      <c r="N155" s="51">
        <f>FORESTS[[#This Row],[Area_2020]]-FORESTS[[#This Row],[Area_1990]]</f>
        <v>-6.2599999999999909</v>
      </c>
      <c r="O155" s="51">
        <f>ABS(FORESTS[[#This Row],[Area_Delta]])</f>
        <v>6.2599999999999909</v>
      </c>
      <c r="P155" s="104">
        <f>FORESTS[[#This Row],[Area_2020_%]]-FORESTS[[#This Row],[Area_1990_%]]</f>
        <v>-2.1988057604495903E-3</v>
      </c>
      <c r="Q155" s="54" t="b">
        <f>IF(G155&gt;C155, TRUE, FALSE)</f>
        <v>0</v>
      </c>
      <c r="R155" s="51">
        <f>IF(Q155=TRUE,G155-C155,0)</f>
        <v>0</v>
      </c>
      <c r="S155" s="51">
        <f>IF(Q155=TRUE,0,C155-G155)</f>
        <v>6.2599999999999909</v>
      </c>
      <c r="T155" s="48">
        <f>IF(J155&lt;I155,1,0)+IF(K155&lt;J155,1,0)+IF(L155&lt;K155,1,0)+IF(M155&lt;L155,1,0)</f>
        <v>4</v>
      </c>
      <c r="U155" s="48">
        <v>11.54</v>
      </c>
      <c r="V155" s="30" t="s">
        <v>247</v>
      </c>
      <c r="W155" s="30" t="s">
        <v>247</v>
      </c>
      <c r="X155" s="38">
        <f>D155-C155</f>
        <v>-2.0900000000000318</v>
      </c>
      <c r="Y155" s="38">
        <f>E155-D155</f>
        <v>-2.0799999999999841</v>
      </c>
      <c r="Z155" s="38">
        <f>F155-E155</f>
        <v>-1.0400000000000205</v>
      </c>
      <c r="AA155" s="38">
        <f>G155-F155</f>
        <v>-1.0499999999999545</v>
      </c>
      <c r="AB155" s="38">
        <f>FORESTS[[#This Row],[Column7]]+FORESTS[[#This Row],[Column8]]</f>
        <v>-2.089999999999975</v>
      </c>
      <c r="AD155" s="63">
        <f>(D155-C155)/10</f>
        <v>-0.20900000000000318</v>
      </c>
      <c r="AE155" s="63">
        <f>(E155-D155)/10</f>
        <v>-0.20799999999999841</v>
      </c>
      <c r="AF155" s="63">
        <f>(F155-E155)/5</f>
        <v>-0.2080000000000041</v>
      </c>
      <c r="AG155" s="63">
        <f>(G155-F155)/5</f>
        <v>-0.20999999999999092</v>
      </c>
    </row>
    <row r="156" spans="1:33" x14ac:dyDescent="0.2">
      <c r="A156" s="28">
        <v>570</v>
      </c>
      <c r="B156" s="28" t="s">
        <v>121</v>
      </c>
      <c r="C156" s="30">
        <v>18.93</v>
      </c>
      <c r="D156" s="30">
        <v>18.829999999999998</v>
      </c>
      <c r="E156" s="30">
        <v>18.77</v>
      </c>
      <c r="F156" s="30">
        <v>18.82</v>
      </c>
      <c r="G156" s="30">
        <v>18.87</v>
      </c>
      <c r="H156" s="30">
        <v>26</v>
      </c>
      <c r="I156" s="54">
        <f>C156/$H156</f>
        <v>0.72807692307692307</v>
      </c>
      <c r="J156" s="54">
        <f>D156/$H156</f>
        <v>0.72423076923076912</v>
      </c>
      <c r="K156" s="54">
        <f>E156/$H156</f>
        <v>0.72192307692307689</v>
      </c>
      <c r="L156" s="54">
        <f>F156/$H156</f>
        <v>0.72384615384615381</v>
      </c>
      <c r="M156" s="54">
        <f>G156/$H156</f>
        <v>0.72576923076923083</v>
      </c>
      <c r="N156" s="51">
        <f>FORESTS[[#This Row],[Area_2020]]-FORESTS[[#This Row],[Area_1990]]</f>
        <v>-5.9999999999998721E-2</v>
      </c>
      <c r="O156" s="51">
        <f>ABS(FORESTS[[#This Row],[Area_Delta]])</f>
        <v>5.9999999999998721E-2</v>
      </c>
      <c r="P156" s="104">
        <f>FORESTS[[#This Row],[Area_2020_%]]-FORESTS[[#This Row],[Area_1990_%]]</f>
        <v>-2.3076923076922329E-3</v>
      </c>
      <c r="Q156" s="54" t="b">
        <f>IF(G156&gt;C156, TRUE, FALSE)</f>
        <v>0</v>
      </c>
      <c r="R156" s="51">
        <f>IF(Q156=TRUE,G156-C156,0)</f>
        <v>0</v>
      </c>
      <c r="S156" s="51">
        <f>IF(Q156=TRUE,0,C156-G156)</f>
        <v>5.9999999999998721E-2</v>
      </c>
      <c r="T156" s="48">
        <f>IF(J156&lt;I156,1,0)+IF(K156&lt;J156,1,0)+IF(L156&lt;K156,1,0)+IF(M156&lt;L156,1,0)</f>
        <v>2</v>
      </c>
      <c r="U156" s="48">
        <v>72.58</v>
      </c>
      <c r="V156" s="30" t="s">
        <v>247</v>
      </c>
      <c r="W156" s="30" t="s">
        <v>247</v>
      </c>
      <c r="X156" s="38">
        <f>D156-C156</f>
        <v>-0.10000000000000142</v>
      </c>
      <c r="Y156" s="38">
        <f>E156-D156</f>
        <v>-5.9999999999998721E-2</v>
      </c>
      <c r="Z156" s="38">
        <f>F156-E156</f>
        <v>5.0000000000000711E-2</v>
      </c>
      <c r="AA156" s="38">
        <f>G156-F156</f>
        <v>5.0000000000000711E-2</v>
      </c>
      <c r="AB156" s="38">
        <f>FORESTS[[#This Row],[Column7]]+FORESTS[[#This Row],[Column8]]</f>
        <v>0.10000000000000142</v>
      </c>
      <c r="AD156" s="63">
        <f>(D156-C156)/10</f>
        <v>-1.0000000000000142E-2</v>
      </c>
      <c r="AE156" s="63">
        <f>(E156-D156)/10</f>
        <v>-5.9999999999998718E-3</v>
      </c>
      <c r="AF156" s="63">
        <f>(F156-E156)/5</f>
        <v>1.0000000000000142E-2</v>
      </c>
      <c r="AG156" s="63">
        <f>(G156-F156)/5</f>
        <v>1.0000000000000142E-2</v>
      </c>
    </row>
    <row r="157" spans="1:33" x14ac:dyDescent="0.2">
      <c r="A157" s="28">
        <v>50</v>
      </c>
      <c r="B157" s="28" t="s">
        <v>11</v>
      </c>
      <c r="C157" s="38">
        <v>1920.33</v>
      </c>
      <c r="D157" s="38">
        <v>1920.33</v>
      </c>
      <c r="E157" s="38">
        <v>1888.34</v>
      </c>
      <c r="F157" s="38">
        <v>1883.4</v>
      </c>
      <c r="G157" s="38">
        <v>1883.4</v>
      </c>
      <c r="H157" s="38">
        <v>13017</v>
      </c>
      <c r="I157" s="54">
        <f>C157/$H157</f>
        <v>0.1475247752938465</v>
      </c>
      <c r="J157" s="54">
        <f>D157/$H157</f>
        <v>0.1475247752938465</v>
      </c>
      <c r="K157" s="54">
        <f>E157/$H157</f>
        <v>0.14506721978950601</v>
      </c>
      <c r="L157" s="54">
        <f>F157/$H157</f>
        <v>0.14468771606360914</v>
      </c>
      <c r="M157" s="54">
        <f>G157/$H157</f>
        <v>0.14468771606360914</v>
      </c>
      <c r="N157" s="51">
        <f>FORESTS[[#This Row],[Area_2020]]-FORESTS[[#This Row],[Area_1990]]</f>
        <v>-36.929999999999836</v>
      </c>
      <c r="O157" s="51">
        <f>ABS(FORESTS[[#This Row],[Area_Delta]])</f>
        <v>36.929999999999836</v>
      </c>
      <c r="P157" s="104">
        <f>FORESTS[[#This Row],[Area_2020_%]]-FORESTS[[#This Row],[Area_1990_%]]</f>
        <v>-2.8370592302373598E-3</v>
      </c>
      <c r="Q157" s="54" t="b">
        <f>IF(G157&gt;C157, TRUE, FALSE)</f>
        <v>0</v>
      </c>
      <c r="R157" s="51">
        <f>IF(Q157=TRUE,G157-C157,0)</f>
        <v>0</v>
      </c>
      <c r="S157" s="51">
        <f>IF(Q157=TRUE,0,C157-G157)</f>
        <v>36.929999999999836</v>
      </c>
      <c r="T157" s="48">
        <f>IF(J157&lt;I157,1,0)+IF(K157&lt;J157,1,0)+IF(L157&lt;K157,1,0)+IF(M157&lt;L157,1,0)</f>
        <v>2</v>
      </c>
      <c r="U157" s="43">
        <v>14.47</v>
      </c>
      <c r="V157" s="30">
        <v>0</v>
      </c>
      <c r="W157" s="38" t="s">
        <v>247</v>
      </c>
      <c r="X157" s="38">
        <f>D157-C157</f>
        <v>0</v>
      </c>
      <c r="Y157" s="38">
        <f>E157-D157</f>
        <v>-31.990000000000009</v>
      </c>
      <c r="Z157" s="38">
        <f>F157-E157</f>
        <v>-4.9399999999998272</v>
      </c>
      <c r="AA157" s="38">
        <f>G157-F157</f>
        <v>0</v>
      </c>
      <c r="AB157" s="38">
        <f>FORESTS[[#This Row],[Column7]]+FORESTS[[#This Row],[Column8]]</f>
        <v>-4.9399999999998272</v>
      </c>
      <c r="AD157" s="63">
        <f>(D157-C157)/10</f>
        <v>0</v>
      </c>
      <c r="AE157" s="63">
        <f>(E157-D157)/10</f>
        <v>-3.1990000000000007</v>
      </c>
      <c r="AF157" s="63">
        <f>(F157-E157)/5</f>
        <v>-0.98799999999996546</v>
      </c>
      <c r="AG157" s="63">
        <f>(G157-F157)/5</f>
        <v>0</v>
      </c>
    </row>
    <row r="158" spans="1:33" x14ac:dyDescent="0.2">
      <c r="A158" s="28">
        <v>70</v>
      </c>
      <c r="B158" s="28" t="s">
        <v>233</v>
      </c>
      <c r="C158" s="38">
        <v>2210</v>
      </c>
      <c r="D158" s="38">
        <v>2111.65</v>
      </c>
      <c r="E158" s="38">
        <v>2102.66</v>
      </c>
      <c r="F158" s="38">
        <v>2160.5</v>
      </c>
      <c r="G158" s="38">
        <v>2187.91</v>
      </c>
      <c r="H158" s="38">
        <v>5120</v>
      </c>
      <c r="I158" s="54">
        <f>C158/$H158</f>
        <v>0.431640625</v>
      </c>
      <c r="J158" s="54">
        <f>D158/$H158</f>
        <v>0.41243164062500004</v>
      </c>
      <c r="K158" s="54">
        <f>E158/$H158</f>
        <v>0.41067578124999998</v>
      </c>
      <c r="L158" s="54">
        <f>F158/$H158</f>
        <v>0.42197265625000002</v>
      </c>
      <c r="M158" s="54">
        <f>G158/$H158</f>
        <v>0.42732617187499999</v>
      </c>
      <c r="N158" s="51">
        <f>FORESTS[[#This Row],[Area_2020]]-FORESTS[[#This Row],[Area_1990]]</f>
        <v>-22.090000000000146</v>
      </c>
      <c r="O158" s="51">
        <f>ABS(FORESTS[[#This Row],[Area_Delta]])</f>
        <v>22.090000000000146</v>
      </c>
      <c r="P158" s="104">
        <f>FORESTS[[#This Row],[Area_2020_%]]-FORESTS[[#This Row],[Area_1990_%]]</f>
        <v>-4.3144531250000062E-3</v>
      </c>
      <c r="Q158" s="54" t="b">
        <f>IF(G158&gt;C158, TRUE, FALSE)</f>
        <v>0</v>
      </c>
      <c r="R158" s="51">
        <f>IF(Q158=TRUE,G158-C158,0)</f>
        <v>0</v>
      </c>
      <c r="S158" s="51">
        <f>IF(Q158=TRUE,0,C158-G158)</f>
        <v>22.090000000000146</v>
      </c>
      <c r="T158" s="48">
        <f>IF(J158&lt;I158,1,0)+IF(K158&lt;J158,1,0)+IF(L158&lt;K158,1,0)+IF(M158&lt;L158,1,0)</f>
        <v>2</v>
      </c>
      <c r="U158" s="43">
        <v>42.73</v>
      </c>
      <c r="V158" s="30" t="s">
        <v>247</v>
      </c>
      <c r="W158" s="38">
        <v>9.4700000000000006</v>
      </c>
      <c r="X158" s="38">
        <f>D158-C158</f>
        <v>-98.349999999999909</v>
      </c>
      <c r="Y158" s="38">
        <f>E158-D158</f>
        <v>-8.9900000000002365</v>
      </c>
      <c r="Z158" s="38">
        <f>F158-E158</f>
        <v>57.840000000000146</v>
      </c>
      <c r="AA158" s="38">
        <f>G158-F158</f>
        <v>27.409999999999854</v>
      </c>
      <c r="AB158" s="38">
        <f>FORESTS[[#This Row],[Column7]]+FORESTS[[#This Row],[Column8]]</f>
        <v>85.25</v>
      </c>
      <c r="AD158" s="63">
        <f>(D158-C158)/10</f>
        <v>-9.8349999999999902</v>
      </c>
      <c r="AE158" s="63">
        <f>(E158-D158)/10</f>
        <v>-0.89900000000002367</v>
      </c>
      <c r="AF158" s="63">
        <f>(F158-E158)/5</f>
        <v>11.56800000000003</v>
      </c>
      <c r="AG158" s="63">
        <f>(G158-F158)/5</f>
        <v>5.4819999999999709</v>
      </c>
    </row>
    <row r="159" spans="1:33" x14ac:dyDescent="0.2">
      <c r="A159" s="28">
        <v>404</v>
      </c>
      <c r="B159" s="28" t="s">
        <v>86</v>
      </c>
      <c r="C159" s="38">
        <v>3858.54</v>
      </c>
      <c r="D159" s="38">
        <v>3961.19</v>
      </c>
      <c r="E159" s="38">
        <v>3616.34</v>
      </c>
      <c r="F159" s="38">
        <v>3522.41</v>
      </c>
      <c r="G159" s="38">
        <v>3611.09</v>
      </c>
      <c r="H159" s="38">
        <v>56914</v>
      </c>
      <c r="I159" s="54">
        <f>C159/$H159</f>
        <v>6.7795972871349752E-2</v>
      </c>
      <c r="J159" s="54">
        <f>D159/$H159</f>
        <v>6.9599571282988368E-2</v>
      </c>
      <c r="K159" s="54">
        <f>E159/$H159</f>
        <v>6.3540429419826405E-2</v>
      </c>
      <c r="L159" s="54">
        <f>F159/$H159</f>
        <v>6.1890044628738095E-2</v>
      </c>
      <c r="M159" s="54">
        <f>G159/$H159</f>
        <v>6.3448184980848296E-2</v>
      </c>
      <c r="N159" s="51">
        <f>FORESTS[[#This Row],[Area_2020]]-FORESTS[[#This Row],[Area_1990]]</f>
        <v>-247.44999999999982</v>
      </c>
      <c r="O159" s="51">
        <f>ABS(FORESTS[[#This Row],[Area_Delta]])</f>
        <v>247.44999999999982</v>
      </c>
      <c r="P159" s="104">
        <f>FORESTS[[#This Row],[Area_2020_%]]-FORESTS[[#This Row],[Area_1990_%]]</f>
        <v>-4.3477878905014561E-3</v>
      </c>
      <c r="Q159" s="54" t="b">
        <f>IF(G159&gt;C159, TRUE, FALSE)</f>
        <v>0</v>
      </c>
      <c r="R159" s="51">
        <f>IF(Q159=TRUE,G159-C159,0)</f>
        <v>0</v>
      </c>
      <c r="S159" s="51">
        <f>IF(Q159=TRUE,0,C159-G159)</f>
        <v>247.44999999999982</v>
      </c>
      <c r="T159" s="48">
        <f>IF(J159&lt;I159,1,0)+IF(K159&lt;J159,1,0)+IF(L159&lt;K159,1,0)+IF(M159&lt;L159,1,0)</f>
        <v>2</v>
      </c>
      <c r="U159" s="43">
        <v>6.34</v>
      </c>
      <c r="V159" s="30" t="s">
        <v>247</v>
      </c>
      <c r="W159" s="38">
        <v>3.85</v>
      </c>
      <c r="X159" s="38">
        <f>D159-C159</f>
        <v>102.65000000000009</v>
      </c>
      <c r="Y159" s="38">
        <f>E159-D159</f>
        <v>-344.84999999999991</v>
      </c>
      <c r="Z159" s="38">
        <f>F159-E159</f>
        <v>-93.930000000000291</v>
      </c>
      <c r="AA159" s="38">
        <f>G159-F159</f>
        <v>88.680000000000291</v>
      </c>
      <c r="AB159" s="38">
        <f>FORESTS[[#This Row],[Column7]]+FORESTS[[#This Row],[Column8]]</f>
        <v>-5.25</v>
      </c>
      <c r="AD159" s="63">
        <f>(D159-C159)/10</f>
        <v>10.265000000000009</v>
      </c>
      <c r="AE159" s="63">
        <f>(E159-D159)/10</f>
        <v>-34.484999999999992</v>
      </c>
      <c r="AF159" s="63">
        <f>(F159-E159)/5</f>
        <v>-18.786000000000058</v>
      </c>
      <c r="AG159" s="63">
        <f>(G159-F159)/5</f>
        <v>17.736000000000057</v>
      </c>
    </row>
    <row r="160" spans="1:33" x14ac:dyDescent="0.2">
      <c r="A160" s="28">
        <v>92</v>
      </c>
      <c r="B160" s="28" t="s">
        <v>207</v>
      </c>
      <c r="C160" s="30">
        <v>3.71</v>
      </c>
      <c r="D160" s="30">
        <v>3.67</v>
      </c>
      <c r="E160" s="30">
        <v>3.64</v>
      </c>
      <c r="F160" s="30">
        <v>3.62</v>
      </c>
      <c r="G160" s="30">
        <v>3.62</v>
      </c>
      <c r="H160" s="30">
        <v>15</v>
      </c>
      <c r="I160" s="54">
        <f>C160/$H160</f>
        <v>0.24733333333333332</v>
      </c>
      <c r="J160" s="54">
        <f>D160/$H160</f>
        <v>0.24466666666666667</v>
      </c>
      <c r="K160" s="54">
        <f>E160/$H160</f>
        <v>0.24266666666666667</v>
      </c>
      <c r="L160" s="54">
        <f>F160/$H160</f>
        <v>0.24133333333333334</v>
      </c>
      <c r="M160" s="54">
        <f>G160/$H160</f>
        <v>0.24133333333333334</v>
      </c>
      <c r="N160" s="51">
        <f>FORESTS[[#This Row],[Area_2020]]-FORESTS[[#This Row],[Area_1990]]</f>
        <v>-8.9999999999999858E-2</v>
      </c>
      <c r="O160" s="51">
        <f>ABS(FORESTS[[#This Row],[Area_Delta]])</f>
        <v>8.9999999999999858E-2</v>
      </c>
      <c r="P160" s="104">
        <f>FORESTS[[#This Row],[Area_2020_%]]-FORESTS[[#This Row],[Area_1990_%]]</f>
        <v>-5.9999999999999776E-3</v>
      </c>
      <c r="Q160" s="54" t="b">
        <f>IF(G160&gt;C160, TRUE, FALSE)</f>
        <v>0</v>
      </c>
      <c r="R160" s="51">
        <f>IF(Q160=TRUE,G160-C160,0)</f>
        <v>0</v>
      </c>
      <c r="S160" s="51">
        <f>IF(Q160=TRUE,0,C160-G160)</f>
        <v>8.9999999999999858E-2</v>
      </c>
      <c r="T160" s="48">
        <f>IF(J160&lt;I160,1,0)+IF(K160&lt;J160,1,0)+IF(L160&lt;K160,1,0)+IF(M160&lt;L160,1,0)</f>
        <v>3</v>
      </c>
      <c r="U160" s="48">
        <v>24.13</v>
      </c>
      <c r="V160" s="30" t="s">
        <v>247</v>
      </c>
      <c r="W160" s="30" t="s">
        <v>247</v>
      </c>
      <c r="X160" s="38">
        <f>D160-C160</f>
        <v>-4.0000000000000036E-2</v>
      </c>
      <c r="Y160" s="38">
        <f>E160-D160</f>
        <v>-2.9999999999999805E-2</v>
      </c>
      <c r="Z160" s="38">
        <f>F160-E160</f>
        <v>-2.0000000000000018E-2</v>
      </c>
      <c r="AA160" s="38">
        <f>G160-F160</f>
        <v>0</v>
      </c>
      <c r="AB160" s="38">
        <f>FORESTS[[#This Row],[Column7]]+FORESTS[[#This Row],[Column8]]</f>
        <v>-2.0000000000000018E-2</v>
      </c>
      <c r="AD160" s="63">
        <f>(D160-C160)/10</f>
        <v>-4.0000000000000036E-3</v>
      </c>
      <c r="AE160" s="63">
        <f>(E160-D160)/10</f>
        <v>-2.9999999999999805E-3</v>
      </c>
      <c r="AF160" s="63">
        <f>(F160-E160)/5</f>
        <v>-4.0000000000000036E-3</v>
      </c>
      <c r="AG160" s="63">
        <f>(G160-F160)/5</f>
        <v>0</v>
      </c>
    </row>
    <row r="161" spans="1:33" x14ac:dyDescent="0.2">
      <c r="A161" s="28">
        <v>562</v>
      </c>
      <c r="B161" s="28" t="s">
        <v>119</v>
      </c>
      <c r="C161" s="46">
        <v>1945</v>
      </c>
      <c r="D161" s="46">
        <v>1328.1</v>
      </c>
      <c r="E161" s="46">
        <v>1203.9000000000001</v>
      </c>
      <c r="F161" s="46">
        <v>1141.8</v>
      </c>
      <c r="G161" s="46">
        <v>1079.7</v>
      </c>
      <c r="H161" s="46">
        <v>126670</v>
      </c>
      <c r="I161" s="54">
        <f>C161/$H161</f>
        <v>1.5354859082655719E-2</v>
      </c>
      <c r="J161" s="54">
        <f>D161/$H161</f>
        <v>1.0484724086208257E-2</v>
      </c>
      <c r="K161" s="54">
        <f>E161/$H161</f>
        <v>9.5042235730638681E-3</v>
      </c>
      <c r="L161" s="54">
        <f>F161/$H161</f>
        <v>9.0139733164916712E-3</v>
      </c>
      <c r="M161" s="54">
        <f>G161/$H161</f>
        <v>8.523723059919476E-3</v>
      </c>
      <c r="N161" s="51">
        <f>FORESTS[[#This Row],[Area_2020]]-FORESTS[[#This Row],[Area_1990]]</f>
        <v>-865.3</v>
      </c>
      <c r="O161" s="51">
        <f>ABS(FORESTS[[#This Row],[Area_Delta]])</f>
        <v>865.3</v>
      </c>
      <c r="P161" s="104">
        <f>FORESTS[[#This Row],[Area_2020_%]]-FORESTS[[#This Row],[Area_1990_%]]</f>
        <v>-6.8311360227362432E-3</v>
      </c>
      <c r="Q161" s="54" t="b">
        <f>IF(G161&gt;C161, TRUE, FALSE)</f>
        <v>0</v>
      </c>
      <c r="R161" s="51">
        <f>IF(Q161=TRUE,G161-C161,0)</f>
        <v>0</v>
      </c>
      <c r="S161" s="51">
        <f>IF(Q161=TRUE,0,C161-G161)</f>
        <v>865.3</v>
      </c>
      <c r="T161" s="48">
        <f>IF(J161&lt;I161,1,0)+IF(K161&lt;J161,1,0)+IF(L161&lt;K161,1,0)+IF(M161&lt;L161,1,0)</f>
        <v>4</v>
      </c>
      <c r="U161" s="43">
        <v>0.85</v>
      </c>
      <c r="V161" s="30">
        <v>14.92</v>
      </c>
      <c r="W161" s="38" t="s">
        <v>247</v>
      </c>
      <c r="X161" s="38">
        <f>D161-C161</f>
        <v>-616.90000000000009</v>
      </c>
      <c r="Y161" s="38">
        <f>E161-D161</f>
        <v>-124.19999999999982</v>
      </c>
      <c r="Z161" s="38">
        <f>F161-E161</f>
        <v>-62.100000000000136</v>
      </c>
      <c r="AA161" s="38">
        <f>G161-F161</f>
        <v>-62.099999999999909</v>
      </c>
      <c r="AB161" s="38">
        <f>FORESTS[[#This Row],[Column7]]+FORESTS[[#This Row],[Column8]]</f>
        <v>-124.20000000000005</v>
      </c>
      <c r="AD161" s="63">
        <f>(D161-C161)/10</f>
        <v>-61.690000000000012</v>
      </c>
      <c r="AE161" s="63">
        <f>(E161-D161)/10</f>
        <v>-12.419999999999982</v>
      </c>
      <c r="AF161" s="63">
        <f>(F161-E161)/5</f>
        <v>-12.420000000000027</v>
      </c>
      <c r="AG161" s="63">
        <f>(G161-F161)/5</f>
        <v>-12.419999999999982</v>
      </c>
    </row>
    <row r="162" spans="1:33" x14ac:dyDescent="0.2">
      <c r="A162" s="28">
        <v>312</v>
      </c>
      <c r="B162" s="28" t="s">
        <v>66</v>
      </c>
      <c r="C162" s="30">
        <v>73.17</v>
      </c>
      <c r="D162" s="30">
        <v>72.27</v>
      </c>
      <c r="E162" s="30">
        <v>71.55</v>
      </c>
      <c r="F162" s="30">
        <v>72.22</v>
      </c>
      <c r="G162" s="30">
        <v>71.92</v>
      </c>
      <c r="H162" s="30">
        <v>169</v>
      </c>
      <c r="I162" s="54">
        <f>C162/$H162</f>
        <v>0.43295857988165681</v>
      </c>
      <c r="J162" s="54">
        <f>D162/$H162</f>
        <v>0.42763313609467452</v>
      </c>
      <c r="K162" s="54">
        <f>E162/$H162</f>
        <v>0.42337278106508874</v>
      </c>
      <c r="L162" s="54">
        <f>F162/$H162</f>
        <v>0.42733727810650884</v>
      </c>
      <c r="M162" s="54">
        <f>G162/$H162</f>
        <v>0.42556213017751482</v>
      </c>
      <c r="N162" s="51">
        <f>FORESTS[[#This Row],[Area_2020]]-FORESTS[[#This Row],[Area_1990]]</f>
        <v>-1.25</v>
      </c>
      <c r="O162" s="51">
        <f>ABS(FORESTS[[#This Row],[Area_Delta]])</f>
        <v>1.25</v>
      </c>
      <c r="P162" s="104">
        <f>FORESTS[[#This Row],[Area_2020_%]]-FORESTS[[#This Row],[Area_1990_%]]</f>
        <v>-7.3964497041419941E-3</v>
      </c>
      <c r="Q162" s="54" t="b">
        <f>IF(G162&gt;C162, TRUE, FALSE)</f>
        <v>0</v>
      </c>
      <c r="R162" s="51">
        <f>IF(Q162=TRUE,G162-C162,0)</f>
        <v>0</v>
      </c>
      <c r="S162" s="51">
        <f>IF(Q162=TRUE,0,C162-G162)</f>
        <v>1.25</v>
      </c>
      <c r="T162" s="48">
        <f>IF(J162&lt;I162,1,0)+IF(K162&lt;J162,1,0)+IF(L162&lt;K162,1,0)+IF(M162&lt;L162,1,0)</f>
        <v>3</v>
      </c>
      <c r="U162" s="48">
        <v>42.56</v>
      </c>
      <c r="V162" s="30">
        <v>0.25</v>
      </c>
      <c r="W162" s="30">
        <v>0</v>
      </c>
      <c r="X162" s="38">
        <f>D162-C162</f>
        <v>-0.90000000000000568</v>
      </c>
      <c r="Y162" s="38">
        <f>E162-D162</f>
        <v>-0.71999999999999886</v>
      </c>
      <c r="Z162" s="38">
        <f>F162-E162</f>
        <v>0.67000000000000171</v>
      </c>
      <c r="AA162" s="38">
        <f>G162-F162</f>
        <v>-0.29999999999999716</v>
      </c>
      <c r="AB162" s="38">
        <f>FORESTS[[#This Row],[Column7]]+FORESTS[[#This Row],[Column8]]</f>
        <v>0.37000000000000455</v>
      </c>
      <c r="AD162" s="63">
        <f>(D162-C162)/10</f>
        <v>-9.0000000000000566E-2</v>
      </c>
      <c r="AE162" s="63">
        <f>(E162-D162)/10</f>
        <v>-7.1999999999999884E-2</v>
      </c>
      <c r="AF162" s="63">
        <f>(F162-E162)/5</f>
        <v>0.13400000000000034</v>
      </c>
      <c r="AG162" s="63">
        <f>(G162-F162)/5</f>
        <v>-5.9999999999999429E-2</v>
      </c>
    </row>
    <row r="163" spans="1:33" x14ac:dyDescent="0.2">
      <c r="A163" s="28">
        <v>90</v>
      </c>
      <c r="B163" s="28" t="s">
        <v>151</v>
      </c>
      <c r="C163" s="46">
        <v>2544.91</v>
      </c>
      <c r="D163" s="46">
        <v>2537.6</v>
      </c>
      <c r="E163" s="46">
        <v>2530.2800000000002</v>
      </c>
      <c r="F163" s="46">
        <v>2526.62</v>
      </c>
      <c r="G163" s="46">
        <v>2522.9699999999998</v>
      </c>
      <c r="H163" s="46">
        <v>2799</v>
      </c>
      <c r="I163" s="54">
        <f>C163/$H163</f>
        <v>0.90922115041086093</v>
      </c>
      <c r="J163" s="54">
        <f>D163/$H163</f>
        <v>0.90660950339406932</v>
      </c>
      <c r="K163" s="54">
        <f>E163/$H163</f>
        <v>0.90399428367274037</v>
      </c>
      <c r="L163" s="54">
        <f>F163/$H163</f>
        <v>0.90268667381207568</v>
      </c>
      <c r="M163" s="54">
        <f>G163/$H163</f>
        <v>0.90138263665594853</v>
      </c>
      <c r="N163" s="51">
        <f>FORESTS[[#This Row],[Area_2020]]-FORESTS[[#This Row],[Area_1990]]</f>
        <v>-21.940000000000055</v>
      </c>
      <c r="O163" s="51">
        <f>ABS(FORESTS[[#This Row],[Area_Delta]])</f>
        <v>21.940000000000055</v>
      </c>
      <c r="P163" s="104">
        <f>FORESTS[[#This Row],[Area_2020_%]]-FORESTS[[#This Row],[Area_1990_%]]</f>
        <v>-7.8385137549124018E-3</v>
      </c>
      <c r="Q163" s="54" t="b">
        <f>IF(G163&gt;C163, TRUE, FALSE)</f>
        <v>0</v>
      </c>
      <c r="R163" s="51">
        <f>IF(Q163=TRUE,G163-C163,0)</f>
        <v>0</v>
      </c>
      <c r="S163" s="51">
        <f>IF(Q163=TRUE,0,C163-G163)</f>
        <v>21.940000000000055</v>
      </c>
      <c r="T163" s="48">
        <f>IF(J163&lt;I163,1,0)+IF(K163&lt;J163,1,0)+IF(L163&lt;K163,1,0)+IF(M163&lt;L163,1,0)</f>
        <v>4</v>
      </c>
      <c r="U163" s="48">
        <v>90.14</v>
      </c>
      <c r="V163" s="30" t="s">
        <v>247</v>
      </c>
      <c r="W163" s="30" t="s">
        <v>247</v>
      </c>
      <c r="X163" s="38">
        <f>D163-C163</f>
        <v>-7.3099999999999454</v>
      </c>
      <c r="Y163" s="38">
        <f>E163-D163</f>
        <v>-7.319999999999709</v>
      </c>
      <c r="Z163" s="38">
        <f>F163-E163</f>
        <v>-3.6600000000003092</v>
      </c>
      <c r="AA163" s="38">
        <f>G163-F163</f>
        <v>-3.6500000000000909</v>
      </c>
      <c r="AB163" s="38">
        <f>FORESTS[[#This Row],[Column7]]+FORESTS[[#This Row],[Column8]]</f>
        <v>-7.3100000000004002</v>
      </c>
      <c r="AD163" s="63">
        <f>(D163-C163)/10</f>
        <v>-0.73099999999999454</v>
      </c>
      <c r="AE163" s="63">
        <f>(E163-D163)/10</f>
        <v>-0.7319999999999709</v>
      </c>
      <c r="AF163" s="63">
        <f>(F163-E163)/5</f>
        <v>-0.73200000000006182</v>
      </c>
      <c r="AG163" s="63">
        <f>(G163-F163)/5</f>
        <v>-0.73000000000001819</v>
      </c>
    </row>
    <row r="164" spans="1:33" x14ac:dyDescent="0.2">
      <c r="A164" s="28">
        <v>662</v>
      </c>
      <c r="B164" s="28" t="s">
        <v>140</v>
      </c>
      <c r="C164" s="30">
        <v>21.27</v>
      </c>
      <c r="D164" s="30">
        <v>21.01</v>
      </c>
      <c r="E164" s="30">
        <v>20.77</v>
      </c>
      <c r="F164" s="30">
        <v>20.77</v>
      </c>
      <c r="G164" s="30">
        <v>20.77</v>
      </c>
      <c r="H164" s="30">
        <v>61</v>
      </c>
      <c r="I164" s="54">
        <f>C164/$H164</f>
        <v>0.34868852459016392</v>
      </c>
      <c r="J164" s="54">
        <f>D164/$H164</f>
        <v>0.34442622950819674</v>
      </c>
      <c r="K164" s="54">
        <f>E164/$H164</f>
        <v>0.3404918032786885</v>
      </c>
      <c r="L164" s="54">
        <f>F164/$H164</f>
        <v>0.3404918032786885</v>
      </c>
      <c r="M164" s="54">
        <f>G164/$H164</f>
        <v>0.3404918032786885</v>
      </c>
      <c r="N164" s="51">
        <f>FORESTS[[#This Row],[Area_2020]]-FORESTS[[#This Row],[Area_1990]]</f>
        <v>-0.5</v>
      </c>
      <c r="O164" s="51">
        <f>ABS(FORESTS[[#This Row],[Area_Delta]])</f>
        <v>0.5</v>
      </c>
      <c r="P164" s="104">
        <f>FORESTS[[#This Row],[Area_2020_%]]-FORESTS[[#This Row],[Area_1990_%]]</f>
        <v>-8.1967213114754189E-3</v>
      </c>
      <c r="Q164" s="54" t="b">
        <f>IF(G164&gt;C164, TRUE, FALSE)</f>
        <v>0</v>
      </c>
      <c r="R164" s="51">
        <f>IF(Q164=TRUE,G164-C164,0)</f>
        <v>0</v>
      </c>
      <c r="S164" s="51">
        <f>IF(Q164=TRUE,0,C164-G164)</f>
        <v>0.5</v>
      </c>
      <c r="T164" s="48">
        <f>IF(J164&lt;I164,1,0)+IF(K164&lt;J164,1,0)+IF(L164&lt;K164,1,0)+IF(M164&lt;L164,1,0)</f>
        <v>2</v>
      </c>
      <c r="U164" s="48">
        <v>34.049999999999997</v>
      </c>
      <c r="V164" s="30" t="s">
        <v>247</v>
      </c>
      <c r="W164" s="30" t="s">
        <v>247</v>
      </c>
      <c r="X164" s="38">
        <f>D164-C164</f>
        <v>-0.25999999999999801</v>
      </c>
      <c r="Y164" s="38">
        <f>E164-D164</f>
        <v>-0.24000000000000199</v>
      </c>
      <c r="Z164" s="38">
        <f>F164-E164</f>
        <v>0</v>
      </c>
      <c r="AA164" s="38">
        <f>G164-F164</f>
        <v>0</v>
      </c>
      <c r="AB164" s="38">
        <f>FORESTS[[#This Row],[Column7]]+FORESTS[[#This Row],[Column8]]</f>
        <v>0</v>
      </c>
      <c r="AD164" s="63">
        <f>(D164-C164)/10</f>
        <v>-2.5999999999999801E-2</v>
      </c>
      <c r="AE164" s="63">
        <f>(E164-D164)/10</f>
        <v>-2.4000000000000198E-2</v>
      </c>
      <c r="AF164" s="63">
        <f>(F164-E164)/5</f>
        <v>0</v>
      </c>
      <c r="AG164" s="63">
        <f>(G164-F164)/5</f>
        <v>0</v>
      </c>
    </row>
    <row r="165" spans="1:33" x14ac:dyDescent="0.2">
      <c r="A165" s="28">
        <v>266</v>
      </c>
      <c r="B165" s="28" t="s">
        <v>58</v>
      </c>
      <c r="C165" s="46">
        <v>23761.62</v>
      </c>
      <c r="D165" s="46">
        <v>23700</v>
      </c>
      <c r="E165" s="46">
        <v>23649.41</v>
      </c>
      <c r="F165" s="46">
        <v>23590</v>
      </c>
      <c r="G165" s="46">
        <v>23530.6</v>
      </c>
      <c r="H165" s="46">
        <v>25767</v>
      </c>
      <c r="I165" s="54">
        <f>C165/$H165</f>
        <v>0.92217254628012568</v>
      </c>
      <c r="J165" s="54">
        <f>D165/$H165</f>
        <v>0.9197811153801374</v>
      </c>
      <c r="K165" s="54">
        <f>E165/$H165</f>
        <v>0.91781775138743349</v>
      </c>
      <c r="L165" s="54">
        <f>F165/$H165</f>
        <v>0.91551208910622117</v>
      </c>
      <c r="M165" s="54">
        <f>G165/$H165</f>
        <v>0.91320681491830635</v>
      </c>
      <c r="N165" s="51">
        <f>FORESTS[[#This Row],[Area_2020]]-FORESTS[[#This Row],[Area_1990]]</f>
        <v>-231.02000000000044</v>
      </c>
      <c r="O165" s="51">
        <f>ABS(FORESTS[[#This Row],[Area_Delta]])</f>
        <v>231.02000000000044</v>
      </c>
      <c r="P165" s="104">
        <f>FORESTS[[#This Row],[Area_2020_%]]-FORESTS[[#This Row],[Area_1990_%]]</f>
        <v>-8.9657313618193291E-3</v>
      </c>
      <c r="Q165" s="54" t="b">
        <f>IF(G165&gt;C165, TRUE, FALSE)</f>
        <v>0</v>
      </c>
      <c r="R165" s="51">
        <f>IF(Q165=TRUE,G165-C165,0)</f>
        <v>0</v>
      </c>
      <c r="S165" s="51">
        <f>IF(Q165=TRUE,0,C165-G165)</f>
        <v>231.02000000000044</v>
      </c>
      <c r="T165" s="62">
        <f>IF(J165&lt;I165,1,0)+IF(K165&lt;J165,1,0)+IF(L165&lt;K165,1,0)+IF(M165&lt;L165,1,0)</f>
        <v>4</v>
      </c>
      <c r="U165" s="43">
        <v>91.32</v>
      </c>
      <c r="V165" s="30">
        <v>19.25</v>
      </c>
      <c r="W165" s="38">
        <v>0</v>
      </c>
      <c r="X165" s="38">
        <f>D165-C165</f>
        <v>-61.619999999998981</v>
      </c>
      <c r="Y165" s="38">
        <f>E165-D165</f>
        <v>-50.590000000000146</v>
      </c>
      <c r="Z165" s="38">
        <f>F165-E165</f>
        <v>-59.409999999999854</v>
      </c>
      <c r="AA165" s="38">
        <f>G165-F165</f>
        <v>-59.400000000001455</v>
      </c>
      <c r="AB165" s="38">
        <f>FORESTS[[#This Row],[Column7]]+FORESTS[[#This Row],[Column8]]</f>
        <v>-118.81000000000131</v>
      </c>
      <c r="AD165" s="63">
        <f>(D165-C165)/10</f>
        <v>-6.1619999999998978</v>
      </c>
      <c r="AE165" s="63">
        <f>(E165-D165)/10</f>
        <v>-5.0590000000000144</v>
      </c>
      <c r="AF165" s="63">
        <f>(F165-E165)/5</f>
        <v>-11.881999999999971</v>
      </c>
      <c r="AG165" s="63">
        <f>(G165-F165)/5</f>
        <v>-11.88000000000029</v>
      </c>
    </row>
    <row r="166" spans="1:33" x14ac:dyDescent="0.2">
      <c r="A166" s="28">
        <v>710</v>
      </c>
      <c r="B166" s="28" t="s">
        <v>153</v>
      </c>
      <c r="C166" s="46">
        <v>18142.09</v>
      </c>
      <c r="D166" s="46">
        <v>17778.09</v>
      </c>
      <c r="E166" s="46">
        <v>17414.09</v>
      </c>
      <c r="F166" s="46">
        <v>17232.09</v>
      </c>
      <c r="G166" s="46">
        <v>17050.09</v>
      </c>
      <c r="H166" s="46">
        <v>121309</v>
      </c>
      <c r="I166" s="54">
        <f>C166/$H166</f>
        <v>0.14955271249453875</v>
      </c>
      <c r="J166" s="54">
        <f>D166/$H166</f>
        <v>0.14655211072550264</v>
      </c>
      <c r="K166" s="54">
        <f>E166/$H166</f>
        <v>0.14355150895646654</v>
      </c>
      <c r="L166" s="54">
        <f>F166/$H166</f>
        <v>0.14205120807194849</v>
      </c>
      <c r="M166" s="54">
        <f>G166/$H166</f>
        <v>0.14055090718743043</v>
      </c>
      <c r="N166" s="51">
        <f>FORESTS[[#This Row],[Area_2020]]-FORESTS[[#This Row],[Area_1990]]</f>
        <v>-1092</v>
      </c>
      <c r="O166" s="51">
        <f>ABS(FORESTS[[#This Row],[Area_Delta]])</f>
        <v>1092</v>
      </c>
      <c r="P166" s="104">
        <f>FORESTS[[#This Row],[Area_2020_%]]-FORESTS[[#This Row],[Area_1990_%]]</f>
        <v>-9.0018053071083126E-3</v>
      </c>
      <c r="Q166" s="54" t="b">
        <f>IF(G166&gt;C166, TRUE, FALSE)</f>
        <v>0</v>
      </c>
      <c r="R166" s="51">
        <f>IF(Q166=TRUE,G166-C166,0)</f>
        <v>0</v>
      </c>
      <c r="S166" s="51">
        <f>IF(Q166=TRUE,0,C166-G166)</f>
        <v>1092</v>
      </c>
      <c r="T166" s="62">
        <f>IF(J166&lt;I166,1,0)+IF(K166&lt;J166,1,0)+IF(L166&lt;K166,1,0)+IF(M166&lt;L166,1,0)</f>
        <v>4</v>
      </c>
      <c r="U166" s="43">
        <v>14.06</v>
      </c>
      <c r="V166" s="30">
        <v>199</v>
      </c>
      <c r="W166" s="38">
        <v>11.96</v>
      </c>
      <c r="X166" s="38">
        <f>D166-C166</f>
        <v>-364</v>
      </c>
      <c r="Y166" s="38">
        <f>E166-D166</f>
        <v>-364</v>
      </c>
      <c r="Z166" s="38">
        <f>F166-E166</f>
        <v>-182</v>
      </c>
      <c r="AA166" s="38">
        <f>G166-F166</f>
        <v>-182</v>
      </c>
      <c r="AB166" s="38">
        <f>FORESTS[[#This Row],[Column7]]+FORESTS[[#This Row],[Column8]]</f>
        <v>-364</v>
      </c>
      <c r="AD166" s="63">
        <f>(D166-C166)/10</f>
        <v>-36.4</v>
      </c>
      <c r="AE166" s="63">
        <f>(E166-D166)/10</f>
        <v>-36.4</v>
      </c>
      <c r="AF166" s="63">
        <f>(F166-E166)/5</f>
        <v>-36.4</v>
      </c>
      <c r="AG166" s="63">
        <f>(G166-F166)/5</f>
        <v>-36.4</v>
      </c>
    </row>
    <row r="167" spans="1:33" x14ac:dyDescent="0.2">
      <c r="A167" s="28">
        <v>232</v>
      </c>
      <c r="B167" s="28" t="s">
        <v>51</v>
      </c>
      <c r="C167" s="46">
        <v>1150.06</v>
      </c>
      <c r="D167" s="46">
        <v>1118.46</v>
      </c>
      <c r="E167" s="46">
        <v>1086.8599999999999</v>
      </c>
      <c r="F167" s="46">
        <v>1071.06</v>
      </c>
      <c r="G167" s="46">
        <v>1055.26</v>
      </c>
      <c r="H167" s="46">
        <v>10100</v>
      </c>
      <c r="I167" s="54">
        <f>C167/$H167</f>
        <v>0.11386732673267326</v>
      </c>
      <c r="J167" s="54">
        <f>D167/$H167</f>
        <v>0.11073861386138614</v>
      </c>
      <c r="K167" s="54">
        <f>E167/$H167</f>
        <v>0.107609900990099</v>
      </c>
      <c r="L167" s="54">
        <f>F167/$H167</f>
        <v>0.10604554455445545</v>
      </c>
      <c r="M167" s="54">
        <f>G167/$H167</f>
        <v>0.10448118811881188</v>
      </c>
      <c r="N167" s="51">
        <f>FORESTS[[#This Row],[Area_2020]]-FORESTS[[#This Row],[Area_1990]]</f>
        <v>-94.799999999999955</v>
      </c>
      <c r="O167" s="51">
        <f>ABS(FORESTS[[#This Row],[Area_Delta]])</f>
        <v>94.799999999999955</v>
      </c>
      <c r="P167" s="104">
        <f>FORESTS[[#This Row],[Area_2020_%]]-FORESTS[[#This Row],[Area_1990_%]]</f>
        <v>-9.3861386138613806E-3</v>
      </c>
      <c r="Q167" s="54" t="b">
        <f>IF(G167&gt;C167, TRUE, FALSE)</f>
        <v>0</v>
      </c>
      <c r="R167" s="51">
        <f>IF(Q167=TRUE,G167-C167,0)</f>
        <v>0</v>
      </c>
      <c r="S167" s="51">
        <f>IF(Q167=TRUE,0,C167-G167)</f>
        <v>94.799999999999955</v>
      </c>
      <c r="T167" s="48">
        <f>IF(J167&lt;I167,1,0)+IF(K167&lt;J167,1,0)+IF(L167&lt;K167,1,0)+IF(M167&lt;L167,1,0)</f>
        <v>4</v>
      </c>
      <c r="U167" s="43">
        <v>10.45</v>
      </c>
      <c r="V167" s="30" t="s">
        <v>247</v>
      </c>
      <c r="W167" s="38" t="s">
        <v>247</v>
      </c>
      <c r="X167" s="38">
        <f>D167-C167</f>
        <v>-31.599999999999909</v>
      </c>
      <c r="Y167" s="38">
        <f>E167-D167</f>
        <v>-31.600000000000136</v>
      </c>
      <c r="Z167" s="38">
        <f>F167-E167</f>
        <v>-15.799999999999955</v>
      </c>
      <c r="AA167" s="38">
        <f>G167-F167</f>
        <v>-15.799999999999955</v>
      </c>
      <c r="AB167" s="38">
        <f>FORESTS[[#This Row],[Column7]]+FORESTS[[#This Row],[Column8]]</f>
        <v>-31.599999999999909</v>
      </c>
      <c r="AD167" s="63">
        <f>(D167-C167)/10</f>
        <v>-3.1599999999999908</v>
      </c>
      <c r="AE167" s="63">
        <f>(E167-D167)/10</f>
        <v>-3.1600000000000135</v>
      </c>
      <c r="AF167" s="63">
        <f>(F167-E167)/5</f>
        <v>-3.1599999999999908</v>
      </c>
      <c r="AG167" s="63">
        <f>(G167-F167)/5</f>
        <v>-3.1599999999999908</v>
      </c>
    </row>
    <row r="168" spans="1:33" x14ac:dyDescent="0.2">
      <c r="A168" s="28">
        <v>328</v>
      </c>
      <c r="B168" s="28" t="s">
        <v>70</v>
      </c>
      <c r="C168" s="46">
        <v>18602.150000000001</v>
      </c>
      <c r="D168" s="46">
        <v>18564.22</v>
      </c>
      <c r="E168" s="46">
        <v>18519.810000000001</v>
      </c>
      <c r="F168" s="46">
        <v>18461.36</v>
      </c>
      <c r="G168" s="46">
        <v>18415.34</v>
      </c>
      <c r="H168" s="46">
        <v>19685</v>
      </c>
      <c r="I168" s="54">
        <f>C168/$H168</f>
        <v>0.94499110998222002</v>
      </c>
      <c r="J168" s="54">
        <f>D168/$H168</f>
        <v>0.94306426212852434</v>
      </c>
      <c r="K168" s="54">
        <f>E168/$H168</f>
        <v>0.94080822961645927</v>
      </c>
      <c r="L168" s="54">
        <f>F168/$H168</f>
        <v>0.93783896367792741</v>
      </c>
      <c r="M168" s="54">
        <f>G168/$H168</f>
        <v>0.93550114300228604</v>
      </c>
      <c r="N168" s="51">
        <f>FORESTS[[#This Row],[Area_2020]]-FORESTS[[#This Row],[Area_1990]]</f>
        <v>-186.81000000000131</v>
      </c>
      <c r="O168" s="51">
        <f>ABS(FORESTS[[#This Row],[Area_Delta]])</f>
        <v>186.81000000000131</v>
      </c>
      <c r="P168" s="104">
        <f>FORESTS[[#This Row],[Area_2020_%]]-FORESTS[[#This Row],[Area_1990_%]]</f>
        <v>-9.4899669799339836E-3</v>
      </c>
      <c r="Q168" s="54" t="b">
        <f>IF(G168&gt;C168, TRUE, FALSE)</f>
        <v>0</v>
      </c>
      <c r="R168" s="51">
        <f>IF(Q168=TRUE,G168-C168,0)</f>
        <v>0</v>
      </c>
      <c r="S168" s="51">
        <f>IF(Q168=TRUE,0,C168-G168)</f>
        <v>186.81000000000131</v>
      </c>
      <c r="T168" s="62">
        <f>IF(J168&lt;I168,1,0)+IF(K168&lt;J168,1,0)+IF(L168&lt;K168,1,0)+IF(M168&lt;L168,1,0)</f>
        <v>4</v>
      </c>
      <c r="U168" s="43">
        <v>93.55</v>
      </c>
      <c r="V168" s="30">
        <v>9.1999999999999993</v>
      </c>
      <c r="W168" s="38">
        <v>1.1299999999999999</v>
      </c>
      <c r="X168" s="38">
        <f>D168-C168</f>
        <v>-37.930000000000291</v>
      </c>
      <c r="Y168" s="38">
        <f>E168-D168</f>
        <v>-44.409999999999854</v>
      </c>
      <c r="Z168" s="38">
        <f>F168-E168</f>
        <v>-58.450000000000728</v>
      </c>
      <c r="AA168" s="38">
        <f>G168-F168</f>
        <v>-46.020000000000437</v>
      </c>
      <c r="AB168" s="38">
        <f>FORESTS[[#This Row],[Column7]]+FORESTS[[#This Row],[Column8]]</f>
        <v>-104.47000000000116</v>
      </c>
      <c r="AD168" s="63">
        <f>(D168-C168)/10</f>
        <v>-3.793000000000029</v>
      </c>
      <c r="AE168" s="63">
        <f>(E168-D168)/10</f>
        <v>-4.4409999999999856</v>
      </c>
      <c r="AF168" s="63">
        <f>(F168-E168)/5</f>
        <v>-11.690000000000145</v>
      </c>
      <c r="AG168" s="63">
        <f>(G168-F168)/5</f>
        <v>-9.2040000000000877</v>
      </c>
    </row>
    <row r="169" spans="1:33" x14ac:dyDescent="0.2">
      <c r="A169" s="28">
        <v>620</v>
      </c>
      <c r="B169" s="28" t="s">
        <v>133</v>
      </c>
      <c r="C169" s="38">
        <v>3399</v>
      </c>
      <c r="D169" s="38">
        <v>3281</v>
      </c>
      <c r="E169" s="38">
        <v>3252</v>
      </c>
      <c r="F169" s="38">
        <v>3312</v>
      </c>
      <c r="G169" s="38">
        <v>3312</v>
      </c>
      <c r="H169" s="38">
        <v>9161</v>
      </c>
      <c r="I169" s="54">
        <f>C169/$H169</f>
        <v>0.37102936360659317</v>
      </c>
      <c r="J169" s="54">
        <f>D169/$H169</f>
        <v>0.35814867372557579</v>
      </c>
      <c r="K169" s="54">
        <f>E169/$H169</f>
        <v>0.35498308044973254</v>
      </c>
      <c r="L169" s="54">
        <f>F169/$H169</f>
        <v>0.36153258377906344</v>
      </c>
      <c r="M169" s="54">
        <f>G169/$H169</f>
        <v>0.36153258377906344</v>
      </c>
      <c r="N169" s="51">
        <f>FORESTS[[#This Row],[Area_2020]]-FORESTS[[#This Row],[Area_1990]]</f>
        <v>-87</v>
      </c>
      <c r="O169" s="51">
        <f>ABS(FORESTS[[#This Row],[Area_Delta]])</f>
        <v>87</v>
      </c>
      <c r="P169" s="104">
        <f>FORESTS[[#This Row],[Area_2020_%]]-FORESTS[[#This Row],[Area_1990_%]]</f>
        <v>-9.4967798275297222E-3</v>
      </c>
      <c r="Q169" s="54" t="b">
        <f>IF(G169&gt;C169, TRUE, FALSE)</f>
        <v>0</v>
      </c>
      <c r="R169" s="51">
        <f>IF(Q169=TRUE,G169-C169,0)</f>
        <v>0</v>
      </c>
      <c r="S169" s="51">
        <f>IF(Q169=TRUE,0,C169-G169)</f>
        <v>87</v>
      </c>
      <c r="T169" s="48">
        <f>IF(J169&lt;I169,1,0)+IF(K169&lt;J169,1,0)+IF(L169&lt;K169,1,0)+IF(M169&lt;L169,1,0)</f>
        <v>2</v>
      </c>
      <c r="U169" s="43">
        <v>36.15</v>
      </c>
      <c r="V169" s="30" t="s">
        <v>247</v>
      </c>
      <c r="W169" s="38">
        <v>23.5</v>
      </c>
      <c r="X169" s="38">
        <f>D169-C169</f>
        <v>-118</v>
      </c>
      <c r="Y169" s="38">
        <f>E169-D169</f>
        <v>-29</v>
      </c>
      <c r="Z169" s="38">
        <f>F169-E169</f>
        <v>60</v>
      </c>
      <c r="AA169" s="38">
        <f>G169-F169</f>
        <v>0</v>
      </c>
      <c r="AB169" s="38">
        <f>FORESTS[[#This Row],[Column7]]+FORESTS[[#This Row],[Column8]]</f>
        <v>60</v>
      </c>
      <c r="AD169" s="63">
        <f>(D169-C169)/10</f>
        <v>-11.8</v>
      </c>
      <c r="AE169" s="63">
        <f>(E169-D169)/10</f>
        <v>-2.9</v>
      </c>
      <c r="AF169" s="63">
        <f>(F169-E169)/5</f>
        <v>12</v>
      </c>
      <c r="AG169" s="63">
        <f>(G169-F169)/5</f>
        <v>0</v>
      </c>
    </row>
    <row r="170" spans="1:33" x14ac:dyDescent="0.2">
      <c r="A170" s="28">
        <v>178</v>
      </c>
      <c r="B170" s="28" t="s">
        <v>35</v>
      </c>
      <c r="C170" s="46">
        <v>22315</v>
      </c>
      <c r="D170" s="46">
        <v>22195</v>
      </c>
      <c r="E170" s="46">
        <v>22075</v>
      </c>
      <c r="F170" s="46">
        <v>22015</v>
      </c>
      <c r="G170" s="46">
        <v>21946</v>
      </c>
      <c r="H170" s="46">
        <v>34150</v>
      </c>
      <c r="I170" s="54">
        <f>C170/$H170</f>
        <v>0.65344070278184485</v>
      </c>
      <c r="J170" s="54">
        <f>D170/$H170</f>
        <v>0.64992679355783312</v>
      </c>
      <c r="K170" s="54">
        <f>E170/$H170</f>
        <v>0.64641288433382138</v>
      </c>
      <c r="L170" s="54">
        <f>F170/$H170</f>
        <v>0.64465592972181551</v>
      </c>
      <c r="M170" s="54">
        <f>G170/$H170</f>
        <v>0.64263543191800876</v>
      </c>
      <c r="N170" s="51">
        <f>FORESTS[[#This Row],[Area_2020]]-FORESTS[[#This Row],[Area_1990]]</f>
        <v>-369</v>
      </c>
      <c r="O170" s="51">
        <f>ABS(FORESTS[[#This Row],[Area_Delta]])</f>
        <v>369</v>
      </c>
      <c r="P170" s="104">
        <f>FORESTS[[#This Row],[Area_2020_%]]-FORESTS[[#This Row],[Area_1990_%]]</f>
        <v>-1.0805270863836092E-2</v>
      </c>
      <c r="Q170" s="54" t="b">
        <f>IF(G170&gt;C170, TRUE, FALSE)</f>
        <v>0</v>
      </c>
      <c r="R170" s="51">
        <f>IF(Q170=TRUE,G170-C170,0)</f>
        <v>0</v>
      </c>
      <c r="S170" s="51">
        <f>IF(Q170=TRUE,0,C170-G170)</f>
        <v>369</v>
      </c>
      <c r="T170" s="62">
        <f>IF(J170&lt;I170,1,0)+IF(K170&lt;J170,1,0)+IF(L170&lt;K170,1,0)+IF(M170&lt;L170,1,0)</f>
        <v>4</v>
      </c>
      <c r="U170" s="43">
        <v>64.260000000000005</v>
      </c>
      <c r="V170" s="30">
        <v>13.8</v>
      </c>
      <c r="W170" s="38" t="s">
        <v>247</v>
      </c>
      <c r="X170" s="38">
        <f>D170-C170</f>
        <v>-120</v>
      </c>
      <c r="Y170" s="38">
        <f>E170-D170</f>
        <v>-120</v>
      </c>
      <c r="Z170" s="38">
        <f>F170-E170</f>
        <v>-60</v>
      </c>
      <c r="AA170" s="38">
        <f>G170-F170</f>
        <v>-69</v>
      </c>
      <c r="AB170" s="38">
        <f>FORESTS[[#This Row],[Column7]]+FORESTS[[#This Row],[Column8]]</f>
        <v>-129</v>
      </c>
      <c r="AD170" s="63">
        <f>(D170-C170)/10</f>
        <v>-12</v>
      </c>
      <c r="AE170" s="63">
        <f>(E170-D170)/10</f>
        <v>-12</v>
      </c>
      <c r="AF170" s="63">
        <f>(F170-E170)/5</f>
        <v>-12</v>
      </c>
      <c r="AG170" s="63">
        <f>(G170-F170)/5</f>
        <v>-13.8</v>
      </c>
    </row>
    <row r="171" spans="1:33" x14ac:dyDescent="0.2">
      <c r="A171" s="28">
        <v>480</v>
      </c>
      <c r="B171" s="28" t="s">
        <v>105</v>
      </c>
      <c r="C171" s="30">
        <v>41.07</v>
      </c>
      <c r="D171" s="30">
        <v>41.93</v>
      </c>
      <c r="E171" s="30">
        <v>38.39</v>
      </c>
      <c r="F171" s="30">
        <v>38.299999999999997</v>
      </c>
      <c r="G171" s="30">
        <v>38.770000000000003</v>
      </c>
      <c r="H171" s="30">
        <v>203</v>
      </c>
      <c r="I171" s="54">
        <f>C171/$H171</f>
        <v>0.20231527093596061</v>
      </c>
      <c r="J171" s="54">
        <f>D171/$H171</f>
        <v>0.20655172413793102</v>
      </c>
      <c r="K171" s="54">
        <f>E171/$H171</f>
        <v>0.18911330049261085</v>
      </c>
      <c r="L171" s="54">
        <f>F171/$H171</f>
        <v>0.18866995073891624</v>
      </c>
      <c r="M171" s="54">
        <f>G171/$H171</f>
        <v>0.19098522167487686</v>
      </c>
      <c r="N171" s="51">
        <f>FORESTS[[#This Row],[Area_2020]]-FORESTS[[#This Row],[Area_1990]]</f>
        <v>-2.2999999999999972</v>
      </c>
      <c r="O171" s="51">
        <f>ABS(FORESTS[[#This Row],[Area_Delta]])</f>
        <v>2.2999999999999972</v>
      </c>
      <c r="P171" s="104">
        <f>FORESTS[[#This Row],[Area_2020_%]]-FORESTS[[#This Row],[Area_1990_%]]</f>
        <v>-1.1330049261083747E-2</v>
      </c>
      <c r="Q171" s="54" t="b">
        <f>IF(G171&gt;C171, TRUE, FALSE)</f>
        <v>0</v>
      </c>
      <c r="R171" s="51">
        <f>IF(Q171=TRUE,G171-C171,0)</f>
        <v>0</v>
      </c>
      <c r="S171" s="51">
        <f>IF(Q171=TRUE,0,C171-G171)</f>
        <v>2.2999999999999972</v>
      </c>
      <c r="T171" s="48">
        <f>IF(J171&lt;I171,1,0)+IF(K171&lt;J171,1,0)+IF(L171&lt;K171,1,0)+IF(M171&lt;L171,1,0)</f>
        <v>2</v>
      </c>
      <c r="U171" s="48">
        <v>19.100000000000001</v>
      </c>
      <c r="V171" s="30">
        <v>0.12</v>
      </c>
      <c r="W171" s="30">
        <v>0.08</v>
      </c>
      <c r="X171" s="38">
        <f>D171-C171</f>
        <v>0.85999999999999943</v>
      </c>
      <c r="Y171" s="38">
        <f>E171-D171</f>
        <v>-3.5399999999999991</v>
      </c>
      <c r="Z171" s="38">
        <f>F171-E171</f>
        <v>-9.0000000000003411E-2</v>
      </c>
      <c r="AA171" s="38">
        <f>G171-F171</f>
        <v>0.47000000000000597</v>
      </c>
      <c r="AB171" s="38">
        <f>FORESTS[[#This Row],[Column7]]+FORESTS[[#This Row],[Column8]]</f>
        <v>0.38000000000000256</v>
      </c>
      <c r="AD171" s="63">
        <f>(D171-C171)/10</f>
        <v>8.5999999999999938E-2</v>
      </c>
      <c r="AE171" s="63">
        <f>(E171-D171)/10</f>
        <v>-0.35399999999999993</v>
      </c>
      <c r="AF171" s="63">
        <f>(F171-E171)/5</f>
        <v>-1.8000000000000682E-2</v>
      </c>
      <c r="AG171" s="63">
        <f>(G171-F171)/5</f>
        <v>9.4000000000001194E-2</v>
      </c>
    </row>
    <row r="172" spans="1:33" x14ac:dyDescent="0.2">
      <c r="A172" s="28">
        <v>740</v>
      </c>
      <c r="B172" s="28" t="s">
        <v>158</v>
      </c>
      <c r="C172" s="46">
        <v>15377.63</v>
      </c>
      <c r="D172" s="46">
        <v>15340.87</v>
      </c>
      <c r="E172" s="46">
        <v>15299.86</v>
      </c>
      <c r="F172" s="46">
        <v>15251.67</v>
      </c>
      <c r="G172" s="46">
        <v>15196.29</v>
      </c>
      <c r="H172" s="46">
        <v>15600</v>
      </c>
      <c r="I172" s="54">
        <f>C172/$H172</f>
        <v>0.98574551282051281</v>
      </c>
      <c r="J172" s="54">
        <f>D172/$H172</f>
        <v>0.98338910256410261</v>
      </c>
      <c r="K172" s="54">
        <f>E172/$H172</f>
        <v>0.98076025641025644</v>
      </c>
      <c r="L172" s="54">
        <f>F172/$H172</f>
        <v>0.97767115384615388</v>
      </c>
      <c r="M172" s="54">
        <f>G172/$H172</f>
        <v>0.97412115384615394</v>
      </c>
      <c r="N172" s="51">
        <f>FORESTS[[#This Row],[Area_2020]]-FORESTS[[#This Row],[Area_1990]]</f>
        <v>-181.33999999999833</v>
      </c>
      <c r="O172" s="51">
        <f>ABS(FORESTS[[#This Row],[Area_Delta]])</f>
        <v>181.33999999999833</v>
      </c>
      <c r="P172" s="104">
        <f>FORESTS[[#This Row],[Area_2020_%]]-FORESTS[[#This Row],[Area_1990_%]]</f>
        <v>-1.1624358974358873E-2</v>
      </c>
      <c r="Q172" s="54" t="b">
        <f>IF(G172&gt;C172, TRUE, FALSE)</f>
        <v>0</v>
      </c>
      <c r="R172" s="51">
        <f>IF(Q172=TRUE,G172-C172,0)</f>
        <v>0</v>
      </c>
      <c r="S172" s="51">
        <f>IF(Q172=TRUE,0,C172-G172)</f>
        <v>181.33999999999833</v>
      </c>
      <c r="T172" s="62">
        <f>IF(J172&lt;I172,1,0)+IF(K172&lt;J172,1,0)+IF(L172&lt;K172,1,0)+IF(M172&lt;L172,1,0)</f>
        <v>4</v>
      </c>
      <c r="U172" s="43">
        <v>97.41</v>
      </c>
      <c r="V172" s="30">
        <v>11.65</v>
      </c>
      <c r="W172" s="38">
        <v>2.5</v>
      </c>
      <c r="X172" s="38">
        <f>D172-C172</f>
        <v>-36.759999999998399</v>
      </c>
      <c r="Y172" s="38">
        <f>E172-D172</f>
        <v>-41.010000000000218</v>
      </c>
      <c r="Z172" s="38">
        <f>F172-E172</f>
        <v>-48.190000000000509</v>
      </c>
      <c r="AA172" s="38">
        <f>G172-F172</f>
        <v>-55.3799999999992</v>
      </c>
      <c r="AB172" s="38">
        <f>FORESTS[[#This Row],[Column7]]+FORESTS[[#This Row],[Column8]]</f>
        <v>-103.56999999999971</v>
      </c>
      <c r="AD172" s="63">
        <f>(D172-C172)/10</f>
        <v>-3.6759999999998398</v>
      </c>
      <c r="AE172" s="63">
        <f>(E172-D172)/10</f>
        <v>-4.1010000000000222</v>
      </c>
      <c r="AF172" s="63">
        <f>(F172-E172)/5</f>
        <v>-9.6380000000001012</v>
      </c>
      <c r="AG172" s="63">
        <f>(G172-F172)/5</f>
        <v>-11.075999999999841</v>
      </c>
    </row>
    <row r="173" spans="1:33" x14ac:dyDescent="0.2">
      <c r="A173" s="28">
        <v>598</v>
      </c>
      <c r="B173" s="28" t="s">
        <v>128</v>
      </c>
      <c r="C173" s="46">
        <v>36399.68</v>
      </c>
      <c r="D173" s="46">
        <v>36277.97</v>
      </c>
      <c r="E173" s="46">
        <v>36178.89</v>
      </c>
      <c r="F173" s="46">
        <v>36024.42</v>
      </c>
      <c r="G173" s="46">
        <v>35855.760000000002</v>
      </c>
      <c r="H173" s="46">
        <v>45286</v>
      </c>
      <c r="I173" s="54">
        <f>C173/$H173</f>
        <v>0.80377335158768715</v>
      </c>
      <c r="J173" s="54">
        <f>D173/$H173</f>
        <v>0.80108576602040371</v>
      </c>
      <c r="K173" s="54">
        <f>E173/$H173</f>
        <v>0.79889789338868522</v>
      </c>
      <c r="L173" s="54">
        <f>F173/$H173</f>
        <v>0.79548690544539147</v>
      </c>
      <c r="M173" s="54">
        <f>G173/$H173</f>
        <v>0.79176257563043773</v>
      </c>
      <c r="N173" s="51">
        <f>FORESTS[[#This Row],[Area_2020]]-FORESTS[[#This Row],[Area_1990]]</f>
        <v>-543.91999999999825</v>
      </c>
      <c r="O173" s="51">
        <f>ABS(FORESTS[[#This Row],[Area_Delta]])</f>
        <v>543.91999999999825</v>
      </c>
      <c r="P173" s="104">
        <f>FORESTS[[#This Row],[Area_2020_%]]-FORESTS[[#This Row],[Area_1990_%]]</f>
        <v>-1.201077595724942E-2</v>
      </c>
      <c r="Q173" s="54" t="b">
        <f>IF(G173&gt;C173, TRUE, FALSE)</f>
        <v>0</v>
      </c>
      <c r="R173" s="51">
        <f>IF(Q173=TRUE,G173-C173,0)</f>
        <v>0</v>
      </c>
      <c r="S173" s="51">
        <f>IF(Q173=TRUE,0,C173-G173)</f>
        <v>543.91999999999825</v>
      </c>
      <c r="T173" s="62">
        <f>IF(J173&lt;I173,1,0)+IF(K173&lt;J173,1,0)+IF(L173&lt;K173,1,0)+IF(M173&lt;L173,1,0)</f>
        <v>4</v>
      </c>
      <c r="U173" s="43">
        <v>79.180000000000007</v>
      </c>
      <c r="V173" s="30">
        <v>33.53</v>
      </c>
      <c r="W173" s="38">
        <v>3.92</v>
      </c>
      <c r="X173" s="38">
        <f>D173-C173</f>
        <v>-121.70999999999913</v>
      </c>
      <c r="Y173" s="38">
        <f>E173-D173</f>
        <v>-99.080000000001746</v>
      </c>
      <c r="Z173" s="38">
        <f>F173-E173</f>
        <v>-154.47000000000116</v>
      </c>
      <c r="AA173" s="38">
        <f>G173-F173</f>
        <v>-168.65999999999622</v>
      </c>
      <c r="AB173" s="38">
        <f>FORESTS[[#This Row],[Column7]]+FORESTS[[#This Row],[Column8]]</f>
        <v>-323.12999999999738</v>
      </c>
      <c r="AD173" s="63">
        <f>(D173-C173)/10</f>
        <v>-12.170999999999912</v>
      </c>
      <c r="AE173" s="63">
        <f>(E173-D173)/10</f>
        <v>-9.9080000000001753</v>
      </c>
      <c r="AF173" s="63">
        <f>(F173-E173)/5</f>
        <v>-30.894000000000233</v>
      </c>
      <c r="AG173" s="63">
        <f>(G173-F173)/5</f>
        <v>-33.731999999999246</v>
      </c>
    </row>
    <row r="174" spans="1:33" x14ac:dyDescent="0.2">
      <c r="A174" s="28">
        <v>332</v>
      </c>
      <c r="B174" s="28" t="s">
        <v>71</v>
      </c>
      <c r="C174" s="46">
        <v>382.92</v>
      </c>
      <c r="D174" s="46">
        <v>380.65</v>
      </c>
      <c r="E174" s="46">
        <v>378.38</v>
      </c>
      <c r="F174" s="46">
        <v>362.85</v>
      </c>
      <c r="G174" s="46">
        <v>347.3</v>
      </c>
      <c r="H174" s="46">
        <v>2756</v>
      </c>
      <c r="I174" s="54">
        <f>C174/$H174</f>
        <v>0.13894049346879536</v>
      </c>
      <c r="J174" s="54">
        <f>D174/$H174</f>
        <v>0.13811683599419447</v>
      </c>
      <c r="K174" s="54">
        <f>E174/$H174</f>
        <v>0.13729317851959361</v>
      </c>
      <c r="L174" s="54">
        <f>F174/$H174</f>
        <v>0.13165820029027578</v>
      </c>
      <c r="M174" s="54">
        <f>G174/$H174</f>
        <v>0.12601596516690858</v>
      </c>
      <c r="N174" s="51">
        <f>FORESTS[[#This Row],[Area_2020]]-FORESTS[[#This Row],[Area_1990]]</f>
        <v>-35.620000000000005</v>
      </c>
      <c r="O174" s="51">
        <f>ABS(FORESTS[[#This Row],[Area_Delta]])</f>
        <v>35.620000000000005</v>
      </c>
      <c r="P174" s="104">
        <f>FORESTS[[#This Row],[Area_2020_%]]-FORESTS[[#This Row],[Area_1990_%]]</f>
        <v>-1.2924528301886784E-2</v>
      </c>
      <c r="Q174" s="54" t="b">
        <f>IF(G174&gt;C174, TRUE, FALSE)</f>
        <v>0</v>
      </c>
      <c r="R174" s="51">
        <f>IF(Q174=TRUE,G174-C174,0)</f>
        <v>0</v>
      </c>
      <c r="S174" s="51">
        <f>IF(Q174=TRUE,0,C174-G174)</f>
        <v>35.620000000000005</v>
      </c>
      <c r="T174" s="48">
        <f>IF(J174&lt;I174,1,0)+IF(K174&lt;J174,1,0)+IF(L174&lt;K174,1,0)+IF(M174&lt;L174,1,0)</f>
        <v>4</v>
      </c>
      <c r="U174" s="48">
        <v>12.6</v>
      </c>
      <c r="V174" s="30" t="s">
        <v>247</v>
      </c>
      <c r="W174" s="30">
        <v>0.08</v>
      </c>
      <c r="X174" s="38">
        <f>D174-C174</f>
        <v>-2.2700000000000387</v>
      </c>
      <c r="Y174" s="38">
        <f>E174-D174</f>
        <v>-2.2699999999999818</v>
      </c>
      <c r="Z174" s="38">
        <f>F174-E174</f>
        <v>-15.529999999999973</v>
      </c>
      <c r="AA174" s="38">
        <f>G174-F174</f>
        <v>-15.550000000000011</v>
      </c>
      <c r="AB174" s="38">
        <f>FORESTS[[#This Row],[Column7]]+FORESTS[[#This Row],[Column8]]</f>
        <v>-31.079999999999984</v>
      </c>
      <c r="AD174" s="63">
        <f>(D174-C174)/10</f>
        <v>-0.22700000000000387</v>
      </c>
      <c r="AE174" s="63">
        <f>(E174-D174)/10</f>
        <v>-0.22699999999999818</v>
      </c>
      <c r="AF174" s="63">
        <f>(F174-E174)/5</f>
        <v>-3.1059999999999945</v>
      </c>
      <c r="AG174" s="63">
        <f>(G174-F174)/5</f>
        <v>-3.1100000000000021</v>
      </c>
    </row>
    <row r="175" spans="1:33" x14ac:dyDescent="0.2">
      <c r="A175" s="28">
        <v>140</v>
      </c>
      <c r="B175" s="28" t="s">
        <v>29</v>
      </c>
      <c r="C175" s="46">
        <v>23203</v>
      </c>
      <c r="D175" s="46">
        <v>22903</v>
      </c>
      <c r="E175" s="46">
        <v>22603</v>
      </c>
      <c r="F175" s="46">
        <v>22453</v>
      </c>
      <c r="G175" s="46">
        <v>22303</v>
      </c>
      <c r="H175" s="46">
        <v>62298</v>
      </c>
      <c r="I175" s="54">
        <f>C175/$H175</f>
        <v>0.37245176410157632</v>
      </c>
      <c r="J175" s="54">
        <f>D175/$H175</f>
        <v>0.36763620019904331</v>
      </c>
      <c r="K175" s="54">
        <f>E175/$H175</f>
        <v>0.36282063629651035</v>
      </c>
      <c r="L175" s="54">
        <f>F175/$H175</f>
        <v>0.36041285434524384</v>
      </c>
      <c r="M175" s="54">
        <f>G175/$H175</f>
        <v>0.35800507239397733</v>
      </c>
      <c r="N175" s="51">
        <f>FORESTS[[#This Row],[Area_2020]]-FORESTS[[#This Row],[Area_1990]]</f>
        <v>-900</v>
      </c>
      <c r="O175" s="51">
        <f>ABS(FORESTS[[#This Row],[Area_Delta]])</f>
        <v>900</v>
      </c>
      <c r="P175" s="104">
        <f>FORESTS[[#This Row],[Area_2020_%]]-FORESTS[[#This Row],[Area_1990_%]]</f>
        <v>-1.4446691707598991E-2</v>
      </c>
      <c r="Q175" s="54" t="b">
        <f>IF(G175&gt;C175, TRUE, FALSE)</f>
        <v>0</v>
      </c>
      <c r="R175" s="51">
        <f>IF(Q175=TRUE,G175-C175,0)</f>
        <v>0</v>
      </c>
      <c r="S175" s="51">
        <f>IF(Q175=TRUE,0,C175-G175)</f>
        <v>900</v>
      </c>
      <c r="T175" s="62">
        <f>IF(J175&lt;I175,1,0)+IF(K175&lt;J175,1,0)+IF(L175&lt;K175,1,0)+IF(M175&lt;L175,1,0)</f>
        <v>4</v>
      </c>
      <c r="U175" s="43">
        <v>35.799999999999997</v>
      </c>
      <c r="V175" s="30">
        <v>30</v>
      </c>
      <c r="W175" s="38" t="s">
        <v>247</v>
      </c>
      <c r="X175" s="38">
        <f>D175-C175</f>
        <v>-300</v>
      </c>
      <c r="Y175" s="38">
        <f>E175-D175</f>
        <v>-300</v>
      </c>
      <c r="Z175" s="38">
        <f>F175-E175</f>
        <v>-150</v>
      </c>
      <c r="AA175" s="38">
        <f>G175-F175</f>
        <v>-150</v>
      </c>
      <c r="AB175" s="38">
        <f>FORESTS[[#This Row],[Column7]]+FORESTS[[#This Row],[Column8]]</f>
        <v>-300</v>
      </c>
      <c r="AD175" s="63">
        <f>(D175-C175)/10</f>
        <v>-30</v>
      </c>
      <c r="AE175" s="63">
        <f>(E175-D175)/10</f>
        <v>-30</v>
      </c>
      <c r="AF175" s="63">
        <f>(F175-E175)/5</f>
        <v>-30</v>
      </c>
      <c r="AG175" s="63">
        <f>(G175-F175)/5</f>
        <v>-30</v>
      </c>
    </row>
    <row r="176" spans="1:33" x14ac:dyDescent="0.2">
      <c r="A176" s="28">
        <v>254</v>
      </c>
      <c r="B176" s="31" t="s">
        <v>217</v>
      </c>
      <c r="C176" s="46">
        <v>8125</v>
      </c>
      <c r="D176" s="46">
        <v>8079.44</v>
      </c>
      <c r="E176" s="46">
        <v>8036.5</v>
      </c>
      <c r="F176" s="46">
        <v>8020</v>
      </c>
      <c r="G176" s="46">
        <v>8002.85</v>
      </c>
      <c r="H176" s="46">
        <v>8220</v>
      </c>
      <c r="I176" s="54">
        <f>C176/$H176</f>
        <v>0.98844282238442827</v>
      </c>
      <c r="J176" s="54">
        <f>D176/$H176</f>
        <v>0.98290024330900239</v>
      </c>
      <c r="K176" s="54">
        <f>E176/$H176</f>
        <v>0.97767639902676395</v>
      </c>
      <c r="L176" s="54">
        <f>F176/$H176</f>
        <v>0.97566909975669103</v>
      </c>
      <c r="M176" s="54">
        <f>G176/$H176</f>
        <v>0.97358272506082733</v>
      </c>
      <c r="N176" s="51">
        <f>FORESTS[[#This Row],[Area_2020]]-FORESTS[[#This Row],[Area_1990]]</f>
        <v>-122.14999999999964</v>
      </c>
      <c r="O176" s="51">
        <f>ABS(FORESTS[[#This Row],[Area_Delta]])</f>
        <v>122.14999999999964</v>
      </c>
      <c r="P176" s="104">
        <f>FORESTS[[#This Row],[Area_2020_%]]-FORESTS[[#This Row],[Area_1990_%]]</f>
        <v>-1.486009732360094E-2</v>
      </c>
      <c r="Q176" s="54" t="b">
        <f>IF(G176&gt;C176, TRUE, FALSE)</f>
        <v>0</v>
      </c>
      <c r="R176" s="51">
        <f>IF(Q176=TRUE,G176-C176,0)</f>
        <v>0</v>
      </c>
      <c r="S176" s="51">
        <f>IF(Q176=TRUE,0,C176-G176)</f>
        <v>122.14999999999964</v>
      </c>
      <c r="T176" s="48">
        <f>IF(J176&lt;I176,1,0)+IF(K176&lt;J176,1,0)+IF(L176&lt;K176,1,0)+IF(M176&lt;L176,1,0)</f>
        <v>4</v>
      </c>
      <c r="U176" s="43">
        <v>97.36</v>
      </c>
      <c r="V176" s="30">
        <v>5.78</v>
      </c>
      <c r="W176" s="38">
        <v>0</v>
      </c>
      <c r="X176" s="38">
        <f>D176-C176</f>
        <v>-45.5600000000004</v>
      </c>
      <c r="Y176" s="38">
        <f>E176-D176</f>
        <v>-42.9399999999996</v>
      </c>
      <c r="Z176" s="38">
        <f>F176-E176</f>
        <v>-16.5</v>
      </c>
      <c r="AA176" s="38">
        <f>G176-F176</f>
        <v>-17.149999999999636</v>
      </c>
      <c r="AB176" s="38">
        <f>FORESTS[[#This Row],[Column7]]+FORESTS[[#This Row],[Column8]]</f>
        <v>-33.649999999999636</v>
      </c>
      <c r="AD176" s="63">
        <f>(D176-C176)/10</f>
        <v>-4.55600000000004</v>
      </c>
      <c r="AE176" s="63">
        <f>(E176-D176)/10</f>
        <v>-4.2939999999999596</v>
      </c>
      <c r="AF176" s="63">
        <f>(F176-E176)/5</f>
        <v>-3.3</v>
      </c>
      <c r="AG176" s="63">
        <f>(G176-F176)/5</f>
        <v>-3.4299999999999273</v>
      </c>
    </row>
    <row r="177" spans="1:33" x14ac:dyDescent="0.2">
      <c r="A177" s="28">
        <v>586</v>
      </c>
      <c r="B177" s="28" t="s">
        <v>125</v>
      </c>
      <c r="C177" s="46">
        <v>4986.79</v>
      </c>
      <c r="D177" s="46">
        <v>4511.26</v>
      </c>
      <c r="E177" s="46">
        <v>4093.73</v>
      </c>
      <c r="F177" s="46">
        <v>3932.6</v>
      </c>
      <c r="G177" s="46">
        <v>3725.9</v>
      </c>
      <c r="H177" s="46">
        <v>77088</v>
      </c>
      <c r="I177" s="54">
        <f>C177/$H177</f>
        <v>6.468957555002075E-2</v>
      </c>
      <c r="J177" s="54">
        <f>D177/$H177</f>
        <v>5.8520911166459112E-2</v>
      </c>
      <c r="K177" s="54">
        <f>E177/$H177</f>
        <v>5.3104633665421334E-2</v>
      </c>
      <c r="L177" s="54">
        <f>F177/$H177</f>
        <v>5.1014425072644247E-2</v>
      </c>
      <c r="M177" s="54">
        <f>G177/$H177</f>
        <v>4.833307388958074E-2</v>
      </c>
      <c r="N177" s="51">
        <f>FORESTS[[#This Row],[Area_2020]]-FORESTS[[#This Row],[Area_1990]]</f>
        <v>-1260.8899999999999</v>
      </c>
      <c r="O177" s="51">
        <f>ABS(FORESTS[[#This Row],[Area_Delta]])</f>
        <v>1260.8899999999999</v>
      </c>
      <c r="P177" s="104">
        <f>FORESTS[[#This Row],[Area_2020_%]]-FORESTS[[#This Row],[Area_1990_%]]</f>
        <v>-1.6356501660440011E-2</v>
      </c>
      <c r="Q177" s="54" t="b">
        <f>IF(G177&gt;C177, TRUE, FALSE)</f>
        <v>0</v>
      </c>
      <c r="R177" s="51">
        <f>IF(Q177=TRUE,G177-C177,0)</f>
        <v>0</v>
      </c>
      <c r="S177" s="51">
        <f>IF(Q177=TRUE,0,C177-G177)</f>
        <v>1260.8899999999999</v>
      </c>
      <c r="T177" s="48">
        <f>IF(J177&lt;I177,1,0)+IF(K177&lt;J177,1,0)+IF(L177&lt;K177,1,0)+IF(M177&lt;L177,1,0)</f>
        <v>4</v>
      </c>
      <c r="U177" s="43">
        <v>4.83</v>
      </c>
      <c r="V177" s="30" t="s">
        <v>247</v>
      </c>
      <c r="W177" s="38" t="s">
        <v>247</v>
      </c>
      <c r="X177" s="38">
        <f>D177-C177</f>
        <v>-475.52999999999975</v>
      </c>
      <c r="Y177" s="38">
        <f>E177-D177</f>
        <v>-417.5300000000002</v>
      </c>
      <c r="Z177" s="38">
        <f>F177-E177</f>
        <v>-161.13000000000011</v>
      </c>
      <c r="AA177" s="38">
        <f>G177-F177</f>
        <v>-206.69999999999982</v>
      </c>
      <c r="AB177" s="38">
        <f>FORESTS[[#This Row],[Column7]]+FORESTS[[#This Row],[Column8]]</f>
        <v>-367.82999999999993</v>
      </c>
      <c r="AD177" s="63">
        <f>(D177-C177)/10</f>
        <v>-47.552999999999976</v>
      </c>
      <c r="AE177" s="63">
        <f>(E177-D177)/10</f>
        <v>-41.753000000000021</v>
      </c>
      <c r="AF177" s="63">
        <f>(F177-E177)/5</f>
        <v>-32.22600000000002</v>
      </c>
      <c r="AG177" s="63">
        <f>(G177-F177)/5</f>
        <v>-41.339999999999961</v>
      </c>
    </row>
    <row r="178" spans="1:33" x14ac:dyDescent="0.2">
      <c r="A178" s="28">
        <v>646</v>
      </c>
      <c r="B178" s="28" t="s">
        <v>199</v>
      </c>
      <c r="C178" s="30">
        <v>317</v>
      </c>
      <c r="D178" s="30">
        <v>287</v>
      </c>
      <c r="E178" s="30">
        <v>265</v>
      </c>
      <c r="F178" s="30">
        <v>270</v>
      </c>
      <c r="G178" s="30">
        <v>276</v>
      </c>
      <c r="H178" s="30">
        <v>2467</v>
      </c>
      <c r="I178" s="54">
        <f>C178/$H178</f>
        <v>0.12849614916903121</v>
      </c>
      <c r="J178" s="54">
        <f>D178/$H178</f>
        <v>0.11633563032022699</v>
      </c>
      <c r="K178" s="54">
        <f>E178/$H178</f>
        <v>0.10741791649777058</v>
      </c>
      <c r="L178" s="54">
        <f>F178/$H178</f>
        <v>0.10944466963923793</v>
      </c>
      <c r="M178" s="54">
        <f>G178/$H178</f>
        <v>0.11187677340899878</v>
      </c>
      <c r="N178" s="51">
        <f>FORESTS[[#This Row],[Area_2020]]-FORESTS[[#This Row],[Area_1990]]</f>
        <v>-41</v>
      </c>
      <c r="O178" s="51">
        <f>ABS(FORESTS[[#This Row],[Area_Delta]])</f>
        <v>41</v>
      </c>
      <c r="P178" s="104">
        <f>FORESTS[[#This Row],[Area_2020_%]]-FORESTS[[#This Row],[Area_1990_%]]</f>
        <v>-1.6619375760032432E-2</v>
      </c>
      <c r="Q178" s="54" t="b">
        <f>IF(G178&gt;C178, TRUE, FALSE)</f>
        <v>0</v>
      </c>
      <c r="R178" s="51">
        <f>IF(Q178=TRUE,G178-C178,0)</f>
        <v>0</v>
      </c>
      <c r="S178" s="51">
        <f>IF(Q178=TRUE,0,C178-G178)</f>
        <v>41</v>
      </c>
      <c r="T178" s="48">
        <f>IF(J178&lt;I178,1,0)+IF(K178&lt;J178,1,0)+IF(L178&lt;K178,1,0)+IF(M178&lt;L178,1,0)</f>
        <v>2</v>
      </c>
      <c r="U178" s="48">
        <v>11.19</v>
      </c>
      <c r="V178" s="30" t="s">
        <v>247</v>
      </c>
      <c r="W178" s="30" t="s">
        <v>247</v>
      </c>
      <c r="X178" s="38">
        <f>D178-C178</f>
        <v>-30</v>
      </c>
      <c r="Y178" s="38">
        <f>E178-D178</f>
        <v>-22</v>
      </c>
      <c r="Z178" s="38">
        <f>F178-E178</f>
        <v>5</v>
      </c>
      <c r="AA178" s="38">
        <f>G178-F178</f>
        <v>6</v>
      </c>
      <c r="AB178" s="38">
        <f>FORESTS[[#This Row],[Column7]]+FORESTS[[#This Row],[Column8]]</f>
        <v>11</v>
      </c>
      <c r="AD178" s="63">
        <f>(D178-C178)/10</f>
        <v>-3</v>
      </c>
      <c r="AE178" s="63">
        <f>(E178-D178)/10</f>
        <v>-2.2000000000000002</v>
      </c>
      <c r="AF178" s="63">
        <f>(F178-E178)/5</f>
        <v>1</v>
      </c>
      <c r="AG178" s="63">
        <f>(G178-F178)/5</f>
        <v>1.2</v>
      </c>
    </row>
    <row r="179" spans="1:33" x14ac:dyDescent="0.2">
      <c r="A179" s="28">
        <v>136</v>
      </c>
      <c r="B179" s="28" t="s">
        <v>208</v>
      </c>
      <c r="C179" s="30">
        <v>13.13</v>
      </c>
      <c r="D179" s="30">
        <v>12.93</v>
      </c>
      <c r="E179" s="30">
        <v>12.72</v>
      </c>
      <c r="F179" s="30">
        <v>12.72</v>
      </c>
      <c r="G179" s="30">
        <v>12.72</v>
      </c>
      <c r="H179" s="30">
        <v>24</v>
      </c>
      <c r="I179" s="54">
        <f>C179/$H179</f>
        <v>0.54708333333333337</v>
      </c>
      <c r="J179" s="54">
        <f>D179/$H179</f>
        <v>0.53874999999999995</v>
      </c>
      <c r="K179" s="54">
        <f>E179/$H179</f>
        <v>0.53</v>
      </c>
      <c r="L179" s="54">
        <f>F179/$H179</f>
        <v>0.53</v>
      </c>
      <c r="M179" s="54">
        <f>G179/$H179</f>
        <v>0.53</v>
      </c>
      <c r="N179" s="51">
        <f>FORESTS[[#This Row],[Area_2020]]-FORESTS[[#This Row],[Area_1990]]</f>
        <v>-0.41000000000000014</v>
      </c>
      <c r="O179" s="51">
        <f>ABS(FORESTS[[#This Row],[Area_Delta]])</f>
        <v>0.41000000000000014</v>
      </c>
      <c r="P179" s="104">
        <f>FORESTS[[#This Row],[Area_2020_%]]-FORESTS[[#This Row],[Area_1990_%]]</f>
        <v>-1.7083333333333339E-2</v>
      </c>
      <c r="Q179" s="54" t="b">
        <f>IF(G179&gt;C179, TRUE, FALSE)</f>
        <v>0</v>
      </c>
      <c r="R179" s="51">
        <f>IF(Q179=TRUE,G179-C179,0)</f>
        <v>0</v>
      </c>
      <c r="S179" s="51">
        <f>IF(Q179=TRUE,0,C179-G179)</f>
        <v>0.41000000000000014</v>
      </c>
      <c r="T179" s="48">
        <f>IF(J179&lt;I179,1,0)+IF(K179&lt;J179,1,0)+IF(L179&lt;K179,1,0)+IF(M179&lt;L179,1,0)</f>
        <v>2</v>
      </c>
      <c r="U179" s="48">
        <v>53</v>
      </c>
      <c r="V179" s="30">
        <v>0</v>
      </c>
      <c r="W179" s="30">
        <v>0</v>
      </c>
      <c r="X179" s="38">
        <f>D179-C179</f>
        <v>-0.20000000000000107</v>
      </c>
      <c r="Y179" s="38">
        <f>E179-D179</f>
        <v>-0.20999999999999908</v>
      </c>
      <c r="Z179" s="38">
        <f>F179-E179</f>
        <v>0</v>
      </c>
      <c r="AA179" s="38">
        <f>G179-F179</f>
        <v>0</v>
      </c>
      <c r="AB179" s="38">
        <f>FORESTS[[#This Row],[Column7]]+FORESTS[[#This Row],[Column8]]</f>
        <v>0</v>
      </c>
      <c r="AD179" s="63">
        <f>(D179-C179)/10</f>
        <v>-2.0000000000000108E-2</v>
      </c>
      <c r="AE179" s="63">
        <f>(E179-D179)/10</f>
        <v>-2.0999999999999908E-2</v>
      </c>
      <c r="AF179" s="63">
        <f>(F179-E179)/5</f>
        <v>0</v>
      </c>
      <c r="AG179" s="63">
        <f>(G179-F179)/5</f>
        <v>0</v>
      </c>
    </row>
    <row r="180" spans="1:33" x14ac:dyDescent="0.2">
      <c r="A180" s="28">
        <v>148</v>
      </c>
      <c r="B180" s="28" t="s">
        <v>30</v>
      </c>
      <c r="C180" s="46">
        <v>6730</v>
      </c>
      <c r="D180" s="46">
        <v>6353</v>
      </c>
      <c r="E180" s="46">
        <v>5530</v>
      </c>
      <c r="F180" s="46">
        <v>4890</v>
      </c>
      <c r="G180" s="46">
        <v>4313</v>
      </c>
      <c r="H180" s="46">
        <v>125920</v>
      </c>
      <c r="I180" s="54">
        <f>C180/$H180</f>
        <v>5.3446632782719189E-2</v>
      </c>
      <c r="J180" s="54">
        <f>D180/$H180</f>
        <v>5.0452668360864039E-2</v>
      </c>
      <c r="K180" s="54">
        <f>E180/$H180</f>
        <v>4.3916772554002538E-2</v>
      </c>
      <c r="L180" s="54">
        <f>F180/$H180</f>
        <v>3.8834180432020332E-2</v>
      </c>
      <c r="M180" s="54">
        <f>G180/$H180</f>
        <v>3.4251905972045742E-2</v>
      </c>
      <c r="N180" s="51">
        <f>FORESTS[[#This Row],[Area_2020]]-FORESTS[[#This Row],[Area_1990]]</f>
        <v>-2417</v>
      </c>
      <c r="O180" s="51">
        <f>ABS(FORESTS[[#This Row],[Area_Delta]])</f>
        <v>2417</v>
      </c>
      <c r="P180" s="104">
        <f>FORESTS[[#This Row],[Area_2020_%]]-FORESTS[[#This Row],[Area_1990_%]]</f>
        <v>-1.9194726810673447E-2</v>
      </c>
      <c r="Q180" s="54" t="b">
        <f>IF(G180&gt;C180, TRUE, FALSE)</f>
        <v>0</v>
      </c>
      <c r="R180" s="51">
        <f>IF(Q180=TRUE,G180-C180,0)</f>
        <v>0</v>
      </c>
      <c r="S180" s="51">
        <f>IF(Q180=TRUE,0,C180-G180)</f>
        <v>2417</v>
      </c>
      <c r="T180" s="48">
        <f>IF(J180&lt;I180,1,0)+IF(K180&lt;J180,1,0)+IF(L180&lt;K180,1,0)+IF(M180&lt;L180,1,0)</f>
        <v>4</v>
      </c>
      <c r="U180" s="43">
        <v>3.43</v>
      </c>
      <c r="V180" s="30" t="s">
        <v>247</v>
      </c>
      <c r="W180" s="38" t="s">
        <v>247</v>
      </c>
      <c r="X180" s="38">
        <f>D180-C180</f>
        <v>-377</v>
      </c>
      <c r="Y180" s="38">
        <f>E180-D180</f>
        <v>-823</v>
      </c>
      <c r="Z180" s="38">
        <f>F180-E180</f>
        <v>-640</v>
      </c>
      <c r="AA180" s="38">
        <f>G180-F180</f>
        <v>-577</v>
      </c>
      <c r="AB180" s="38">
        <f>FORESTS[[#This Row],[Column7]]+FORESTS[[#This Row],[Column8]]</f>
        <v>-1217</v>
      </c>
      <c r="AD180" s="63">
        <f>(D180-C180)/10</f>
        <v>-37.700000000000003</v>
      </c>
      <c r="AE180" s="63">
        <f>(E180-D180)/10</f>
        <v>-82.3</v>
      </c>
      <c r="AF180" s="63">
        <f>(F180-E180)/5</f>
        <v>-128</v>
      </c>
      <c r="AG180" s="63">
        <f>(G180-F180)/5</f>
        <v>-115.4</v>
      </c>
    </row>
    <row r="181" spans="1:33" x14ac:dyDescent="0.2">
      <c r="A181" s="28">
        <v>231</v>
      </c>
      <c r="B181" s="28" t="s">
        <v>54</v>
      </c>
      <c r="C181" s="46">
        <v>19258.5</v>
      </c>
      <c r="D181" s="46">
        <v>18528.5</v>
      </c>
      <c r="E181" s="46">
        <v>17798.5</v>
      </c>
      <c r="F181" s="46">
        <v>17433.5</v>
      </c>
      <c r="G181" s="46">
        <v>17068.5</v>
      </c>
      <c r="H181" s="46">
        <v>111971.55</v>
      </c>
      <c r="I181" s="54">
        <f>C181/$H181</f>
        <v>0.17199458255244301</v>
      </c>
      <c r="J181" s="54">
        <f>D181/$H181</f>
        <v>0.16547506933680922</v>
      </c>
      <c r="K181" s="54">
        <f>E181/$H181</f>
        <v>0.15895555612117543</v>
      </c>
      <c r="L181" s="54">
        <f>F181/$H181</f>
        <v>0.15569579951335852</v>
      </c>
      <c r="M181" s="54">
        <f>G181/$H181</f>
        <v>0.15243604290554164</v>
      </c>
      <c r="N181" s="51">
        <f>FORESTS[[#This Row],[Area_2020]]-FORESTS[[#This Row],[Area_1990]]</f>
        <v>-2190</v>
      </c>
      <c r="O181" s="51">
        <f>ABS(FORESTS[[#This Row],[Area_Delta]])</f>
        <v>2190</v>
      </c>
      <c r="P181" s="104">
        <f>FORESTS[[#This Row],[Area_2020_%]]-FORESTS[[#This Row],[Area_1990_%]]</f>
        <v>-1.9558539646901379E-2</v>
      </c>
      <c r="Q181" s="54" t="b">
        <f>IF(G181&gt;C181, TRUE, FALSE)</f>
        <v>0</v>
      </c>
      <c r="R181" s="51">
        <f>IF(Q181=TRUE,G181-C181,0)</f>
        <v>0</v>
      </c>
      <c r="S181" s="51">
        <f>IF(Q181=TRUE,0,C181-G181)</f>
        <v>2190</v>
      </c>
      <c r="T181" s="62">
        <f>IF(J181&lt;I181,1,0)+IF(K181&lt;J181,1,0)+IF(L181&lt;K181,1,0)+IF(M181&lt;L181,1,0)</f>
        <v>4</v>
      </c>
      <c r="U181" s="43">
        <v>15.24</v>
      </c>
      <c r="V181" s="30">
        <v>92</v>
      </c>
      <c r="W181" s="38" t="s">
        <v>247</v>
      </c>
      <c r="X181" s="38">
        <f>D181-C181</f>
        <v>-730</v>
      </c>
      <c r="Y181" s="38">
        <f>E181-D181</f>
        <v>-730</v>
      </c>
      <c r="Z181" s="38">
        <f>F181-E181</f>
        <v>-365</v>
      </c>
      <c r="AA181" s="38">
        <f>G181-F181</f>
        <v>-365</v>
      </c>
      <c r="AB181" s="38">
        <f>FORESTS[[#This Row],[Column7]]+FORESTS[[#This Row],[Column8]]</f>
        <v>-730</v>
      </c>
      <c r="AD181" s="63">
        <f>(D181-C181)/10</f>
        <v>-73</v>
      </c>
      <c r="AE181" s="63">
        <f>(E181-D181)/10</f>
        <v>-73</v>
      </c>
      <c r="AF181" s="63">
        <f>(F181-E181)/5</f>
        <v>-73</v>
      </c>
      <c r="AG181" s="63">
        <f>(G181-F181)/5</f>
        <v>-73</v>
      </c>
    </row>
    <row r="182" spans="1:33" x14ac:dyDescent="0.2">
      <c r="A182" s="28">
        <v>608</v>
      </c>
      <c r="B182" s="28" t="s">
        <v>131</v>
      </c>
      <c r="C182" s="38">
        <v>7778.81</v>
      </c>
      <c r="D182" s="38">
        <v>7309.26</v>
      </c>
      <c r="E182" s="38">
        <v>6839.72</v>
      </c>
      <c r="F182" s="38">
        <v>7014.15</v>
      </c>
      <c r="G182" s="38">
        <v>7188.59</v>
      </c>
      <c r="H182" s="38">
        <v>29817</v>
      </c>
      <c r="I182" s="54">
        <f>C182/$H182</f>
        <v>0.26088506556662305</v>
      </c>
      <c r="J182" s="54">
        <f>D182/$H182</f>
        <v>0.24513733776033808</v>
      </c>
      <c r="K182" s="54">
        <f>E182/$H182</f>
        <v>0.2293899453331992</v>
      </c>
      <c r="L182" s="54">
        <f>F182/$H182</f>
        <v>0.23523996377905221</v>
      </c>
      <c r="M182" s="54">
        <f>G182/$H182</f>
        <v>0.24109031760405139</v>
      </c>
      <c r="N182" s="51">
        <f>FORESTS[[#This Row],[Area_2020]]-FORESTS[[#This Row],[Area_1990]]</f>
        <v>-590.22000000000025</v>
      </c>
      <c r="O182" s="51">
        <f>ABS(FORESTS[[#This Row],[Area_Delta]])</f>
        <v>590.22000000000025</v>
      </c>
      <c r="P182" s="104">
        <f>FORESTS[[#This Row],[Area_2020_%]]-FORESTS[[#This Row],[Area_1990_%]]</f>
        <v>-1.9794747962571663E-2</v>
      </c>
      <c r="Q182" s="54" t="b">
        <f>IF(G182&gt;C182, TRUE, FALSE)</f>
        <v>0</v>
      </c>
      <c r="R182" s="51">
        <f>IF(Q182=TRUE,G182-C182,0)</f>
        <v>0</v>
      </c>
      <c r="S182" s="51">
        <f>IF(Q182=TRUE,0,C182-G182)</f>
        <v>590.22000000000025</v>
      </c>
      <c r="T182" s="48">
        <f>IF(J182&lt;I182,1,0)+IF(K182&lt;J182,1,0)+IF(L182&lt;K182,1,0)+IF(M182&lt;L182,1,0)</f>
        <v>2</v>
      </c>
      <c r="U182" s="43">
        <v>24.11</v>
      </c>
      <c r="V182" s="30" t="s">
        <v>247</v>
      </c>
      <c r="W182" s="38">
        <v>2.97</v>
      </c>
      <c r="X182" s="38">
        <f>D182-C182</f>
        <v>-469.55000000000018</v>
      </c>
      <c r="Y182" s="38">
        <f>E182-D182</f>
        <v>-469.53999999999996</v>
      </c>
      <c r="Z182" s="38">
        <f>F182-E182</f>
        <v>174.42999999999938</v>
      </c>
      <c r="AA182" s="38">
        <f>G182-F182</f>
        <v>174.44000000000051</v>
      </c>
      <c r="AB182" s="38">
        <f>FORESTS[[#This Row],[Column7]]+FORESTS[[#This Row],[Column8]]</f>
        <v>348.86999999999989</v>
      </c>
      <c r="AD182" s="63">
        <f>(D182-C182)/10</f>
        <v>-46.95500000000002</v>
      </c>
      <c r="AE182" s="63">
        <f>(E182-D182)/10</f>
        <v>-46.953999999999994</v>
      </c>
      <c r="AF182" s="63">
        <f>(F182-E182)/5</f>
        <v>34.885999999999875</v>
      </c>
      <c r="AG182" s="63">
        <f>(G182-F182)/5</f>
        <v>34.888000000000105</v>
      </c>
    </row>
    <row r="183" spans="1:33" x14ac:dyDescent="0.2">
      <c r="A183" s="28">
        <v>450</v>
      </c>
      <c r="B183" s="28" t="s">
        <v>96</v>
      </c>
      <c r="C183" s="46">
        <v>13693.45</v>
      </c>
      <c r="D183" s="46">
        <v>13030.67</v>
      </c>
      <c r="E183" s="46">
        <v>12561.98</v>
      </c>
      <c r="F183" s="46">
        <v>12495.89</v>
      </c>
      <c r="G183" s="46">
        <v>12429.81</v>
      </c>
      <c r="H183" s="46">
        <v>58180</v>
      </c>
      <c r="I183" s="54">
        <f>C183/$H183</f>
        <v>0.23536352698521831</v>
      </c>
      <c r="J183" s="54">
        <f>D183/$H183</f>
        <v>0.22397163973874185</v>
      </c>
      <c r="K183" s="54">
        <f>E183/$H183</f>
        <v>0.21591577861808181</v>
      </c>
      <c r="L183" s="54">
        <f>F183/$H183</f>
        <v>0.21477982124441389</v>
      </c>
      <c r="M183" s="54">
        <f>G183/$H183</f>
        <v>0.21364403575111721</v>
      </c>
      <c r="N183" s="51">
        <f>FORESTS[[#This Row],[Area_2020]]-FORESTS[[#This Row],[Area_1990]]</f>
        <v>-1263.6400000000012</v>
      </c>
      <c r="O183" s="51">
        <f>ABS(FORESTS[[#This Row],[Area_Delta]])</f>
        <v>1263.6400000000012</v>
      </c>
      <c r="P183" s="104">
        <f>FORESTS[[#This Row],[Area_2020_%]]-FORESTS[[#This Row],[Area_1990_%]]</f>
        <v>-2.1719491234101107E-2</v>
      </c>
      <c r="Q183" s="54" t="b">
        <f>IF(G183&gt;C183, TRUE, FALSE)</f>
        <v>0</v>
      </c>
      <c r="R183" s="51">
        <f>IF(Q183=TRUE,G183-C183,0)</f>
        <v>0</v>
      </c>
      <c r="S183" s="51">
        <f>IF(Q183=TRUE,0,C183-G183)</f>
        <v>1263.6400000000012</v>
      </c>
      <c r="T183" s="62">
        <f>IF(J183&lt;I183,1,0)+IF(K183&lt;J183,1,0)+IF(L183&lt;K183,1,0)+IF(M183&lt;L183,1,0)</f>
        <v>4</v>
      </c>
      <c r="U183" s="43">
        <v>21.36</v>
      </c>
      <c r="V183" s="30" t="s">
        <v>247</v>
      </c>
      <c r="W183" s="38" t="s">
        <v>247</v>
      </c>
      <c r="X183" s="38">
        <f>D183-C183</f>
        <v>-662.78000000000065</v>
      </c>
      <c r="Y183" s="38">
        <f>E183-D183</f>
        <v>-468.69000000000051</v>
      </c>
      <c r="Z183" s="38">
        <f>F183-E183</f>
        <v>-66.090000000000146</v>
      </c>
      <c r="AA183" s="38">
        <f>G183-F183</f>
        <v>-66.079999999999927</v>
      </c>
      <c r="AB183" s="38">
        <f>FORESTS[[#This Row],[Column7]]+FORESTS[[#This Row],[Column8]]</f>
        <v>-132.17000000000007</v>
      </c>
      <c r="AD183" s="63">
        <f>(D183-C183)/10</f>
        <v>-66.278000000000063</v>
      </c>
      <c r="AE183" s="63">
        <f>(E183-D183)/10</f>
        <v>-46.86900000000005</v>
      </c>
      <c r="AF183" s="63">
        <f>(F183-E183)/5</f>
        <v>-13.218000000000028</v>
      </c>
      <c r="AG183" s="63">
        <f>(G183-F183)/5</f>
        <v>-13.215999999999985</v>
      </c>
    </row>
    <row r="184" spans="1:33" x14ac:dyDescent="0.2">
      <c r="A184" s="28">
        <v>32</v>
      </c>
      <c r="B184" s="28" t="s">
        <v>5</v>
      </c>
      <c r="C184" s="46">
        <v>35204</v>
      </c>
      <c r="D184" s="46">
        <v>33378</v>
      </c>
      <c r="E184" s="46">
        <v>30214</v>
      </c>
      <c r="F184" s="46">
        <v>29097</v>
      </c>
      <c r="G184" s="46">
        <v>28573</v>
      </c>
      <c r="H184" s="46">
        <v>273669</v>
      </c>
      <c r="I184" s="54">
        <f>C184/$H184</f>
        <v>0.12863714925694908</v>
      </c>
      <c r="J184" s="54">
        <f>D184/$H184</f>
        <v>0.12196485535446104</v>
      </c>
      <c r="K184" s="54">
        <f>E184/$H184</f>
        <v>0.11040344357599874</v>
      </c>
      <c r="L184" s="54">
        <f>F184/$H184</f>
        <v>0.1063218705808842</v>
      </c>
      <c r="M184" s="54">
        <f>G184/$H184</f>
        <v>0.10440714878192268</v>
      </c>
      <c r="N184" s="51">
        <f>FORESTS[[#This Row],[Area_2020]]-FORESTS[[#This Row],[Area_1990]]</f>
        <v>-6631</v>
      </c>
      <c r="O184" s="51">
        <f>ABS(FORESTS[[#This Row],[Area_Delta]])</f>
        <v>6631</v>
      </c>
      <c r="P184" s="104">
        <f>FORESTS[[#This Row],[Area_2020_%]]-FORESTS[[#This Row],[Area_1990_%]]</f>
        <v>-2.4230000475026395E-2</v>
      </c>
      <c r="Q184" s="48" t="b">
        <f>IF(G184&gt;C184, TRUE, FALSE)</f>
        <v>0</v>
      </c>
      <c r="R184" s="51">
        <f>IF(Q184=TRUE,G184-C184,0)</f>
        <v>0</v>
      </c>
      <c r="S184" s="51">
        <f>IF(Q184=TRUE,0,C184-G184)</f>
        <v>6631</v>
      </c>
      <c r="T184" s="62">
        <f>IF(J184&lt;I184,1,0)+IF(K184&lt;J184,1,0)+IF(L184&lt;K184,1,0)+IF(M184&lt;L184,1,0)</f>
        <v>4</v>
      </c>
      <c r="U184" s="43">
        <v>10.44</v>
      </c>
      <c r="V184" s="30">
        <v>134.80000000000001</v>
      </c>
      <c r="W184" s="38">
        <v>128</v>
      </c>
      <c r="X184" s="38">
        <f>D184-C184</f>
        <v>-1826</v>
      </c>
      <c r="Y184" s="38">
        <f>E184-D184</f>
        <v>-3164</v>
      </c>
      <c r="Z184" s="38">
        <f>F184-E184</f>
        <v>-1117</v>
      </c>
      <c r="AA184" s="38">
        <f>G184-F184</f>
        <v>-524</v>
      </c>
      <c r="AB184" s="38">
        <f>FORESTS[[#This Row],[Column7]]+FORESTS[[#This Row],[Column8]]</f>
        <v>-1641</v>
      </c>
      <c r="AD184" s="63">
        <f>(D184-C184)/10</f>
        <v>-182.6</v>
      </c>
      <c r="AE184" s="63">
        <f>(E184-D184)/10</f>
        <v>-316.39999999999998</v>
      </c>
      <c r="AF184" s="63">
        <f>(F184-E184)/5</f>
        <v>-223.4</v>
      </c>
      <c r="AG184" s="63">
        <f>(G184-F184)/5</f>
        <v>-104.8</v>
      </c>
    </row>
    <row r="185" spans="1:33" x14ac:dyDescent="0.2">
      <c r="A185" s="28">
        <v>484</v>
      </c>
      <c r="B185" s="28" t="s">
        <v>107</v>
      </c>
      <c r="C185" s="46">
        <v>70591.649999999994</v>
      </c>
      <c r="D185" s="46">
        <v>68381.350000000006</v>
      </c>
      <c r="E185" s="46">
        <v>66943.31</v>
      </c>
      <c r="F185" s="46">
        <v>66330.91</v>
      </c>
      <c r="G185" s="46">
        <v>65692.08</v>
      </c>
      <c r="H185" s="46">
        <v>194395</v>
      </c>
      <c r="I185" s="54">
        <f>C185/$H185</f>
        <v>0.36313511149978134</v>
      </c>
      <c r="J185" s="54">
        <f>D185/$H185</f>
        <v>0.3517649630906145</v>
      </c>
      <c r="K185" s="54">
        <f>E185/$H185</f>
        <v>0.34436744772242084</v>
      </c>
      <c r="L185" s="54">
        <f>F185/$H185</f>
        <v>0.34121716093520926</v>
      </c>
      <c r="M185" s="54">
        <f>G185/$H185</f>
        <v>0.3379309138609532</v>
      </c>
      <c r="N185" s="51">
        <f>FORESTS[[#This Row],[Area_2020]]-FORESTS[[#This Row],[Area_1990]]</f>
        <v>-4899.5699999999924</v>
      </c>
      <c r="O185" s="51">
        <f>ABS(FORESTS[[#This Row],[Area_Delta]])</f>
        <v>4899.5699999999924</v>
      </c>
      <c r="P185" s="104">
        <f>FORESTS[[#This Row],[Area_2020_%]]-FORESTS[[#This Row],[Area_1990_%]]</f>
        <v>-2.5204197638828141E-2</v>
      </c>
      <c r="Q185" s="54" t="b">
        <f>IF(G185&gt;C185, TRUE, FALSE)</f>
        <v>0</v>
      </c>
      <c r="R185" s="51">
        <f>IF(Q185=TRUE,G185-C185,0)</f>
        <v>0</v>
      </c>
      <c r="S185" s="51">
        <f>IF(Q185=TRUE,0,C185-G185)</f>
        <v>4899.5699999999924</v>
      </c>
      <c r="T185" s="62">
        <f>IF(J185&lt;I185,1,0)+IF(K185&lt;J185,1,0)+IF(L185&lt;K185,1,0)+IF(M185&lt;L185,1,0)</f>
        <v>4</v>
      </c>
      <c r="U185" s="43">
        <v>33.79</v>
      </c>
      <c r="V185" s="30">
        <v>165.82</v>
      </c>
      <c r="W185" s="38">
        <v>59.14</v>
      </c>
      <c r="X185" s="38">
        <f>D185-C185</f>
        <v>-2210.2999999999884</v>
      </c>
      <c r="Y185" s="38">
        <f>E185-D185</f>
        <v>-1438.0400000000081</v>
      </c>
      <c r="Z185" s="38">
        <f>F185-E185</f>
        <v>-612.39999999999418</v>
      </c>
      <c r="AA185" s="38">
        <f>G185-F185</f>
        <v>-638.83000000000175</v>
      </c>
      <c r="AB185" s="38">
        <f>FORESTS[[#This Row],[Column7]]+FORESTS[[#This Row],[Column8]]</f>
        <v>-1251.2299999999959</v>
      </c>
      <c r="AD185" s="63">
        <f>(D185-C185)/10</f>
        <v>-221.02999999999884</v>
      </c>
      <c r="AE185" s="63">
        <f>(E185-D185)/10</f>
        <v>-143.80400000000083</v>
      </c>
      <c r="AF185" s="63">
        <f>(F185-E185)/5</f>
        <v>-122.47999999999884</v>
      </c>
      <c r="AG185" s="63">
        <f>(G185-F185)/5</f>
        <v>-127.76600000000035</v>
      </c>
    </row>
    <row r="186" spans="1:33" x14ac:dyDescent="0.2">
      <c r="A186" s="28">
        <v>516</v>
      </c>
      <c r="B186" s="28" t="s">
        <v>114</v>
      </c>
      <c r="C186" s="46">
        <v>8769.17</v>
      </c>
      <c r="D186" s="46">
        <v>8059.08</v>
      </c>
      <c r="E186" s="46">
        <v>7348.99</v>
      </c>
      <c r="F186" s="46">
        <v>6993.95</v>
      </c>
      <c r="G186" s="46">
        <v>6638.9</v>
      </c>
      <c r="H186" s="46">
        <v>82329</v>
      </c>
      <c r="I186" s="54">
        <f>C186/$H186</f>
        <v>0.10651374363832915</v>
      </c>
      <c r="J186" s="54">
        <f>D186/$H186</f>
        <v>9.7888714790657E-2</v>
      </c>
      <c r="K186" s="54">
        <f>E186/$H186</f>
        <v>8.9263685942984852E-2</v>
      </c>
      <c r="L186" s="54">
        <f>F186/$H186</f>
        <v>8.4951232251090136E-2</v>
      </c>
      <c r="M186" s="54">
        <f>G186/$H186</f>
        <v>8.0638657095312705E-2</v>
      </c>
      <c r="N186" s="51">
        <f>FORESTS[[#This Row],[Area_2020]]-FORESTS[[#This Row],[Area_1990]]</f>
        <v>-2130.2700000000004</v>
      </c>
      <c r="O186" s="51">
        <f>ABS(FORESTS[[#This Row],[Area_Delta]])</f>
        <v>2130.2700000000004</v>
      </c>
      <c r="P186" s="104">
        <f>FORESTS[[#This Row],[Area_2020_%]]-FORESTS[[#This Row],[Area_1990_%]]</f>
        <v>-2.5875086543016443E-2</v>
      </c>
      <c r="Q186" s="54" t="b">
        <f>IF(G186&gt;C186, TRUE, FALSE)</f>
        <v>0</v>
      </c>
      <c r="R186" s="51">
        <f>IF(Q186=TRUE,G186-C186,0)</f>
        <v>0</v>
      </c>
      <c r="S186" s="51">
        <f>IF(Q186=TRUE,0,C186-G186)</f>
        <v>2130.2700000000004</v>
      </c>
      <c r="T186" s="48">
        <f>IF(J186&lt;I186,1,0)+IF(K186&lt;J186,1,0)+IF(L186&lt;K186,1,0)+IF(M186&lt;L186,1,0)</f>
        <v>4</v>
      </c>
      <c r="U186" s="43">
        <v>8.06</v>
      </c>
      <c r="V186" s="30" t="s">
        <v>247</v>
      </c>
      <c r="W186" s="38" t="s">
        <v>247</v>
      </c>
      <c r="X186" s="38">
        <f>D186-C186</f>
        <v>-710.09000000000015</v>
      </c>
      <c r="Y186" s="38">
        <f>E186-D186</f>
        <v>-710.09000000000015</v>
      </c>
      <c r="Z186" s="38">
        <f>F186-E186</f>
        <v>-355.03999999999996</v>
      </c>
      <c r="AA186" s="38">
        <f>G186-F186</f>
        <v>-355.05000000000018</v>
      </c>
      <c r="AB186" s="38">
        <f>FORESTS[[#This Row],[Column7]]+FORESTS[[#This Row],[Column8]]</f>
        <v>-710.09000000000015</v>
      </c>
      <c r="AD186" s="63">
        <f>(D186-C186)/10</f>
        <v>-71.009000000000015</v>
      </c>
      <c r="AE186" s="63">
        <f>(E186-D186)/10</f>
        <v>-71.009000000000015</v>
      </c>
      <c r="AF186" s="63">
        <f>(F186-E186)/5</f>
        <v>-71.007999999999996</v>
      </c>
      <c r="AG186" s="63">
        <f>(G186-F186)/5</f>
        <v>-71.010000000000034</v>
      </c>
    </row>
    <row r="187" spans="1:33" x14ac:dyDescent="0.2">
      <c r="A187" s="28">
        <v>780</v>
      </c>
      <c r="B187" s="28" t="s">
        <v>168</v>
      </c>
      <c r="C187" s="46">
        <v>242.06</v>
      </c>
      <c r="D187" s="46">
        <v>236.65</v>
      </c>
      <c r="E187" s="46">
        <v>232.41</v>
      </c>
      <c r="F187" s="46">
        <v>230.29</v>
      </c>
      <c r="G187" s="46">
        <v>228.19</v>
      </c>
      <c r="H187" s="46">
        <v>513</v>
      </c>
      <c r="I187" s="54">
        <f>C187/$H187</f>
        <v>0.47185185185185186</v>
      </c>
      <c r="J187" s="54">
        <f>D187/$H187</f>
        <v>0.46130604288499027</v>
      </c>
      <c r="K187" s="54">
        <f>E187/$H187</f>
        <v>0.45304093567251463</v>
      </c>
      <c r="L187" s="54">
        <f>F187/$H187</f>
        <v>0.44890838206627681</v>
      </c>
      <c r="M187" s="54">
        <f>G187/$H187</f>
        <v>0.44481481481481483</v>
      </c>
      <c r="N187" s="51">
        <f>FORESTS[[#This Row],[Area_2020]]-FORESTS[[#This Row],[Area_1990]]</f>
        <v>-13.870000000000005</v>
      </c>
      <c r="O187" s="51">
        <f>ABS(FORESTS[[#This Row],[Area_Delta]])</f>
        <v>13.870000000000005</v>
      </c>
      <c r="P187" s="104">
        <f>FORESTS[[#This Row],[Area_2020_%]]-FORESTS[[#This Row],[Area_1990_%]]</f>
        <v>-2.7037037037037026E-2</v>
      </c>
      <c r="Q187" s="54" t="b">
        <f>IF(G187&gt;C187, TRUE, FALSE)</f>
        <v>0</v>
      </c>
      <c r="R187" s="51">
        <f>IF(Q187=TRUE,G187-C187,0)</f>
        <v>0</v>
      </c>
      <c r="S187" s="51">
        <f>IF(Q187=TRUE,0,C187-G187)</f>
        <v>13.870000000000005</v>
      </c>
      <c r="T187" s="48">
        <f>IF(J187&lt;I187,1,0)+IF(K187&lt;J187,1,0)+IF(L187&lt;K187,1,0)+IF(M187&lt;L187,1,0)</f>
        <v>4</v>
      </c>
      <c r="U187" s="48">
        <v>44.48</v>
      </c>
      <c r="V187" s="30" t="s">
        <v>247</v>
      </c>
      <c r="W187" s="30">
        <v>1.5</v>
      </c>
      <c r="X187" s="38">
        <f>D187-C187</f>
        <v>-5.4099999999999966</v>
      </c>
      <c r="Y187" s="38">
        <f>E187-D187</f>
        <v>-4.2400000000000091</v>
      </c>
      <c r="Z187" s="38">
        <f>F187-E187</f>
        <v>-2.1200000000000045</v>
      </c>
      <c r="AA187" s="38">
        <f>G187-F187</f>
        <v>-2.0999999999999943</v>
      </c>
      <c r="AB187" s="38">
        <f>FORESTS[[#This Row],[Column7]]+FORESTS[[#This Row],[Column8]]</f>
        <v>-4.2199999999999989</v>
      </c>
      <c r="AD187" s="63">
        <f>(D187-C187)/10</f>
        <v>-0.5409999999999997</v>
      </c>
      <c r="AE187" s="63">
        <f>(E187-D187)/10</f>
        <v>-0.42400000000000093</v>
      </c>
      <c r="AF187" s="63">
        <f>(F187-E187)/5</f>
        <v>-0.42400000000000093</v>
      </c>
      <c r="AG187" s="63">
        <f>(G187-F187)/5</f>
        <v>-0.41999999999999887</v>
      </c>
    </row>
    <row r="188" spans="1:33" x14ac:dyDescent="0.2">
      <c r="A188" s="28">
        <v>410</v>
      </c>
      <c r="B188" s="28" t="s">
        <v>135</v>
      </c>
      <c r="C188" s="46">
        <v>6551</v>
      </c>
      <c r="D188" s="46">
        <v>6476</v>
      </c>
      <c r="E188" s="46">
        <v>6387</v>
      </c>
      <c r="F188" s="46">
        <v>6337</v>
      </c>
      <c r="G188" s="46">
        <v>6287</v>
      </c>
      <c r="H188" s="46">
        <v>9744.5</v>
      </c>
      <c r="I188" s="54">
        <f>C188/$H188</f>
        <v>0.67227666889014315</v>
      </c>
      <c r="J188" s="54">
        <f>D188/$H188</f>
        <v>0.66458001949817846</v>
      </c>
      <c r="K188" s="54">
        <f>E188/$H188</f>
        <v>0.6554466622197137</v>
      </c>
      <c r="L188" s="54">
        <f>F188/$H188</f>
        <v>0.65031556262507051</v>
      </c>
      <c r="M188" s="54">
        <f>G188/$H188</f>
        <v>0.64518446303042742</v>
      </c>
      <c r="N188" s="51">
        <f>FORESTS[[#This Row],[Area_2020]]-FORESTS[[#This Row],[Area_1990]]</f>
        <v>-264</v>
      </c>
      <c r="O188" s="51">
        <f>ABS(FORESTS[[#This Row],[Area_Delta]])</f>
        <v>264</v>
      </c>
      <c r="P188" s="104">
        <f>FORESTS[[#This Row],[Area_2020_%]]-FORESTS[[#This Row],[Area_1990_%]]</f>
        <v>-2.7092205859715723E-2</v>
      </c>
      <c r="Q188" s="54" t="b">
        <f>IF(G188&gt;C188, TRUE, FALSE)</f>
        <v>0</v>
      </c>
      <c r="R188" s="51">
        <f>IF(Q188=TRUE,G188-C188,0)</f>
        <v>0</v>
      </c>
      <c r="S188" s="51">
        <f>IF(Q188=TRUE,0,C188-G188)</f>
        <v>264</v>
      </c>
      <c r="T188" s="48">
        <f>IF(J188&lt;I188,1,0)+IF(K188&lt;J188,1,0)+IF(L188&lt;K188,1,0)+IF(M188&lt;L188,1,0)</f>
        <v>4</v>
      </c>
      <c r="U188" s="43">
        <v>64.52</v>
      </c>
      <c r="V188" s="30">
        <v>10</v>
      </c>
      <c r="W188" s="38">
        <v>0.42</v>
      </c>
      <c r="X188" s="38">
        <f>D188-C188</f>
        <v>-75</v>
      </c>
      <c r="Y188" s="38">
        <f>E188-D188</f>
        <v>-89</v>
      </c>
      <c r="Z188" s="38">
        <f>F188-E188</f>
        <v>-50</v>
      </c>
      <c r="AA188" s="38">
        <f>G188-F188</f>
        <v>-50</v>
      </c>
      <c r="AB188" s="38">
        <f>FORESTS[[#This Row],[Column7]]+FORESTS[[#This Row],[Column8]]</f>
        <v>-100</v>
      </c>
      <c r="AD188" s="63">
        <f>(D188-C188)/10</f>
        <v>-7.5</v>
      </c>
      <c r="AE188" s="63">
        <f>(E188-D188)/10</f>
        <v>-8.9</v>
      </c>
      <c r="AF188" s="63">
        <f>(F188-E188)/5</f>
        <v>-10</v>
      </c>
      <c r="AG188" s="63">
        <f>(G188-F188)/5</f>
        <v>-10</v>
      </c>
    </row>
    <row r="189" spans="1:33" x14ac:dyDescent="0.2">
      <c r="A189" s="28">
        <v>729</v>
      </c>
      <c r="B189" s="28" t="s">
        <v>157</v>
      </c>
      <c r="C189" s="46">
        <v>23570.31</v>
      </c>
      <c r="D189" s="46">
        <v>21826.16</v>
      </c>
      <c r="E189" s="46">
        <v>20081.169999999998</v>
      </c>
      <c r="F189" s="46">
        <v>19209.93</v>
      </c>
      <c r="G189" s="46">
        <v>18359.55</v>
      </c>
      <c r="H189" s="46">
        <v>186665</v>
      </c>
      <c r="I189" s="54">
        <f>C189/$H189</f>
        <v>0.12627064527361853</v>
      </c>
      <c r="J189" s="54">
        <f>D189/$H189</f>
        <v>0.11692690113304582</v>
      </c>
      <c r="K189" s="54">
        <f>E189/$H189</f>
        <v>0.10757865695229421</v>
      </c>
      <c r="L189" s="54">
        <f>F189/$H189</f>
        <v>0.10291125813623336</v>
      </c>
      <c r="M189" s="54">
        <f>G189/$H189</f>
        <v>9.835561031794926E-2</v>
      </c>
      <c r="N189" s="51">
        <f>FORESTS[[#This Row],[Area_2020]]-FORESTS[[#This Row],[Area_1990]]</f>
        <v>-5210.760000000002</v>
      </c>
      <c r="O189" s="51">
        <f>ABS(FORESTS[[#This Row],[Area_Delta]])</f>
        <v>5210.760000000002</v>
      </c>
      <c r="P189" s="104">
        <f>FORESTS[[#This Row],[Area_2020_%]]-FORESTS[[#This Row],[Area_1990_%]]</f>
        <v>-2.7915034955669271E-2</v>
      </c>
      <c r="Q189" s="48" t="b">
        <f>IF(G189&gt;C189, TRUE, FALSE)</f>
        <v>0</v>
      </c>
      <c r="R189" s="51">
        <f>IF(Q189=TRUE,G189-C189,0)</f>
        <v>0</v>
      </c>
      <c r="S189" s="51">
        <f>IF(Q189=TRUE,0,C189-G189)</f>
        <v>5210.760000000002</v>
      </c>
      <c r="T189" s="62">
        <f>IF(J189&lt;I189,1,0)+IF(K189&lt;J189,1,0)+IF(L189&lt;K189,1,0)+IF(M189&lt;L189,1,0)</f>
        <v>4</v>
      </c>
      <c r="U189" s="43">
        <v>9.84</v>
      </c>
      <c r="V189" s="30">
        <v>264</v>
      </c>
      <c r="W189" s="38" t="s">
        <v>247</v>
      </c>
      <c r="X189" s="38">
        <f>D189-C189</f>
        <v>-1744.1500000000015</v>
      </c>
      <c r="Y189" s="38">
        <f>E189-D189</f>
        <v>-1744.9900000000016</v>
      </c>
      <c r="Z189" s="38">
        <f>F189-E189</f>
        <v>-871.23999999999796</v>
      </c>
      <c r="AA189" s="38">
        <f>G189-F189</f>
        <v>-850.38000000000102</v>
      </c>
      <c r="AB189" s="38">
        <f>FORESTS[[#This Row],[Column7]]+FORESTS[[#This Row],[Column8]]</f>
        <v>-1721.619999999999</v>
      </c>
      <c r="AD189" s="63">
        <f>(D189-C189)/10</f>
        <v>-174.41500000000013</v>
      </c>
      <c r="AE189" s="63">
        <f>(E189-D189)/10</f>
        <v>-174.49900000000017</v>
      </c>
      <c r="AF189" s="63">
        <f>(F189-E189)/5</f>
        <v>-174.24799999999959</v>
      </c>
      <c r="AG189" s="63">
        <f>(G189-F189)/5</f>
        <v>-170.07600000000019</v>
      </c>
    </row>
    <row r="190" spans="1:33" x14ac:dyDescent="0.2">
      <c r="A190" s="28">
        <v>768</v>
      </c>
      <c r="B190" s="28" t="s">
        <v>166</v>
      </c>
      <c r="C190" s="46">
        <v>1361.66</v>
      </c>
      <c r="D190" s="46">
        <v>1268.46</v>
      </c>
      <c r="E190" s="46">
        <v>1238.8699999999999</v>
      </c>
      <c r="F190" s="46">
        <v>1224.07</v>
      </c>
      <c r="G190" s="46">
        <v>1209.27</v>
      </c>
      <c r="H190" s="46">
        <v>5439</v>
      </c>
      <c r="I190" s="54">
        <f>C190/$H190</f>
        <v>0.25035116749402464</v>
      </c>
      <c r="J190" s="54">
        <f>D190/$H190</f>
        <v>0.23321566464423607</v>
      </c>
      <c r="K190" s="54">
        <f>E190/$H190</f>
        <v>0.2277753263467549</v>
      </c>
      <c r="L190" s="54">
        <f>F190/$H190</f>
        <v>0.22505423791138077</v>
      </c>
      <c r="M190" s="54">
        <f>G190/$H190</f>
        <v>0.2223331494760066</v>
      </c>
      <c r="N190" s="51">
        <f>FORESTS[[#This Row],[Area_2020]]-FORESTS[[#This Row],[Area_1990]]</f>
        <v>-152.3900000000001</v>
      </c>
      <c r="O190" s="51">
        <f>ABS(FORESTS[[#This Row],[Area_Delta]])</f>
        <v>152.3900000000001</v>
      </c>
      <c r="P190" s="104">
        <f>FORESTS[[#This Row],[Area_2020_%]]-FORESTS[[#This Row],[Area_1990_%]]</f>
        <v>-2.8018018018018037E-2</v>
      </c>
      <c r="Q190" s="54" t="b">
        <f>IF(G190&gt;C190, TRUE, FALSE)</f>
        <v>0</v>
      </c>
      <c r="R190" s="51">
        <f>IF(Q190=TRUE,G190-C190,0)</f>
        <v>0</v>
      </c>
      <c r="S190" s="51">
        <f>IF(Q190=TRUE,0,C190-G190)</f>
        <v>152.3900000000001</v>
      </c>
      <c r="T190" s="48">
        <f>IF(J190&lt;I190,1,0)+IF(K190&lt;J190,1,0)+IF(L190&lt;K190,1,0)+IF(M190&lt;L190,1,0)</f>
        <v>4</v>
      </c>
      <c r="U190" s="43">
        <v>22.23</v>
      </c>
      <c r="V190" s="30">
        <v>4.96</v>
      </c>
      <c r="W190" s="38" t="s">
        <v>247</v>
      </c>
      <c r="X190" s="38">
        <f>D190-C190</f>
        <v>-93.200000000000045</v>
      </c>
      <c r="Y190" s="38">
        <f>E190-D190</f>
        <v>-29.590000000000146</v>
      </c>
      <c r="Z190" s="38">
        <f>F190-E190</f>
        <v>-14.799999999999955</v>
      </c>
      <c r="AA190" s="38">
        <f>G190-F190</f>
        <v>-14.799999999999955</v>
      </c>
      <c r="AB190" s="38">
        <f>FORESTS[[#This Row],[Column7]]+FORESTS[[#This Row],[Column8]]</f>
        <v>-29.599999999999909</v>
      </c>
      <c r="AD190" s="63">
        <f>(D190-C190)/10</f>
        <v>-9.3200000000000038</v>
      </c>
      <c r="AE190" s="63">
        <f>(E190-D190)/10</f>
        <v>-2.9590000000000147</v>
      </c>
      <c r="AF190" s="63">
        <f>(F190-E190)/5</f>
        <v>-2.9599999999999911</v>
      </c>
      <c r="AG190" s="63">
        <f>(G190-F190)/5</f>
        <v>-2.9599999999999911</v>
      </c>
    </row>
    <row r="191" spans="1:33" x14ac:dyDescent="0.2">
      <c r="A191" s="28">
        <v>626</v>
      </c>
      <c r="B191" s="28" t="s">
        <v>165</v>
      </c>
      <c r="C191" s="46">
        <v>963.1</v>
      </c>
      <c r="D191" s="46">
        <v>949.1</v>
      </c>
      <c r="E191" s="46">
        <v>935.1</v>
      </c>
      <c r="F191" s="46">
        <v>928.1</v>
      </c>
      <c r="G191" s="46">
        <v>921.1</v>
      </c>
      <c r="H191" s="46">
        <v>1487</v>
      </c>
      <c r="I191" s="54">
        <f>C191/$H191</f>
        <v>0.64767989240080703</v>
      </c>
      <c r="J191" s="54">
        <f>D191/$H191</f>
        <v>0.63826496301277746</v>
      </c>
      <c r="K191" s="54">
        <f>E191/$H191</f>
        <v>0.62885003362474778</v>
      </c>
      <c r="L191" s="54">
        <f>F191/$H191</f>
        <v>0.62414256893073305</v>
      </c>
      <c r="M191" s="54">
        <f>G191/$H191</f>
        <v>0.61943510423671821</v>
      </c>
      <c r="N191" s="51">
        <f>FORESTS[[#This Row],[Area_2020]]-FORESTS[[#This Row],[Area_1990]]</f>
        <v>-42</v>
      </c>
      <c r="O191" s="51">
        <f>ABS(FORESTS[[#This Row],[Area_Delta]])</f>
        <v>42</v>
      </c>
      <c r="P191" s="104">
        <f>FORESTS[[#This Row],[Area_2020_%]]-FORESTS[[#This Row],[Area_1990_%]]</f>
        <v>-2.8244788164088819E-2</v>
      </c>
      <c r="Q191" s="54" t="b">
        <f>IF(G191&gt;C191, TRUE, FALSE)</f>
        <v>0</v>
      </c>
      <c r="R191" s="51">
        <f>IF(Q191=TRUE,G191-C191,0)</f>
        <v>0</v>
      </c>
      <c r="S191" s="51">
        <f>IF(Q191=TRUE,0,C191-G191)</f>
        <v>42</v>
      </c>
      <c r="T191" s="48">
        <f>IF(J191&lt;I191,1,0)+IF(K191&lt;J191,1,0)+IF(L191&lt;K191,1,0)+IF(M191&lt;L191,1,0)</f>
        <v>4</v>
      </c>
      <c r="U191" s="48">
        <v>61.94</v>
      </c>
      <c r="V191" s="30" t="s">
        <v>247</v>
      </c>
      <c r="W191" s="30" t="s">
        <v>247</v>
      </c>
      <c r="X191" s="38">
        <f>D191-C191</f>
        <v>-14</v>
      </c>
      <c r="Y191" s="38">
        <f>E191-D191</f>
        <v>-14</v>
      </c>
      <c r="Z191" s="38">
        <f>F191-E191</f>
        <v>-7</v>
      </c>
      <c r="AA191" s="38">
        <f>G191-F191</f>
        <v>-7</v>
      </c>
      <c r="AB191" s="38">
        <f>FORESTS[[#This Row],[Column7]]+FORESTS[[#This Row],[Column8]]</f>
        <v>-14</v>
      </c>
      <c r="AD191" s="63">
        <f>(D191-C191)/10</f>
        <v>-1.4</v>
      </c>
      <c r="AE191" s="63">
        <f>(E191-D191)/10</f>
        <v>-1.4</v>
      </c>
      <c r="AF191" s="63">
        <f>(F191-E191)/5</f>
        <v>-1.4</v>
      </c>
      <c r="AG191" s="63">
        <f>(G191-F191)/5</f>
        <v>-1.4</v>
      </c>
    </row>
    <row r="192" spans="1:33" x14ac:dyDescent="0.2">
      <c r="A192" s="28">
        <v>666</v>
      </c>
      <c r="B192" s="28" t="s">
        <v>219</v>
      </c>
      <c r="C192" s="46">
        <v>1.9</v>
      </c>
      <c r="D192" s="46">
        <v>1.67</v>
      </c>
      <c r="E192" s="46">
        <v>1.44</v>
      </c>
      <c r="F192" s="46">
        <v>1.33</v>
      </c>
      <c r="G192" s="46">
        <v>1.22</v>
      </c>
      <c r="H192" s="46">
        <v>23</v>
      </c>
      <c r="I192" s="54">
        <f>C192/$H192</f>
        <v>8.2608695652173908E-2</v>
      </c>
      <c r="J192" s="54">
        <f>D192/$H192</f>
        <v>7.2608695652173913E-2</v>
      </c>
      <c r="K192" s="54">
        <f>E192/$H192</f>
        <v>6.2608695652173904E-2</v>
      </c>
      <c r="L192" s="54">
        <f>F192/$H192</f>
        <v>5.7826086956521743E-2</v>
      </c>
      <c r="M192" s="54">
        <f>G192/$H192</f>
        <v>5.3043478260869567E-2</v>
      </c>
      <c r="N192" s="51">
        <f>FORESTS[[#This Row],[Area_2020]]-FORESTS[[#This Row],[Area_1990]]</f>
        <v>-0.67999999999999994</v>
      </c>
      <c r="O192" s="51">
        <f>ABS(FORESTS[[#This Row],[Area_Delta]])</f>
        <v>0.67999999999999994</v>
      </c>
      <c r="P192" s="104">
        <f>FORESTS[[#This Row],[Area_2020_%]]-FORESTS[[#This Row],[Area_1990_%]]</f>
        <v>-2.9565217391304341E-2</v>
      </c>
      <c r="Q192" s="54" t="b">
        <f>IF(G192&gt;C192, TRUE, FALSE)</f>
        <v>0</v>
      </c>
      <c r="R192" s="51">
        <f>IF(Q192=TRUE,G192-C192,0)</f>
        <v>0</v>
      </c>
      <c r="S192" s="51">
        <f>IF(Q192=TRUE,0,C192-G192)</f>
        <v>0.67999999999999994</v>
      </c>
      <c r="T192" s="48">
        <f>IF(J192&lt;I192,1,0)+IF(K192&lt;J192,1,0)+IF(L192&lt;K192,1,0)+IF(M192&lt;L192,1,0)</f>
        <v>4</v>
      </c>
      <c r="U192" s="48">
        <v>5.3</v>
      </c>
      <c r="V192" s="30" t="s">
        <v>247</v>
      </c>
      <c r="W192" s="30">
        <v>0</v>
      </c>
      <c r="X192" s="38">
        <f>D192-C192</f>
        <v>-0.22999999999999998</v>
      </c>
      <c r="Y192" s="38">
        <f>E192-D192</f>
        <v>-0.22999999999999998</v>
      </c>
      <c r="Z192" s="38">
        <f>F192-E192</f>
        <v>-0.10999999999999988</v>
      </c>
      <c r="AA192" s="38">
        <f>G192-F192</f>
        <v>-0.1100000000000001</v>
      </c>
      <c r="AB192" s="38">
        <f>FORESTS[[#This Row],[Column7]]+FORESTS[[#This Row],[Column8]]</f>
        <v>-0.21999999999999997</v>
      </c>
      <c r="AD192" s="63">
        <f>(D192-C192)/10</f>
        <v>-2.3E-2</v>
      </c>
      <c r="AE192" s="63">
        <f>(E192-D192)/10</f>
        <v>-2.3E-2</v>
      </c>
      <c r="AF192" s="63">
        <f>(F192-E192)/5</f>
        <v>-2.1999999999999974E-2</v>
      </c>
      <c r="AG192" s="63">
        <f>(G192-F192)/5</f>
        <v>-2.200000000000002E-2</v>
      </c>
    </row>
    <row r="193" spans="1:33" x14ac:dyDescent="0.2">
      <c r="A193" s="28">
        <v>604</v>
      </c>
      <c r="B193" s="28" t="s">
        <v>130</v>
      </c>
      <c r="C193" s="46">
        <v>76448.539999999994</v>
      </c>
      <c r="D193" s="46">
        <v>75297.83</v>
      </c>
      <c r="E193" s="46">
        <v>74049.8</v>
      </c>
      <c r="F193" s="46">
        <v>73194.53</v>
      </c>
      <c r="G193" s="46">
        <v>72330.37</v>
      </c>
      <c r="H193" s="46">
        <v>128000</v>
      </c>
      <c r="I193" s="54">
        <f>C193/$H193</f>
        <v>0.59725421874999995</v>
      </c>
      <c r="J193" s="54">
        <f>D193/$H193</f>
        <v>0.58826429687500004</v>
      </c>
      <c r="K193" s="54">
        <f>E193/$H193</f>
        <v>0.57851406250000004</v>
      </c>
      <c r="L193" s="54">
        <f>F193/$H193</f>
        <v>0.571832265625</v>
      </c>
      <c r="M193" s="54">
        <f>G193/$H193</f>
        <v>0.56508101562500002</v>
      </c>
      <c r="N193" s="51">
        <f>FORESTS[[#This Row],[Area_2020]]-FORESTS[[#This Row],[Area_1990]]</f>
        <v>-4118.1699999999983</v>
      </c>
      <c r="O193" s="51">
        <f>ABS(FORESTS[[#This Row],[Area_Delta]])</f>
        <v>4118.1699999999983</v>
      </c>
      <c r="P193" s="104">
        <f>FORESTS[[#This Row],[Area_2020_%]]-FORESTS[[#This Row],[Area_1990_%]]</f>
        <v>-3.2173203124999938E-2</v>
      </c>
      <c r="Q193" s="54" t="b">
        <f>IF(G193&gt;C193, TRUE, FALSE)</f>
        <v>0</v>
      </c>
      <c r="R193" s="51">
        <f>IF(Q193=TRUE,G193-C193,0)</f>
        <v>0</v>
      </c>
      <c r="S193" s="51">
        <f>IF(Q193=TRUE,0,C193-G193)</f>
        <v>4118.1699999999983</v>
      </c>
      <c r="T193" s="62">
        <f>IF(J193&lt;I193,1,0)+IF(K193&lt;J193,1,0)+IF(L193&lt;K193,1,0)+IF(M193&lt;L193,1,0)</f>
        <v>4</v>
      </c>
      <c r="U193" s="43">
        <v>56.51</v>
      </c>
      <c r="V193" s="30">
        <v>179.09</v>
      </c>
      <c r="W193" s="38">
        <v>22.41</v>
      </c>
      <c r="X193" s="38">
        <f>D193-C193</f>
        <v>-1150.7099999999919</v>
      </c>
      <c r="Y193" s="38">
        <f>E193-D193</f>
        <v>-1248.0299999999988</v>
      </c>
      <c r="Z193" s="38">
        <f>F193-E193</f>
        <v>-855.27000000000407</v>
      </c>
      <c r="AA193" s="38">
        <f>G193-F193</f>
        <v>-864.16000000000349</v>
      </c>
      <c r="AB193" s="38">
        <f>FORESTS[[#This Row],[Column7]]+FORESTS[[#This Row],[Column8]]</f>
        <v>-1719.4300000000076</v>
      </c>
      <c r="AD193" s="63">
        <f>(D193-C193)/10</f>
        <v>-115.07099999999919</v>
      </c>
      <c r="AE193" s="63">
        <f>(E193-D193)/10</f>
        <v>-124.80299999999988</v>
      </c>
      <c r="AF193" s="63">
        <f>(F193-E193)/5</f>
        <v>-171.05400000000083</v>
      </c>
      <c r="AG193" s="63">
        <f>(G193-F193)/5</f>
        <v>-172.8320000000007</v>
      </c>
    </row>
    <row r="194" spans="1:33" x14ac:dyDescent="0.2">
      <c r="A194" s="28">
        <v>212</v>
      </c>
      <c r="B194" s="28" t="s">
        <v>45</v>
      </c>
      <c r="C194" s="30">
        <v>50.31</v>
      </c>
      <c r="D194" s="30">
        <v>47.87</v>
      </c>
      <c r="E194" s="30">
        <v>47.87</v>
      </c>
      <c r="F194" s="30">
        <v>47.87</v>
      </c>
      <c r="G194" s="30">
        <v>47.87</v>
      </c>
      <c r="H194" s="30">
        <v>75</v>
      </c>
      <c r="I194" s="54">
        <f>C194/$H194</f>
        <v>0.67080000000000006</v>
      </c>
      <c r="J194" s="54">
        <f>D194/$H194</f>
        <v>0.63826666666666665</v>
      </c>
      <c r="K194" s="54">
        <f>E194/$H194</f>
        <v>0.63826666666666665</v>
      </c>
      <c r="L194" s="54">
        <f>F194/$H194</f>
        <v>0.63826666666666665</v>
      </c>
      <c r="M194" s="54">
        <f>G194/$H194</f>
        <v>0.63826666666666665</v>
      </c>
      <c r="N194" s="51">
        <f>FORESTS[[#This Row],[Area_2020]]-FORESTS[[#This Row],[Area_1990]]</f>
        <v>-2.4400000000000048</v>
      </c>
      <c r="O194" s="51">
        <f>ABS(FORESTS[[#This Row],[Area_Delta]])</f>
        <v>2.4400000000000048</v>
      </c>
      <c r="P194" s="104">
        <f>FORESTS[[#This Row],[Area_2020_%]]-FORESTS[[#This Row],[Area_1990_%]]</f>
        <v>-3.2533333333333414E-2</v>
      </c>
      <c r="Q194" s="54" t="b">
        <f>IF(G194&gt;C194, TRUE, FALSE)</f>
        <v>0</v>
      </c>
      <c r="R194" s="51">
        <f>IF(Q194=TRUE,G194-C194,0)</f>
        <v>0</v>
      </c>
      <c r="S194" s="51">
        <f>IF(Q194=TRUE,0,C194-G194)</f>
        <v>2.4400000000000048</v>
      </c>
      <c r="T194" s="48">
        <f>IF(J194&lt;I194,1,0)+IF(K194&lt;J194,1,0)+IF(L194&lt;K194,1,0)+IF(M194&lt;L194,1,0)</f>
        <v>1</v>
      </c>
      <c r="U194" s="48">
        <v>63.83</v>
      </c>
      <c r="V194" s="30" t="s">
        <v>247</v>
      </c>
      <c r="W194" s="30" t="s">
        <v>247</v>
      </c>
      <c r="X194" s="38">
        <f>D194-C194</f>
        <v>-2.4400000000000048</v>
      </c>
      <c r="Y194" s="38">
        <f>E194-D194</f>
        <v>0</v>
      </c>
      <c r="Z194" s="38">
        <f>F194-E194</f>
        <v>0</v>
      </c>
      <c r="AA194" s="38">
        <f>G194-F194</f>
        <v>0</v>
      </c>
      <c r="AB194" s="38">
        <f>FORESTS[[#This Row],[Column7]]+FORESTS[[#This Row],[Column8]]</f>
        <v>0</v>
      </c>
      <c r="AD194" s="63">
        <f>(D194-C194)/10</f>
        <v>-0.24400000000000049</v>
      </c>
      <c r="AE194" s="63">
        <f>(E194-D194)/10</f>
        <v>0</v>
      </c>
      <c r="AF194" s="63">
        <f>(F194-E194)/5</f>
        <v>0</v>
      </c>
      <c r="AG194" s="63">
        <f>(G194-F194)/5</f>
        <v>0</v>
      </c>
    </row>
    <row r="195" spans="1:33" x14ac:dyDescent="0.2">
      <c r="A195" s="28">
        <v>894</v>
      </c>
      <c r="B195" s="28" t="s">
        <v>184</v>
      </c>
      <c r="C195" s="46">
        <v>47412</v>
      </c>
      <c r="D195" s="46">
        <v>47054</v>
      </c>
      <c r="E195" s="46">
        <v>46696</v>
      </c>
      <c r="F195" s="46">
        <v>45755.1</v>
      </c>
      <c r="G195" s="46">
        <v>44814.03</v>
      </c>
      <c r="H195" s="46">
        <v>74339</v>
      </c>
      <c r="I195" s="54">
        <f>C195/$H195</f>
        <v>0.63778097633812669</v>
      </c>
      <c r="J195" s="54">
        <f>D195/$H195</f>
        <v>0.63296519996233469</v>
      </c>
      <c r="K195" s="54">
        <f>E195/$H195</f>
        <v>0.62814942358654269</v>
      </c>
      <c r="L195" s="54">
        <f>F195/$H195</f>
        <v>0.61549254092737327</v>
      </c>
      <c r="M195" s="54">
        <f>G195/$H195</f>
        <v>0.60283337144701976</v>
      </c>
      <c r="N195" s="51">
        <f>FORESTS[[#This Row],[Area_2020]]-FORESTS[[#This Row],[Area_1990]]</f>
        <v>-2597.9700000000012</v>
      </c>
      <c r="O195" s="51">
        <f>ABS(FORESTS[[#This Row],[Area_Delta]])</f>
        <v>2597.9700000000012</v>
      </c>
      <c r="P195" s="104">
        <f>FORESTS[[#This Row],[Area_2020_%]]-FORESTS[[#This Row],[Area_1990_%]]</f>
        <v>-3.4947604891106931E-2</v>
      </c>
      <c r="Q195" s="54" t="b">
        <f>IF(G195&gt;C195, TRUE, FALSE)</f>
        <v>0</v>
      </c>
      <c r="R195" s="51">
        <f>IF(Q195=TRUE,G195-C195,0)</f>
        <v>0</v>
      </c>
      <c r="S195" s="51">
        <f>IF(Q195=TRUE,0,C195-G195)</f>
        <v>2597.9700000000012</v>
      </c>
      <c r="T195" s="62">
        <f>IF(J195&lt;I195,1,0)+IF(K195&lt;J195,1,0)+IF(L195&lt;K195,1,0)+IF(M195&lt;L195,1,0)</f>
        <v>4</v>
      </c>
      <c r="U195" s="43">
        <v>60.28</v>
      </c>
      <c r="V195" s="30">
        <v>189.71</v>
      </c>
      <c r="W195" s="38">
        <v>15077</v>
      </c>
      <c r="X195" s="38">
        <f>D195-C195</f>
        <v>-358</v>
      </c>
      <c r="Y195" s="38">
        <f>E195-D195</f>
        <v>-358</v>
      </c>
      <c r="Z195" s="38">
        <f>F195-E195</f>
        <v>-940.90000000000146</v>
      </c>
      <c r="AA195" s="38">
        <f>G195-F195</f>
        <v>-941.06999999999971</v>
      </c>
      <c r="AB195" s="38">
        <f>FORESTS[[#This Row],[Column7]]+FORESTS[[#This Row],[Column8]]</f>
        <v>-1881.9700000000012</v>
      </c>
      <c r="AD195" s="63">
        <f>(D195-C195)/10</f>
        <v>-35.799999999999997</v>
      </c>
      <c r="AE195" s="63">
        <f>(E195-D195)/10</f>
        <v>-35.799999999999997</v>
      </c>
      <c r="AF195" s="63">
        <f>(F195-E195)/5</f>
        <v>-188.18000000000029</v>
      </c>
      <c r="AG195" s="63">
        <f>(G195-F195)/5</f>
        <v>-188.21399999999994</v>
      </c>
    </row>
    <row r="196" spans="1:33" x14ac:dyDescent="0.2">
      <c r="A196" s="28">
        <v>716</v>
      </c>
      <c r="B196" s="28" t="s">
        <v>185</v>
      </c>
      <c r="C196" s="46">
        <v>18826.68</v>
      </c>
      <c r="D196" s="46">
        <v>18365.98</v>
      </c>
      <c r="E196" s="46">
        <v>17905.28</v>
      </c>
      <c r="F196" s="46">
        <v>17674.93</v>
      </c>
      <c r="G196" s="46">
        <v>17444.580000000002</v>
      </c>
      <c r="H196" s="46">
        <v>38685</v>
      </c>
      <c r="I196" s="54">
        <f>C196/$H196</f>
        <v>0.48666614967041488</v>
      </c>
      <c r="J196" s="54">
        <f>D196/$H196</f>
        <v>0.47475714101072763</v>
      </c>
      <c r="K196" s="54">
        <f>E196/$H196</f>
        <v>0.46284813235104044</v>
      </c>
      <c r="L196" s="54">
        <f>F196/$H196</f>
        <v>0.45689362802119687</v>
      </c>
      <c r="M196" s="54">
        <f>G196/$H196</f>
        <v>0.45093912369135331</v>
      </c>
      <c r="N196" s="51">
        <f>FORESTS[[#This Row],[Area_2020]]-FORESTS[[#This Row],[Area_1990]]</f>
        <v>-1382.0999999999985</v>
      </c>
      <c r="O196" s="51">
        <f>ABS(FORESTS[[#This Row],[Area_Delta]])</f>
        <v>1382.0999999999985</v>
      </c>
      <c r="P196" s="104">
        <f>FORESTS[[#This Row],[Area_2020_%]]-FORESTS[[#This Row],[Area_1990_%]]</f>
        <v>-3.5727025979061577E-2</v>
      </c>
      <c r="Q196" s="54" t="b">
        <f>IF(G196&gt;C196, TRUE, FALSE)</f>
        <v>0</v>
      </c>
      <c r="R196" s="51">
        <f>IF(Q196=TRUE,G196-C196,0)</f>
        <v>0</v>
      </c>
      <c r="S196" s="51">
        <f>IF(Q196=TRUE,0,C196-G196)</f>
        <v>1382.0999999999985</v>
      </c>
      <c r="T196" s="62">
        <f>IF(J196&lt;I196,1,0)+IF(K196&lt;J196,1,0)+IF(L196&lt;K196,1,0)+IF(M196&lt;L196,1,0)</f>
        <v>4</v>
      </c>
      <c r="U196" s="43">
        <v>45.09</v>
      </c>
      <c r="V196" s="30">
        <v>46.07</v>
      </c>
      <c r="W196" s="38">
        <v>2830</v>
      </c>
      <c r="X196" s="38">
        <f>D196-C196</f>
        <v>-460.70000000000073</v>
      </c>
      <c r="Y196" s="38">
        <f>E196-D196</f>
        <v>-460.70000000000073</v>
      </c>
      <c r="Z196" s="38">
        <f>F196-E196</f>
        <v>-230.34999999999854</v>
      </c>
      <c r="AA196" s="38">
        <f>G196-F196</f>
        <v>-230.34999999999854</v>
      </c>
      <c r="AB196" s="38">
        <f>FORESTS[[#This Row],[Column7]]+FORESTS[[#This Row],[Column8]]</f>
        <v>-460.69999999999709</v>
      </c>
      <c r="AD196" s="63">
        <f>(D196-C196)/10</f>
        <v>-46.070000000000071</v>
      </c>
      <c r="AE196" s="63">
        <f>(E196-D196)/10</f>
        <v>-46.070000000000071</v>
      </c>
      <c r="AF196" s="63">
        <f>(F196-E196)/5</f>
        <v>-46.069999999999709</v>
      </c>
      <c r="AG196" s="63">
        <f>(G196-F196)/5</f>
        <v>-46.069999999999709</v>
      </c>
    </row>
    <row r="197" spans="1:33" x14ac:dyDescent="0.2">
      <c r="A197" s="28">
        <v>706</v>
      </c>
      <c r="B197" s="28" t="s">
        <v>152</v>
      </c>
      <c r="C197" s="46">
        <v>8282.5</v>
      </c>
      <c r="D197" s="46">
        <v>7515</v>
      </c>
      <c r="E197" s="46">
        <v>6747.5</v>
      </c>
      <c r="F197" s="46">
        <v>6363.75</v>
      </c>
      <c r="G197" s="46">
        <v>5980</v>
      </c>
      <c r="H197" s="46">
        <v>62734</v>
      </c>
      <c r="I197" s="54">
        <f>C197/$H197</f>
        <v>0.13202569579494372</v>
      </c>
      <c r="J197" s="54">
        <f>D197/$H197</f>
        <v>0.11979150062167246</v>
      </c>
      <c r="K197" s="54">
        <f>E197/$H197</f>
        <v>0.10755730544840118</v>
      </c>
      <c r="L197" s="54">
        <f>F197/$H197</f>
        <v>0.10144020786176555</v>
      </c>
      <c r="M197" s="54">
        <f>G197/$H197</f>
        <v>9.5323110275129908E-2</v>
      </c>
      <c r="N197" s="51">
        <f>FORESTS[[#This Row],[Area_2020]]-FORESTS[[#This Row],[Area_1990]]</f>
        <v>-2302.5</v>
      </c>
      <c r="O197" s="51">
        <f>ABS(FORESTS[[#This Row],[Area_Delta]])</f>
        <v>2302.5</v>
      </c>
      <c r="P197" s="104">
        <f>FORESTS[[#This Row],[Area_2020_%]]-FORESTS[[#This Row],[Area_1990_%]]</f>
        <v>-3.6702585519813813E-2</v>
      </c>
      <c r="Q197" s="54" t="b">
        <f>IF(G197&gt;C197, TRUE, FALSE)</f>
        <v>0</v>
      </c>
      <c r="R197" s="51">
        <f>IF(Q197=TRUE,G197-C197,0)</f>
        <v>0</v>
      </c>
      <c r="S197" s="51">
        <f>IF(Q197=TRUE,0,C197-G197)</f>
        <v>2302.5</v>
      </c>
      <c r="T197" s="48">
        <f>IF(J197&lt;I197,1,0)+IF(K197&lt;J197,1,0)+IF(L197&lt;K197,1,0)+IF(M197&lt;L197,1,0)</f>
        <v>4</v>
      </c>
      <c r="U197" s="43">
        <v>9.5299999999999994</v>
      </c>
      <c r="V197" s="30">
        <v>76.75</v>
      </c>
      <c r="W197" s="38" t="s">
        <v>247</v>
      </c>
      <c r="X197" s="38">
        <f>D197-C197</f>
        <v>-767.5</v>
      </c>
      <c r="Y197" s="38">
        <f>E197-D197</f>
        <v>-767.5</v>
      </c>
      <c r="Z197" s="38">
        <f>F197-E197</f>
        <v>-383.75</v>
      </c>
      <c r="AA197" s="38">
        <f>G197-F197</f>
        <v>-383.75</v>
      </c>
      <c r="AB197" s="38">
        <f>FORESTS[[#This Row],[Column7]]+FORESTS[[#This Row],[Column8]]</f>
        <v>-767.5</v>
      </c>
      <c r="AD197" s="63">
        <f>(D197-C197)/10</f>
        <v>-76.75</v>
      </c>
      <c r="AE197" s="63">
        <f>(E197-D197)/10</f>
        <v>-76.75</v>
      </c>
      <c r="AF197" s="63">
        <f>(F197-E197)/5</f>
        <v>-76.75</v>
      </c>
      <c r="AG197" s="63">
        <f>(G197-F197)/5</f>
        <v>-76.75</v>
      </c>
    </row>
    <row r="198" spans="1:33" x14ac:dyDescent="0.2">
      <c r="A198" s="28">
        <v>144</v>
      </c>
      <c r="B198" s="28" t="s">
        <v>156</v>
      </c>
      <c r="C198" s="38">
        <v>2350.33</v>
      </c>
      <c r="D198" s="38">
        <v>2166.42</v>
      </c>
      <c r="E198" s="38">
        <v>2103.62</v>
      </c>
      <c r="F198" s="38">
        <v>2128.8200000000002</v>
      </c>
      <c r="G198" s="38">
        <v>2113.02</v>
      </c>
      <c r="H198" s="38">
        <v>6271</v>
      </c>
      <c r="I198" s="54">
        <f>C198/$H198</f>
        <v>0.37479349386062827</v>
      </c>
      <c r="J198" s="54">
        <f>D198/$H198</f>
        <v>0.34546643278583961</v>
      </c>
      <c r="K198" s="54">
        <f>E198/$H198</f>
        <v>0.33545208100781371</v>
      </c>
      <c r="L198" s="54">
        <f>F198/$H198</f>
        <v>0.33947057885504706</v>
      </c>
      <c r="M198" s="54">
        <f>G198/$H198</f>
        <v>0.33695104449051189</v>
      </c>
      <c r="N198" s="51">
        <f>FORESTS[[#This Row],[Area_2020]]-FORESTS[[#This Row],[Area_1990]]</f>
        <v>-237.30999999999995</v>
      </c>
      <c r="O198" s="51">
        <f>ABS(FORESTS[[#This Row],[Area_Delta]])</f>
        <v>237.30999999999995</v>
      </c>
      <c r="P198" s="104">
        <f>FORESTS[[#This Row],[Area_2020_%]]-FORESTS[[#This Row],[Area_1990_%]]</f>
        <v>-3.7842449370116382E-2</v>
      </c>
      <c r="Q198" s="54" t="b">
        <f>IF(G198&gt;C198, TRUE, FALSE)</f>
        <v>0</v>
      </c>
      <c r="R198" s="51">
        <f>IF(Q198=TRUE,G198-C198,0)</f>
        <v>0</v>
      </c>
      <c r="S198" s="51">
        <f>IF(Q198=TRUE,0,C198-G198)</f>
        <v>237.30999999999995</v>
      </c>
      <c r="T198" s="48">
        <f>IF(J198&lt;I198,1,0)+IF(K198&lt;J198,1,0)+IF(L198&lt;K198,1,0)+IF(M198&lt;L198,1,0)</f>
        <v>3</v>
      </c>
      <c r="U198" s="43">
        <v>33.700000000000003</v>
      </c>
      <c r="V198" s="30" t="s">
        <v>247</v>
      </c>
      <c r="W198" s="38" t="s">
        <v>247</v>
      </c>
      <c r="X198" s="38">
        <f>D198-C198</f>
        <v>-183.90999999999985</v>
      </c>
      <c r="Y198" s="38">
        <f>E198-D198</f>
        <v>-62.800000000000182</v>
      </c>
      <c r="Z198" s="38">
        <f>F198-E198</f>
        <v>25.200000000000273</v>
      </c>
      <c r="AA198" s="38">
        <f>G198-F198</f>
        <v>-15.800000000000182</v>
      </c>
      <c r="AB198" s="38">
        <f>FORESTS[[#This Row],[Column7]]+FORESTS[[#This Row],[Column8]]</f>
        <v>9.4000000000000909</v>
      </c>
      <c r="AD198" s="63">
        <f>(D198-C198)/10</f>
        <v>-18.390999999999984</v>
      </c>
      <c r="AE198" s="63">
        <f>(E198-D198)/10</f>
        <v>-6.280000000000018</v>
      </c>
      <c r="AF198" s="63">
        <f>(F198-E198)/5</f>
        <v>5.0400000000000542</v>
      </c>
      <c r="AG198" s="63">
        <f>(G198-F198)/5</f>
        <v>-3.1600000000000366</v>
      </c>
    </row>
    <row r="199" spans="1:33" x14ac:dyDescent="0.2">
      <c r="A199" s="28">
        <v>324</v>
      </c>
      <c r="B199" s="28" t="s">
        <v>69</v>
      </c>
      <c r="C199" s="46">
        <v>7276</v>
      </c>
      <c r="D199" s="46">
        <v>6929</v>
      </c>
      <c r="E199" s="46">
        <v>6569</v>
      </c>
      <c r="F199" s="46">
        <v>6389</v>
      </c>
      <c r="G199" s="46">
        <v>6189</v>
      </c>
      <c r="H199" s="46">
        <v>24572</v>
      </c>
      <c r="I199" s="54">
        <f>C199/$H199</f>
        <v>0.29610939280481852</v>
      </c>
      <c r="J199" s="54">
        <f>D199/$H199</f>
        <v>0.28198762819469314</v>
      </c>
      <c r="K199" s="54">
        <f>E199/$H199</f>
        <v>0.26733680612078786</v>
      </c>
      <c r="L199" s="54">
        <f>F199/$H199</f>
        <v>0.26001139508383525</v>
      </c>
      <c r="M199" s="54">
        <f>G199/$H199</f>
        <v>0.25187204948722125</v>
      </c>
      <c r="N199" s="51">
        <f>FORESTS[[#This Row],[Area_2020]]-FORESTS[[#This Row],[Area_1990]]</f>
        <v>-1087</v>
      </c>
      <c r="O199" s="51">
        <f>ABS(FORESTS[[#This Row],[Area_Delta]])</f>
        <v>1087</v>
      </c>
      <c r="P199" s="104">
        <f>FORESTS[[#This Row],[Area_2020_%]]-FORESTS[[#This Row],[Area_1990_%]]</f>
        <v>-4.4237343317597266E-2</v>
      </c>
      <c r="Q199" s="54" t="b">
        <f>IF(G199&gt;C199, TRUE, FALSE)</f>
        <v>0</v>
      </c>
      <c r="R199" s="51">
        <f>IF(Q199=TRUE,G199-C199,0)</f>
        <v>0</v>
      </c>
      <c r="S199" s="51">
        <f>IF(Q199=TRUE,0,C199-G199)</f>
        <v>1087</v>
      </c>
      <c r="T199" s="48">
        <f>IF(J199&lt;I199,1,0)+IF(K199&lt;J199,1,0)+IF(L199&lt;K199,1,0)+IF(M199&lt;L199,1,0)</f>
        <v>4</v>
      </c>
      <c r="U199" s="43">
        <v>25.19</v>
      </c>
      <c r="V199" s="30" t="s">
        <v>247</v>
      </c>
      <c r="W199" s="38" t="s">
        <v>247</v>
      </c>
      <c r="X199" s="38">
        <f>D199-C199</f>
        <v>-347</v>
      </c>
      <c r="Y199" s="38">
        <f>E199-D199</f>
        <v>-360</v>
      </c>
      <c r="Z199" s="38">
        <f>F199-E199</f>
        <v>-180</v>
      </c>
      <c r="AA199" s="38">
        <f>G199-F199</f>
        <v>-200</v>
      </c>
      <c r="AB199" s="38">
        <f>FORESTS[[#This Row],[Column7]]+FORESTS[[#This Row],[Column8]]</f>
        <v>-380</v>
      </c>
      <c r="AD199" s="63">
        <f>(D199-C199)/10</f>
        <v>-34.700000000000003</v>
      </c>
      <c r="AE199" s="63">
        <f>(E199-D199)/10</f>
        <v>-36</v>
      </c>
      <c r="AF199" s="63">
        <f>(F199-E199)/5</f>
        <v>-36</v>
      </c>
      <c r="AG199" s="63">
        <f>(G199-F199)/5</f>
        <v>-40</v>
      </c>
    </row>
    <row r="200" spans="1:33" x14ac:dyDescent="0.2">
      <c r="A200" s="28">
        <v>28</v>
      </c>
      <c r="B200" s="28" t="s">
        <v>204</v>
      </c>
      <c r="C200" s="46">
        <v>10.11</v>
      </c>
      <c r="D200" s="46">
        <v>9.4499999999999993</v>
      </c>
      <c r="E200" s="46">
        <v>8.7799999999999994</v>
      </c>
      <c r="F200" s="46">
        <v>8.4499999999999993</v>
      </c>
      <c r="G200" s="46">
        <v>8.1199999999999992</v>
      </c>
      <c r="H200" s="46">
        <v>44</v>
      </c>
      <c r="I200" s="54">
        <f>C200/$H200</f>
        <v>0.22977272727272727</v>
      </c>
      <c r="J200" s="54">
        <f>D200/$H200</f>
        <v>0.21477272727272725</v>
      </c>
      <c r="K200" s="54">
        <f>E200/$H200</f>
        <v>0.19954545454545453</v>
      </c>
      <c r="L200" s="54">
        <f>F200/$H200</f>
        <v>0.19204545454545452</v>
      </c>
      <c r="M200" s="54">
        <f>G200/$H200</f>
        <v>0.18454545454545454</v>
      </c>
      <c r="N200" s="51">
        <f>FORESTS[[#This Row],[Area_2020]]-FORESTS[[#This Row],[Area_1990]]</f>
        <v>-1.9900000000000002</v>
      </c>
      <c r="O200" s="51">
        <f>ABS(FORESTS[[#This Row],[Area_Delta]])</f>
        <v>1.9900000000000002</v>
      </c>
      <c r="P200" s="104">
        <f>FORESTS[[#This Row],[Area_2020_%]]-FORESTS[[#This Row],[Area_1990_%]]</f>
        <v>-4.5227272727272727E-2</v>
      </c>
      <c r="Q200" s="54" t="b">
        <f>IF(G200&gt;C200, TRUE, FALSE)</f>
        <v>0</v>
      </c>
      <c r="R200" s="51">
        <f>IF(Q200=TRUE,G200-C200,0)</f>
        <v>0</v>
      </c>
      <c r="S200" s="51">
        <f>IF(Q200=TRUE,0,C200-G200)</f>
        <v>1.9900000000000002</v>
      </c>
      <c r="T200" s="48">
        <f>IF(J200&lt;I200,1,0)+IF(K200&lt;J200,1,0)+IF(L200&lt;K200,1,0)+IF(M200&lt;L200,1,0)</f>
        <v>4</v>
      </c>
      <c r="U200" s="48">
        <v>18.45</v>
      </c>
      <c r="V200" s="30" t="s">
        <v>247</v>
      </c>
      <c r="W200" s="30" t="s">
        <v>247</v>
      </c>
      <c r="X200" s="38">
        <f>D200-C200</f>
        <v>-0.66000000000000014</v>
      </c>
      <c r="Y200" s="38">
        <f>E200-D200</f>
        <v>-0.66999999999999993</v>
      </c>
      <c r="Z200" s="38">
        <f>F200-E200</f>
        <v>-0.33000000000000007</v>
      </c>
      <c r="AA200" s="38">
        <f>G200-F200</f>
        <v>-0.33000000000000007</v>
      </c>
      <c r="AB200" s="38">
        <f>FORESTS[[#This Row],[Column7]]+FORESTS[[#This Row],[Column8]]</f>
        <v>-0.66000000000000014</v>
      </c>
      <c r="AD200" s="63">
        <f>(D200-C200)/10</f>
        <v>-6.6000000000000017E-2</v>
      </c>
      <c r="AE200" s="63">
        <f>(E200-D200)/10</f>
        <v>-6.699999999999999E-2</v>
      </c>
      <c r="AF200" s="63">
        <f>(F200-E200)/5</f>
        <v>-6.6000000000000017E-2</v>
      </c>
      <c r="AG200" s="63">
        <f>(G200-F200)/5</f>
        <v>-6.6000000000000017E-2</v>
      </c>
    </row>
    <row r="201" spans="1:33" x14ac:dyDescent="0.2">
      <c r="A201" s="28">
        <v>120</v>
      </c>
      <c r="B201" s="28" t="s">
        <v>27</v>
      </c>
      <c r="C201" s="46">
        <v>22500</v>
      </c>
      <c r="D201" s="46">
        <v>21597.49</v>
      </c>
      <c r="E201" s="46">
        <v>20900.48</v>
      </c>
      <c r="F201" s="46">
        <v>20620.48</v>
      </c>
      <c r="G201" s="46">
        <v>20340.48</v>
      </c>
      <c r="H201" s="46">
        <v>47271</v>
      </c>
      <c r="I201" s="54">
        <f>C201/$H201</f>
        <v>0.47597892999936536</v>
      </c>
      <c r="J201" s="54">
        <f>D201/$H201</f>
        <v>0.45688667470542194</v>
      </c>
      <c r="K201" s="54">
        <f>E201/$H201</f>
        <v>0.44214169363880601</v>
      </c>
      <c r="L201" s="54">
        <f>F201/$H201</f>
        <v>0.43621840028770281</v>
      </c>
      <c r="M201" s="54">
        <f>G201/$H201</f>
        <v>0.43029510693659961</v>
      </c>
      <c r="N201" s="51">
        <f>FORESTS[[#This Row],[Area_2020]]-FORESTS[[#This Row],[Area_1990]]</f>
        <v>-2159.5200000000004</v>
      </c>
      <c r="O201" s="51">
        <f>ABS(FORESTS[[#This Row],[Area_Delta]])</f>
        <v>2159.5200000000004</v>
      </c>
      <c r="P201" s="104">
        <f>FORESTS[[#This Row],[Area_2020_%]]-FORESTS[[#This Row],[Area_1990_%]]</f>
        <v>-4.5683823062765749E-2</v>
      </c>
      <c r="Q201" s="54" t="b">
        <f>IF(G201&gt;C201, TRUE, FALSE)</f>
        <v>0</v>
      </c>
      <c r="R201" s="51">
        <f>IF(Q201=TRUE,G201-C201,0)</f>
        <v>0</v>
      </c>
      <c r="S201" s="51">
        <f>IF(Q201=TRUE,0,C201-G201)</f>
        <v>2159.5200000000004</v>
      </c>
      <c r="T201" s="62">
        <f>IF(J201&lt;I201,1,0)+IF(K201&lt;J201,1,0)+IF(L201&lt;K201,1,0)+IF(M201&lt;L201,1,0)</f>
        <v>4</v>
      </c>
      <c r="U201" s="43">
        <v>43.03</v>
      </c>
      <c r="V201" s="30">
        <v>58</v>
      </c>
      <c r="W201" s="38" t="s">
        <v>247</v>
      </c>
      <c r="X201" s="38">
        <f>D201-C201</f>
        <v>-902.5099999999984</v>
      </c>
      <c r="Y201" s="38">
        <f>E201-D201</f>
        <v>-697.01000000000204</v>
      </c>
      <c r="Z201" s="38">
        <f>F201-E201</f>
        <v>-280</v>
      </c>
      <c r="AA201" s="38">
        <f>G201-F201</f>
        <v>-280</v>
      </c>
      <c r="AB201" s="38">
        <f>FORESTS[[#This Row],[Column7]]+FORESTS[[#This Row],[Column8]]</f>
        <v>-560</v>
      </c>
      <c r="AD201" s="63">
        <f>(D201-C201)/10</f>
        <v>-90.250999999999834</v>
      </c>
      <c r="AE201" s="63">
        <f>(E201-D201)/10</f>
        <v>-69.701000000000207</v>
      </c>
      <c r="AF201" s="63">
        <f>(F201-E201)/5</f>
        <v>-56</v>
      </c>
      <c r="AG201" s="63">
        <f>(G201-F201)/5</f>
        <v>-56</v>
      </c>
    </row>
    <row r="202" spans="1:33" x14ac:dyDescent="0.2">
      <c r="A202" s="28">
        <v>458</v>
      </c>
      <c r="B202" s="28" t="s">
        <v>98</v>
      </c>
      <c r="C202" s="38">
        <v>20618.5</v>
      </c>
      <c r="D202" s="38">
        <v>19691.349999999999</v>
      </c>
      <c r="E202" s="38">
        <v>18947.650000000001</v>
      </c>
      <c r="F202" s="38">
        <v>19464.22</v>
      </c>
      <c r="G202" s="38">
        <v>19114.04</v>
      </c>
      <c r="H202" s="38">
        <v>32855</v>
      </c>
      <c r="I202" s="54">
        <f>C202/$H202</f>
        <v>0.62756049307563533</v>
      </c>
      <c r="J202" s="54">
        <f>D202/$H202</f>
        <v>0.5993410439811292</v>
      </c>
      <c r="K202" s="54">
        <f>E202/$H202</f>
        <v>0.57670521990564605</v>
      </c>
      <c r="L202" s="54">
        <f>F202/$H202</f>
        <v>0.59242794095267082</v>
      </c>
      <c r="M202" s="54">
        <f>G202/$H202</f>
        <v>0.58176959366915237</v>
      </c>
      <c r="N202" s="51">
        <f>FORESTS[[#This Row],[Area_2020]]-FORESTS[[#This Row],[Area_1990]]</f>
        <v>-1504.4599999999991</v>
      </c>
      <c r="O202" s="51">
        <f>ABS(FORESTS[[#This Row],[Area_Delta]])</f>
        <v>1504.4599999999991</v>
      </c>
      <c r="P202" s="104">
        <f>FORESTS[[#This Row],[Area_2020_%]]-FORESTS[[#This Row],[Area_1990_%]]</f>
        <v>-4.5790899406482954E-2</v>
      </c>
      <c r="Q202" s="54" t="b">
        <f>IF(G202&gt;C202, TRUE, FALSE)</f>
        <v>0</v>
      </c>
      <c r="R202" s="51">
        <f>IF(Q202=TRUE,G202-C202,0)</f>
        <v>0</v>
      </c>
      <c r="S202" s="51">
        <f>IF(Q202=TRUE,0,C202-G202)</f>
        <v>1504.4599999999991</v>
      </c>
      <c r="T202" s="62">
        <f>IF(J202&lt;I202,1,0)+IF(K202&lt;J202,1,0)+IF(L202&lt;K202,1,0)+IF(M202&lt;L202,1,0)</f>
        <v>3</v>
      </c>
      <c r="U202" s="43">
        <v>58.18</v>
      </c>
      <c r="V202" s="30" t="s">
        <v>247</v>
      </c>
      <c r="W202" s="38">
        <v>0.89</v>
      </c>
      <c r="X202" s="38">
        <f>D202-C202</f>
        <v>-927.15000000000146</v>
      </c>
      <c r="Y202" s="38">
        <f>E202-D202</f>
        <v>-743.69999999999709</v>
      </c>
      <c r="Z202" s="38">
        <f>F202-E202</f>
        <v>516.56999999999971</v>
      </c>
      <c r="AA202" s="38">
        <f>G202-F202</f>
        <v>-350.18000000000029</v>
      </c>
      <c r="AB202" s="38">
        <f>FORESTS[[#This Row],[Column7]]+FORESTS[[#This Row],[Column8]]</f>
        <v>166.38999999999942</v>
      </c>
      <c r="AD202" s="63">
        <f>(D202-C202)/10</f>
        <v>-92.715000000000146</v>
      </c>
      <c r="AE202" s="63">
        <f>(E202-D202)/10</f>
        <v>-74.369999999999706</v>
      </c>
      <c r="AF202" s="63">
        <f>(F202-E202)/5</f>
        <v>103.31399999999994</v>
      </c>
      <c r="AG202" s="63">
        <f>(G202-F202)/5</f>
        <v>-70.036000000000058</v>
      </c>
    </row>
    <row r="203" spans="1:33" x14ac:dyDescent="0.2">
      <c r="A203" s="28">
        <v>16</v>
      </c>
      <c r="B203" s="28" t="s">
        <v>2</v>
      </c>
      <c r="C203" s="46">
        <v>18.07</v>
      </c>
      <c r="D203" s="46">
        <v>17.73</v>
      </c>
      <c r="E203" s="46">
        <v>17.43</v>
      </c>
      <c r="F203" s="46">
        <v>17.28</v>
      </c>
      <c r="G203" s="46">
        <v>17.13</v>
      </c>
      <c r="H203" s="46">
        <v>20</v>
      </c>
      <c r="I203" s="54">
        <f>C203/$H203</f>
        <v>0.90349999999999997</v>
      </c>
      <c r="J203" s="54">
        <f>D203/$H203</f>
        <v>0.88650000000000007</v>
      </c>
      <c r="K203" s="54">
        <f>E203/$H203</f>
        <v>0.87149999999999994</v>
      </c>
      <c r="L203" s="54">
        <f>F203/$H203</f>
        <v>0.8640000000000001</v>
      </c>
      <c r="M203" s="54">
        <f>G203/$H203</f>
        <v>0.85649999999999993</v>
      </c>
      <c r="N203" s="51">
        <f>FORESTS[[#This Row],[Area_2020]]-FORESTS[[#This Row],[Area_1990]]</f>
        <v>-0.94000000000000128</v>
      </c>
      <c r="O203" s="51">
        <f>ABS(FORESTS[[#This Row],[Area_Delta]])</f>
        <v>0.94000000000000128</v>
      </c>
      <c r="P203" s="104">
        <f>FORESTS[[#This Row],[Area_2020_%]]-FORESTS[[#This Row],[Area_1990_%]]</f>
        <v>-4.7000000000000042E-2</v>
      </c>
      <c r="Q203" s="54" t="b">
        <f>IF(G203&gt;C203, TRUE, FALSE)</f>
        <v>0</v>
      </c>
      <c r="R203" s="51">
        <f>IF(Q203=TRUE,G203-C203,0)</f>
        <v>0</v>
      </c>
      <c r="S203" s="51">
        <f>IF(Q203=TRUE,0,C203-G203)</f>
        <v>0.94000000000000128</v>
      </c>
      <c r="T203" s="48">
        <f>IF(J203&lt;I203,1,0)+IF(K203&lt;J203,1,0)+IF(L203&lt;K203,1,0)+IF(M203&lt;L203,1,0)</f>
        <v>4</v>
      </c>
      <c r="U203" s="48">
        <v>85.65</v>
      </c>
      <c r="V203" s="30" t="s">
        <v>247</v>
      </c>
      <c r="W203" s="30">
        <v>0</v>
      </c>
      <c r="X203" s="38">
        <f>D203-C203</f>
        <v>-0.33999999999999986</v>
      </c>
      <c r="Y203" s="38">
        <f>E203-D203</f>
        <v>-0.30000000000000071</v>
      </c>
      <c r="Z203" s="38">
        <f>F203-E203</f>
        <v>-0.14999999999999858</v>
      </c>
      <c r="AA203" s="38">
        <f>G203-F203</f>
        <v>-0.15000000000000213</v>
      </c>
      <c r="AB203" s="38">
        <f>FORESTS[[#This Row],[Column7]]+FORESTS[[#This Row],[Column8]]</f>
        <v>-0.30000000000000071</v>
      </c>
      <c r="AD203" s="63">
        <f>(D203-C203)/10</f>
        <v>-3.3999999999999989E-2</v>
      </c>
      <c r="AE203" s="63">
        <f>(E203-D203)/10</f>
        <v>-3.0000000000000072E-2</v>
      </c>
      <c r="AF203" s="63">
        <f>(F203-E203)/5</f>
        <v>-2.9999999999999714E-2</v>
      </c>
      <c r="AG203" s="63">
        <f>(G203-F203)/5</f>
        <v>-3.0000000000000426E-2</v>
      </c>
    </row>
    <row r="204" spans="1:33" x14ac:dyDescent="0.2">
      <c r="A204" s="28">
        <v>882</v>
      </c>
      <c r="B204" s="28" t="s">
        <v>142</v>
      </c>
      <c r="C204" s="46">
        <v>176.13</v>
      </c>
      <c r="D204" s="46">
        <v>171.31</v>
      </c>
      <c r="E204" s="46">
        <v>166.49</v>
      </c>
      <c r="F204" s="46">
        <v>164.07</v>
      </c>
      <c r="G204" s="46">
        <v>161.66999999999999</v>
      </c>
      <c r="H204" s="46">
        <v>283</v>
      </c>
      <c r="I204" s="54">
        <f>C204/$H204</f>
        <v>0.6223674911660777</v>
      </c>
      <c r="J204" s="54">
        <f>D204/$H204</f>
        <v>0.60533568904593638</v>
      </c>
      <c r="K204" s="54">
        <f>E204/$H204</f>
        <v>0.58830388692579505</v>
      </c>
      <c r="L204" s="54">
        <f>F204/$H204</f>
        <v>0.57975265017667843</v>
      </c>
      <c r="M204" s="54">
        <f>G204/$H204</f>
        <v>0.57127208480565361</v>
      </c>
      <c r="N204" s="51">
        <f>FORESTS[[#This Row],[Area_2020]]-FORESTS[[#This Row],[Area_1990]]</f>
        <v>-14.460000000000008</v>
      </c>
      <c r="O204" s="51">
        <f>ABS(FORESTS[[#This Row],[Area_Delta]])</f>
        <v>14.460000000000008</v>
      </c>
      <c r="P204" s="104">
        <f>FORESTS[[#This Row],[Area_2020_%]]-FORESTS[[#This Row],[Area_1990_%]]</f>
        <v>-5.1095406360424089E-2</v>
      </c>
      <c r="Q204" s="54" t="b">
        <f>IF(G204&gt;C204, TRUE, FALSE)</f>
        <v>0</v>
      </c>
      <c r="R204" s="51">
        <f>IF(Q204=TRUE,G204-C204,0)</f>
        <v>0</v>
      </c>
      <c r="S204" s="51">
        <f>IF(Q204=TRUE,0,C204-G204)</f>
        <v>14.460000000000008</v>
      </c>
      <c r="T204" s="48">
        <f>IF(J204&lt;I204,1,0)+IF(K204&lt;J204,1,0)+IF(L204&lt;K204,1,0)+IF(M204&lt;L204,1,0)</f>
        <v>4</v>
      </c>
      <c r="U204" s="48">
        <v>57.13</v>
      </c>
      <c r="V204" s="30" t="s">
        <v>247</v>
      </c>
      <c r="W204" s="30" t="s">
        <v>247</v>
      </c>
      <c r="X204" s="38">
        <f>D204-C204</f>
        <v>-4.8199999999999932</v>
      </c>
      <c r="Y204" s="38">
        <f>E204-D204</f>
        <v>-4.8199999999999932</v>
      </c>
      <c r="Z204" s="38">
        <f>F204-E204</f>
        <v>-2.4200000000000159</v>
      </c>
      <c r="AA204" s="38">
        <f>G204-F204</f>
        <v>-2.4000000000000057</v>
      </c>
      <c r="AB204" s="38">
        <f>FORESTS[[#This Row],[Column7]]+FORESTS[[#This Row],[Column8]]</f>
        <v>-4.8200000000000216</v>
      </c>
      <c r="AD204" s="63">
        <f>(D204-C204)/10</f>
        <v>-0.48199999999999932</v>
      </c>
      <c r="AE204" s="63">
        <f>(E204-D204)/10</f>
        <v>-0.48199999999999932</v>
      </c>
      <c r="AF204" s="63">
        <f>(F204-E204)/5</f>
        <v>-0.48400000000000321</v>
      </c>
      <c r="AG204" s="63">
        <f>(G204-F204)/5</f>
        <v>-0.48000000000000115</v>
      </c>
    </row>
    <row r="205" spans="1:33" x14ac:dyDescent="0.2">
      <c r="A205" s="28">
        <v>170</v>
      </c>
      <c r="B205" s="28" t="s">
        <v>33</v>
      </c>
      <c r="C205" s="46">
        <v>64958.14</v>
      </c>
      <c r="D205" s="46">
        <v>62735.5</v>
      </c>
      <c r="E205" s="46">
        <v>60807.79</v>
      </c>
      <c r="F205" s="46">
        <v>60134.66</v>
      </c>
      <c r="G205" s="46">
        <v>59141.91</v>
      </c>
      <c r="H205" s="46">
        <v>110950</v>
      </c>
      <c r="I205" s="54">
        <f>C205/$H205</f>
        <v>0.58547219468228928</v>
      </c>
      <c r="J205" s="54">
        <f>D205/$H205</f>
        <v>0.56543938711131136</v>
      </c>
      <c r="K205" s="54">
        <f>E205/$H205</f>
        <v>0.5480648039657503</v>
      </c>
      <c r="L205" s="54">
        <f>F205/$H205</f>
        <v>0.54199783686345204</v>
      </c>
      <c r="M205" s="54">
        <f>G205/$H205</f>
        <v>0.53305011266336189</v>
      </c>
      <c r="N205" s="51">
        <f>FORESTS[[#This Row],[Area_2020]]-FORESTS[[#This Row],[Area_1990]]</f>
        <v>-5816.2299999999959</v>
      </c>
      <c r="O205" s="51">
        <f>ABS(FORESTS[[#This Row],[Area_Delta]])</f>
        <v>5816.2299999999959</v>
      </c>
      <c r="P205" s="104">
        <f>FORESTS[[#This Row],[Area_2020_%]]-FORESTS[[#This Row],[Area_1990_%]]</f>
        <v>-5.2422082018927396E-2</v>
      </c>
      <c r="Q205" s="48" t="b">
        <f>IF(G205&gt;C205, TRUE, FALSE)</f>
        <v>0</v>
      </c>
      <c r="R205" s="51">
        <f>IF(Q205=TRUE,G205-C205,0)</f>
        <v>0</v>
      </c>
      <c r="S205" s="51">
        <f>IF(Q205=TRUE,0,C205-G205)</f>
        <v>5816.2299999999959</v>
      </c>
      <c r="T205" s="62">
        <f>IF(J205&lt;I205,1,0)+IF(K205&lt;J205,1,0)+IF(L205&lt;K205,1,0)+IF(M205&lt;L205,1,0)</f>
        <v>4</v>
      </c>
      <c r="U205" s="43">
        <v>53.31</v>
      </c>
      <c r="V205" s="30">
        <v>199.23</v>
      </c>
      <c r="W205" s="38" t="s">
        <v>247</v>
      </c>
      <c r="X205" s="38">
        <f>D205-C205</f>
        <v>-2222.6399999999994</v>
      </c>
      <c r="Y205" s="38">
        <f>E205-D205</f>
        <v>-1927.7099999999991</v>
      </c>
      <c r="Z205" s="38">
        <f>F205-E205</f>
        <v>-673.12999999999738</v>
      </c>
      <c r="AA205" s="38">
        <f>G205-F205</f>
        <v>-992.75</v>
      </c>
      <c r="AB205" s="38">
        <f>FORESTS[[#This Row],[Column7]]+FORESTS[[#This Row],[Column8]]</f>
        <v>-1665.8799999999974</v>
      </c>
      <c r="AD205" s="63">
        <f>(D205-C205)/10</f>
        <v>-222.26399999999995</v>
      </c>
      <c r="AE205" s="63">
        <f>(E205-D205)/10</f>
        <v>-192.7709999999999</v>
      </c>
      <c r="AF205" s="63">
        <f>(F205-E205)/5</f>
        <v>-134.62599999999946</v>
      </c>
      <c r="AG205" s="63">
        <f>(G205-F205)/5</f>
        <v>-198.55</v>
      </c>
    </row>
    <row r="206" spans="1:33" x14ac:dyDescent="0.2">
      <c r="A206" s="28">
        <v>591</v>
      </c>
      <c r="B206" s="28" t="s">
        <v>127</v>
      </c>
      <c r="C206" s="46">
        <v>4607.3999999999996</v>
      </c>
      <c r="D206" s="46">
        <v>4442.1400000000003</v>
      </c>
      <c r="E206" s="46">
        <v>4327.99</v>
      </c>
      <c r="F206" s="46">
        <v>4270.91</v>
      </c>
      <c r="G206" s="46">
        <v>4213.84</v>
      </c>
      <c r="H206" s="46">
        <v>7434</v>
      </c>
      <c r="I206" s="54">
        <f>C206/$H206</f>
        <v>0.61977401129943499</v>
      </c>
      <c r="J206" s="54">
        <f>D206/$H206</f>
        <v>0.59754371805219264</v>
      </c>
      <c r="K206" s="54">
        <f>E206/$H206</f>
        <v>0.58218859295130476</v>
      </c>
      <c r="L206" s="54">
        <f>F206/$H206</f>
        <v>0.57451035781544257</v>
      </c>
      <c r="M206" s="54">
        <f>G206/$H206</f>
        <v>0.56683346785041699</v>
      </c>
      <c r="N206" s="51">
        <f>FORESTS[[#This Row],[Area_2020]]-FORESTS[[#This Row],[Area_1990]]</f>
        <v>-393.55999999999949</v>
      </c>
      <c r="O206" s="51">
        <f>ABS(FORESTS[[#This Row],[Area_Delta]])</f>
        <v>393.55999999999949</v>
      </c>
      <c r="P206" s="104">
        <f>FORESTS[[#This Row],[Area_2020_%]]-FORESTS[[#This Row],[Area_1990_%]]</f>
        <v>-5.2940543449017996E-2</v>
      </c>
      <c r="Q206" s="54" t="b">
        <f>IF(G206&gt;C206, TRUE, FALSE)</f>
        <v>0</v>
      </c>
      <c r="R206" s="51">
        <f>IF(Q206=TRUE,G206-C206,0)</f>
        <v>0</v>
      </c>
      <c r="S206" s="51">
        <f>IF(Q206=TRUE,0,C206-G206)</f>
        <v>393.55999999999949</v>
      </c>
      <c r="T206" s="48">
        <f>IF(J206&lt;I206,1,0)+IF(K206&lt;J206,1,0)+IF(L206&lt;K206,1,0)+IF(M206&lt;L206,1,0)</f>
        <v>4</v>
      </c>
      <c r="U206" s="43">
        <v>56.68</v>
      </c>
      <c r="V206" s="30">
        <v>12.49</v>
      </c>
      <c r="W206" s="38">
        <v>2.02</v>
      </c>
      <c r="X206" s="38">
        <f>D206-C206</f>
        <v>-165.25999999999931</v>
      </c>
      <c r="Y206" s="38">
        <f>E206-D206</f>
        <v>-114.15000000000055</v>
      </c>
      <c r="Z206" s="38">
        <f>F206-E206</f>
        <v>-57.079999999999927</v>
      </c>
      <c r="AA206" s="38">
        <f>G206-F206</f>
        <v>-57.069999999999709</v>
      </c>
      <c r="AB206" s="38">
        <f>FORESTS[[#This Row],[Column7]]+FORESTS[[#This Row],[Column8]]</f>
        <v>-114.14999999999964</v>
      </c>
      <c r="AD206" s="63">
        <f>(D206-C206)/10</f>
        <v>-16.525999999999932</v>
      </c>
      <c r="AE206" s="63">
        <f>(E206-D206)/10</f>
        <v>-11.415000000000054</v>
      </c>
      <c r="AF206" s="63">
        <f>(F206-E206)/5</f>
        <v>-11.415999999999986</v>
      </c>
      <c r="AG206" s="63">
        <f>(G206-F206)/5</f>
        <v>-11.413999999999941</v>
      </c>
    </row>
    <row r="207" spans="1:33" x14ac:dyDescent="0.2">
      <c r="A207" s="28">
        <v>566</v>
      </c>
      <c r="B207" s="28" t="s">
        <v>120</v>
      </c>
      <c r="C207" s="46">
        <v>26526.09</v>
      </c>
      <c r="D207" s="46">
        <v>24893.040000000001</v>
      </c>
      <c r="E207" s="46">
        <v>23259.98</v>
      </c>
      <c r="F207" s="46">
        <v>22443.45</v>
      </c>
      <c r="G207" s="46">
        <v>21626.95</v>
      </c>
      <c r="H207" s="46">
        <v>91077</v>
      </c>
      <c r="I207" s="54">
        <f>C207/$H207</f>
        <v>0.29124905299911064</v>
      </c>
      <c r="J207" s="54">
        <f>D207/$H207</f>
        <v>0.27331862050792188</v>
      </c>
      <c r="K207" s="54">
        <f>E207/$H207</f>
        <v>0.25538807821952852</v>
      </c>
      <c r="L207" s="54">
        <f>F207/$H207</f>
        <v>0.24642280707533187</v>
      </c>
      <c r="M207" s="54">
        <f>G207/$H207</f>
        <v>0.2374578653227489</v>
      </c>
      <c r="N207" s="51">
        <f>FORESTS[[#This Row],[Area_2020]]-FORESTS[[#This Row],[Area_1990]]</f>
        <v>-4899.1399999999994</v>
      </c>
      <c r="O207" s="51">
        <f>ABS(FORESTS[[#This Row],[Area_Delta]])</f>
        <v>4899.1399999999994</v>
      </c>
      <c r="P207" s="104">
        <f>FORESTS[[#This Row],[Area_2020_%]]-FORESTS[[#This Row],[Area_1990_%]]</f>
        <v>-5.3791187676361735E-2</v>
      </c>
      <c r="Q207" s="54" t="b">
        <f>IF(G207&gt;C207, TRUE, FALSE)</f>
        <v>0</v>
      </c>
      <c r="R207" s="51">
        <f>IF(Q207=TRUE,G207-C207,0)</f>
        <v>0</v>
      </c>
      <c r="S207" s="51">
        <f>IF(Q207=TRUE,0,C207-G207)</f>
        <v>4899.1399999999994</v>
      </c>
      <c r="T207" s="62">
        <f>IF(J207&lt;I207,1,0)+IF(K207&lt;J207,1,0)+IF(L207&lt;K207,1,0)+IF(M207&lt;L207,1,0)</f>
        <v>4</v>
      </c>
      <c r="U207" s="43">
        <v>23.75</v>
      </c>
      <c r="V207" s="30">
        <v>163.31</v>
      </c>
      <c r="W207" s="38">
        <v>12</v>
      </c>
      <c r="X207" s="38">
        <f>D207-C207</f>
        <v>-1633.0499999999993</v>
      </c>
      <c r="Y207" s="38">
        <f>E207-D207</f>
        <v>-1633.0600000000013</v>
      </c>
      <c r="Z207" s="38">
        <f>F207-E207</f>
        <v>-816.52999999999884</v>
      </c>
      <c r="AA207" s="38">
        <f>G207-F207</f>
        <v>-816.5</v>
      </c>
      <c r="AB207" s="38">
        <f>FORESTS[[#This Row],[Column7]]+FORESTS[[#This Row],[Column8]]</f>
        <v>-1633.0299999999988</v>
      </c>
      <c r="AD207" s="63">
        <f>(D207-C207)/10</f>
        <v>-163.30499999999992</v>
      </c>
      <c r="AE207" s="63">
        <f>(E207-D207)/10</f>
        <v>-163.30600000000013</v>
      </c>
      <c r="AF207" s="63">
        <f>(F207-E207)/5</f>
        <v>-163.30599999999976</v>
      </c>
      <c r="AG207" s="63">
        <f>(G207-F207)/5</f>
        <v>-163.30000000000001</v>
      </c>
    </row>
    <row r="208" spans="1:33" x14ac:dyDescent="0.2">
      <c r="A208" s="28">
        <v>418</v>
      </c>
      <c r="B208" s="28" t="s">
        <v>88</v>
      </c>
      <c r="C208" s="46">
        <v>17843</v>
      </c>
      <c r="D208" s="46">
        <v>17425</v>
      </c>
      <c r="E208" s="46">
        <v>16940.5</v>
      </c>
      <c r="F208" s="46">
        <v>16768</v>
      </c>
      <c r="G208" s="46">
        <v>16595.5</v>
      </c>
      <c r="H208" s="46">
        <v>23080</v>
      </c>
      <c r="I208" s="54">
        <f>C208/$H208</f>
        <v>0.77309358752166379</v>
      </c>
      <c r="J208" s="54">
        <f>D208/$H208</f>
        <v>0.75498266897746968</v>
      </c>
      <c r="K208" s="54">
        <f>E208/$H208</f>
        <v>0.73399046793760836</v>
      </c>
      <c r="L208" s="54">
        <f>F208/$H208</f>
        <v>0.72651646447140383</v>
      </c>
      <c r="M208" s="54">
        <f>G208/$H208</f>
        <v>0.71904246100519931</v>
      </c>
      <c r="N208" s="51">
        <f>FORESTS[[#This Row],[Area_2020]]-FORESTS[[#This Row],[Area_1990]]</f>
        <v>-1247.5</v>
      </c>
      <c r="O208" s="51">
        <f>ABS(FORESTS[[#This Row],[Area_Delta]])</f>
        <v>1247.5</v>
      </c>
      <c r="P208" s="104">
        <f>FORESTS[[#This Row],[Area_2020_%]]-FORESTS[[#This Row],[Area_1990_%]]</f>
        <v>-5.4051126516464487E-2</v>
      </c>
      <c r="Q208" s="54" t="b">
        <f>IF(G208&gt;C208, TRUE, FALSE)</f>
        <v>0</v>
      </c>
      <c r="R208" s="51">
        <f>IF(Q208=TRUE,G208-C208,0)</f>
        <v>0</v>
      </c>
      <c r="S208" s="51">
        <f>IF(Q208=TRUE,0,C208-G208)</f>
        <v>1247.5</v>
      </c>
      <c r="T208" s="62">
        <f>IF(J208&lt;I208,1,0)+IF(K208&lt;J208,1,0)+IF(L208&lt;K208,1,0)+IF(M208&lt;L208,1,0)</f>
        <v>4</v>
      </c>
      <c r="U208" s="43">
        <v>71.900000000000006</v>
      </c>
      <c r="V208" s="30" t="s">
        <v>247</v>
      </c>
      <c r="W208" s="38">
        <v>12.42</v>
      </c>
      <c r="X208" s="38">
        <f>D208-C208</f>
        <v>-418</v>
      </c>
      <c r="Y208" s="38">
        <f>E208-D208</f>
        <v>-484.5</v>
      </c>
      <c r="Z208" s="38">
        <f>F208-E208</f>
        <v>-172.5</v>
      </c>
      <c r="AA208" s="38">
        <f>G208-F208</f>
        <v>-172.5</v>
      </c>
      <c r="AB208" s="38">
        <f>FORESTS[[#This Row],[Column7]]+FORESTS[[#This Row],[Column8]]</f>
        <v>-345</v>
      </c>
      <c r="AD208" s="63">
        <f>(D208-C208)/10</f>
        <v>-41.8</v>
      </c>
      <c r="AE208" s="63">
        <f>(E208-D208)/10</f>
        <v>-48.45</v>
      </c>
      <c r="AF208" s="63">
        <f>(F208-E208)/5</f>
        <v>-34.5</v>
      </c>
      <c r="AG208" s="63">
        <f>(G208-F208)/5</f>
        <v>-34.5</v>
      </c>
    </row>
    <row r="209" spans="1:33" x14ac:dyDescent="0.2">
      <c r="A209" s="28">
        <v>854</v>
      </c>
      <c r="B209" s="28" t="s">
        <v>23</v>
      </c>
      <c r="C209" s="46">
        <v>7716.6</v>
      </c>
      <c r="D209" s="46">
        <v>7216.5</v>
      </c>
      <c r="E209" s="46">
        <v>6716.5</v>
      </c>
      <c r="F209" s="46">
        <v>6466.4</v>
      </c>
      <c r="G209" s="46">
        <v>6216.4</v>
      </c>
      <c r="H209" s="46">
        <v>27360</v>
      </c>
      <c r="I209" s="54">
        <f>C209/$H209</f>
        <v>0.28203947368421056</v>
      </c>
      <c r="J209" s="54">
        <f>D209/$H209</f>
        <v>0.26376096491228068</v>
      </c>
      <c r="K209" s="54">
        <f>E209/$H209</f>
        <v>0.2454861111111111</v>
      </c>
      <c r="L209" s="54">
        <f>F209/$H209</f>
        <v>0.23634502923976608</v>
      </c>
      <c r="M209" s="54">
        <f>G209/$H209</f>
        <v>0.22720760233918127</v>
      </c>
      <c r="N209" s="51">
        <f>FORESTS[[#This Row],[Area_2020]]-FORESTS[[#This Row],[Area_1990]]</f>
        <v>-1500.2000000000007</v>
      </c>
      <c r="O209" s="51">
        <f>ABS(FORESTS[[#This Row],[Area_Delta]])</f>
        <v>1500.2000000000007</v>
      </c>
      <c r="P209" s="104">
        <f>FORESTS[[#This Row],[Area_2020_%]]-FORESTS[[#This Row],[Area_1990_%]]</f>
        <v>-5.4831871345029287E-2</v>
      </c>
      <c r="Q209" s="54" t="b">
        <f>IF(G209&gt;C209, TRUE, FALSE)</f>
        <v>0</v>
      </c>
      <c r="R209" s="51">
        <f>IF(Q209=TRUE,G209-C209,0)</f>
        <v>0</v>
      </c>
      <c r="S209" s="51">
        <f>IF(Q209=TRUE,0,C209-G209)</f>
        <v>1500.2000000000007</v>
      </c>
      <c r="T209" s="48">
        <f>IF(J209&lt;I209,1,0)+IF(K209&lt;J209,1,0)+IF(L209&lt;K209,1,0)+IF(M209&lt;L209,1,0)</f>
        <v>4</v>
      </c>
      <c r="U209" s="43">
        <v>22.72</v>
      </c>
      <c r="V209" s="30" t="s">
        <v>247</v>
      </c>
      <c r="W209" s="38" t="s">
        <v>247</v>
      </c>
      <c r="X209" s="38">
        <f>D209-C209</f>
        <v>-500.10000000000036</v>
      </c>
      <c r="Y209" s="38">
        <f>E209-D209</f>
        <v>-500</v>
      </c>
      <c r="Z209" s="38">
        <f>F209-E209</f>
        <v>-250.10000000000036</v>
      </c>
      <c r="AA209" s="38">
        <f>G209-F209</f>
        <v>-250</v>
      </c>
      <c r="AB209" s="38">
        <f>FORESTS[[#This Row],[Column7]]+FORESTS[[#This Row],[Column8]]</f>
        <v>-500.10000000000036</v>
      </c>
      <c r="AD209" s="63">
        <f>(D209-C209)/10</f>
        <v>-50.010000000000034</v>
      </c>
      <c r="AE209" s="63">
        <f>(E209-D209)/10</f>
        <v>-50</v>
      </c>
      <c r="AF209" s="63">
        <f>(F209-E209)/5</f>
        <v>-50.020000000000074</v>
      </c>
      <c r="AG209" s="63">
        <f>(G209-F209)/5</f>
        <v>-50</v>
      </c>
    </row>
    <row r="210" spans="1:33" x14ac:dyDescent="0.2">
      <c r="A210" s="28">
        <v>340</v>
      </c>
      <c r="B210" s="28" t="s">
        <v>72</v>
      </c>
      <c r="C210" s="46">
        <v>6987.78</v>
      </c>
      <c r="D210" s="46">
        <v>6778.27</v>
      </c>
      <c r="E210" s="46">
        <v>6575.47</v>
      </c>
      <c r="F210" s="46">
        <v>6463.83</v>
      </c>
      <c r="G210" s="46">
        <v>6359.26</v>
      </c>
      <c r="H210" s="46">
        <v>11189</v>
      </c>
      <c r="I210" s="54">
        <f>C210/$H210</f>
        <v>0.62452229868620968</v>
      </c>
      <c r="J210" s="54">
        <f>D210/$H210</f>
        <v>0.60579765841451427</v>
      </c>
      <c r="K210" s="54">
        <f>E210/$H210</f>
        <v>0.58767271427294665</v>
      </c>
      <c r="L210" s="54">
        <f>F210/$H210</f>
        <v>0.57769505764590223</v>
      </c>
      <c r="M210" s="54">
        <f>G210/$H210</f>
        <v>0.56834927160604165</v>
      </c>
      <c r="N210" s="51">
        <f>FORESTS[[#This Row],[Area_2020]]-FORESTS[[#This Row],[Area_1990]]</f>
        <v>-628.51999999999953</v>
      </c>
      <c r="O210" s="51">
        <f>ABS(FORESTS[[#This Row],[Area_Delta]])</f>
        <v>628.51999999999953</v>
      </c>
      <c r="P210" s="104">
        <f>FORESTS[[#This Row],[Area_2020_%]]-FORESTS[[#This Row],[Area_1990_%]]</f>
        <v>-5.6173027080168025E-2</v>
      </c>
      <c r="Q210" s="54" t="b">
        <f>IF(G210&gt;C210, TRUE, FALSE)</f>
        <v>0</v>
      </c>
      <c r="R210" s="51">
        <f>IF(Q210=TRUE,G210-C210,0)</f>
        <v>0</v>
      </c>
      <c r="S210" s="51">
        <f>IF(Q210=TRUE,0,C210-G210)</f>
        <v>628.51999999999953</v>
      </c>
      <c r="T210" s="48">
        <f>IF(J210&lt;I210,1,0)+IF(K210&lt;J210,1,0)+IF(L210&lt;K210,1,0)+IF(M210&lt;L210,1,0)</f>
        <v>4</v>
      </c>
      <c r="U210" s="43">
        <v>56.83</v>
      </c>
      <c r="V210" s="30">
        <v>23.19</v>
      </c>
      <c r="W210" s="38" t="s">
        <v>247</v>
      </c>
      <c r="X210" s="38">
        <f>D210-C210</f>
        <v>-209.50999999999931</v>
      </c>
      <c r="Y210" s="38">
        <f>E210-D210</f>
        <v>-202.80000000000018</v>
      </c>
      <c r="Z210" s="38">
        <f>F210-E210</f>
        <v>-111.64000000000033</v>
      </c>
      <c r="AA210" s="38">
        <f>G210-F210</f>
        <v>-104.56999999999971</v>
      </c>
      <c r="AB210" s="38">
        <f>FORESTS[[#This Row],[Column7]]+FORESTS[[#This Row],[Column8]]</f>
        <v>-216.21000000000004</v>
      </c>
      <c r="AD210" s="63">
        <f>(D210-C210)/10</f>
        <v>-20.950999999999929</v>
      </c>
      <c r="AE210" s="63">
        <f>(E210-D210)/10</f>
        <v>-20.280000000000019</v>
      </c>
      <c r="AF210" s="63">
        <f>(F210-E210)/5</f>
        <v>-22.328000000000067</v>
      </c>
      <c r="AG210" s="63">
        <f>(G210-F210)/5</f>
        <v>-20.913999999999941</v>
      </c>
    </row>
    <row r="211" spans="1:33" x14ac:dyDescent="0.2">
      <c r="A211" s="28">
        <v>800</v>
      </c>
      <c r="B211" s="28" t="s">
        <v>172</v>
      </c>
      <c r="C211" s="46">
        <v>3575.47</v>
      </c>
      <c r="D211" s="46">
        <v>3162.95</v>
      </c>
      <c r="E211" s="46">
        <v>2750.42</v>
      </c>
      <c r="F211" s="46">
        <v>2544.16</v>
      </c>
      <c r="G211" s="46">
        <v>2337.9</v>
      </c>
      <c r="H211" s="46">
        <v>20052</v>
      </c>
      <c r="I211" s="54">
        <f>C211/$H211</f>
        <v>0.17830989427488528</v>
      </c>
      <c r="J211" s="54">
        <f>D211/$H211</f>
        <v>0.15773738280470775</v>
      </c>
      <c r="K211" s="54">
        <f>E211/$H211</f>
        <v>0.13716437263115899</v>
      </c>
      <c r="L211" s="54">
        <f>F211/$H211</f>
        <v>0.1268781168960702</v>
      </c>
      <c r="M211" s="54">
        <f>G211/$H211</f>
        <v>0.11659186116098146</v>
      </c>
      <c r="N211" s="51">
        <f>FORESTS[[#This Row],[Area_2020]]-FORESTS[[#This Row],[Area_1990]]</f>
        <v>-1237.5699999999997</v>
      </c>
      <c r="O211" s="51">
        <f>ABS(FORESTS[[#This Row],[Area_Delta]])</f>
        <v>1237.5699999999997</v>
      </c>
      <c r="P211" s="104">
        <f>FORESTS[[#This Row],[Area_2020_%]]-FORESTS[[#This Row],[Area_1990_%]]</f>
        <v>-6.1718033113903822E-2</v>
      </c>
      <c r="Q211" s="54" t="b">
        <f>IF(G211&gt;C211, TRUE, FALSE)</f>
        <v>0</v>
      </c>
      <c r="R211" s="51">
        <f>IF(Q211=TRUE,G211-C211,0)</f>
        <v>0</v>
      </c>
      <c r="S211" s="51">
        <f>IF(Q211=TRUE,0,C211-G211)</f>
        <v>1237.5699999999997</v>
      </c>
      <c r="T211" s="48">
        <f>IF(J211&lt;I211,1,0)+IF(K211&lt;J211,1,0)+IF(L211&lt;K211,1,0)+IF(M211&lt;L211,1,0)</f>
        <v>4</v>
      </c>
      <c r="U211" s="43">
        <v>11.66</v>
      </c>
      <c r="V211" s="30">
        <v>51.09</v>
      </c>
      <c r="W211" s="38" t="s">
        <v>247</v>
      </c>
      <c r="X211" s="38">
        <f>D211-C211</f>
        <v>-412.52</v>
      </c>
      <c r="Y211" s="38">
        <f>E211-D211</f>
        <v>-412.52999999999975</v>
      </c>
      <c r="Z211" s="38">
        <f>F211-E211</f>
        <v>-206.26000000000022</v>
      </c>
      <c r="AA211" s="38">
        <f>G211-F211</f>
        <v>-206.25999999999976</v>
      </c>
      <c r="AB211" s="38">
        <f>FORESTS[[#This Row],[Column7]]+FORESTS[[#This Row],[Column8]]</f>
        <v>-412.52</v>
      </c>
      <c r="AD211" s="63">
        <f>(D211-C211)/10</f>
        <v>-41.251999999999995</v>
      </c>
      <c r="AE211" s="63">
        <f>(E211-D211)/10</f>
        <v>-41.252999999999972</v>
      </c>
      <c r="AF211" s="63">
        <f>(F211-E211)/5</f>
        <v>-41.252000000000045</v>
      </c>
      <c r="AG211" s="63">
        <f>(G211-F211)/5</f>
        <v>-41.251999999999953</v>
      </c>
    </row>
    <row r="212" spans="1:33" x14ac:dyDescent="0.2">
      <c r="A212" s="28">
        <v>96</v>
      </c>
      <c r="B212" s="28" t="s">
        <v>21</v>
      </c>
      <c r="C212" s="30">
        <v>413</v>
      </c>
      <c r="D212" s="30">
        <v>397</v>
      </c>
      <c r="E212" s="30">
        <v>380</v>
      </c>
      <c r="F212" s="30">
        <v>380</v>
      </c>
      <c r="G212" s="30">
        <v>380</v>
      </c>
      <c r="H212" s="30">
        <v>527</v>
      </c>
      <c r="I212" s="54">
        <f>C212/$H212</f>
        <v>0.78368121442125238</v>
      </c>
      <c r="J212" s="54">
        <f>D212/$H212</f>
        <v>0.75332068311195444</v>
      </c>
      <c r="K212" s="54">
        <f>E212/$H212</f>
        <v>0.72106261859582543</v>
      </c>
      <c r="L212" s="54">
        <f>F212/$H212</f>
        <v>0.72106261859582543</v>
      </c>
      <c r="M212" s="54">
        <f>G212/$H212</f>
        <v>0.72106261859582543</v>
      </c>
      <c r="N212" s="51">
        <f>FORESTS[[#This Row],[Area_2020]]-FORESTS[[#This Row],[Area_1990]]</f>
        <v>-33</v>
      </c>
      <c r="O212" s="51">
        <f>ABS(FORESTS[[#This Row],[Area_Delta]])</f>
        <v>33</v>
      </c>
      <c r="P212" s="104">
        <f>FORESTS[[#This Row],[Area_2020_%]]-FORESTS[[#This Row],[Area_1990_%]]</f>
        <v>-6.2618595825426948E-2</v>
      </c>
      <c r="Q212" s="54" t="b">
        <f>IF(G212&gt;C212, TRUE, FALSE)</f>
        <v>0</v>
      </c>
      <c r="R212" s="51">
        <f>IF(Q212=TRUE,G212-C212,0)</f>
        <v>0</v>
      </c>
      <c r="S212" s="51">
        <f>IF(Q212=TRUE,0,C212-G212)</f>
        <v>33</v>
      </c>
      <c r="T212" s="48">
        <f>IF(J212&lt;I212,1,0)+IF(K212&lt;J212,1,0)+IF(L212&lt;K212,1,0)+IF(M212&lt;L212,1,0)</f>
        <v>2</v>
      </c>
      <c r="U212" s="48">
        <v>72.11</v>
      </c>
      <c r="V212" s="30" t="s">
        <v>247</v>
      </c>
      <c r="W212" s="30" t="s">
        <v>247</v>
      </c>
      <c r="X212" s="38">
        <f>D212-C212</f>
        <v>-16</v>
      </c>
      <c r="Y212" s="38">
        <f>E212-D212</f>
        <v>-17</v>
      </c>
      <c r="Z212" s="38">
        <f>F212-E212</f>
        <v>0</v>
      </c>
      <c r="AA212" s="38">
        <f>G212-F212</f>
        <v>0</v>
      </c>
      <c r="AB212" s="38">
        <f>FORESTS[[#This Row],[Column7]]+FORESTS[[#This Row],[Column8]]</f>
        <v>0</v>
      </c>
      <c r="AD212" s="63">
        <f>(D212-C212)/10</f>
        <v>-1.6</v>
      </c>
      <c r="AE212" s="63">
        <f>(E212-D212)/10</f>
        <v>-1.7</v>
      </c>
      <c r="AF212" s="63">
        <f>(F212-E212)/5</f>
        <v>0</v>
      </c>
      <c r="AG212" s="63">
        <f>(G212-F212)/5</f>
        <v>0</v>
      </c>
    </row>
    <row r="213" spans="1:33" x14ac:dyDescent="0.2">
      <c r="A213" s="28">
        <v>72</v>
      </c>
      <c r="B213" s="28" t="s">
        <v>19</v>
      </c>
      <c r="C213" s="46">
        <v>18803.7</v>
      </c>
      <c r="D213" s="46">
        <v>17620.7</v>
      </c>
      <c r="E213" s="46">
        <v>16437.7</v>
      </c>
      <c r="F213" s="46">
        <v>15846.2</v>
      </c>
      <c r="G213" s="46">
        <v>15254.7</v>
      </c>
      <c r="H213" s="46">
        <v>56673</v>
      </c>
      <c r="I213" s="54">
        <f>C213/$H213</f>
        <v>0.33179291726218835</v>
      </c>
      <c r="J213" s="54">
        <f>D213/$H213</f>
        <v>0.31091877966580206</v>
      </c>
      <c r="K213" s="54">
        <f>E213/$H213</f>
        <v>0.29004464206941577</v>
      </c>
      <c r="L213" s="54">
        <f>F213/$H213</f>
        <v>0.27960757327122265</v>
      </c>
      <c r="M213" s="54">
        <f>G213/$H213</f>
        <v>0.26917050447302948</v>
      </c>
      <c r="N213" s="51">
        <f>FORESTS[[#This Row],[Area_2020]]-FORESTS[[#This Row],[Area_1990]]</f>
        <v>-3549</v>
      </c>
      <c r="O213" s="51">
        <f>ABS(FORESTS[[#This Row],[Area_Delta]])</f>
        <v>3549</v>
      </c>
      <c r="P213" s="104">
        <f>FORESTS[[#This Row],[Area_2020_%]]-FORESTS[[#This Row],[Area_1990_%]]</f>
        <v>-6.2622412789158866E-2</v>
      </c>
      <c r="Q213" s="54" t="b">
        <f>IF(G213&gt;C213, TRUE, FALSE)</f>
        <v>0</v>
      </c>
      <c r="R213" s="51">
        <f>IF(Q213=TRUE,G213-C213,0)</f>
        <v>0</v>
      </c>
      <c r="S213" s="51">
        <f>IF(Q213=TRUE,0,C213-G213)</f>
        <v>3549</v>
      </c>
      <c r="T213" s="62">
        <f>IF(J213&lt;I213,1,0)+IF(K213&lt;J213,1,0)+IF(L213&lt;K213,1,0)+IF(M213&lt;L213,1,0)</f>
        <v>4</v>
      </c>
      <c r="U213" s="43">
        <v>26.92</v>
      </c>
      <c r="V213" s="30" t="s">
        <v>247</v>
      </c>
      <c r="W213" s="38">
        <v>142.91999999999999</v>
      </c>
      <c r="X213" s="38">
        <f>D213-C213</f>
        <v>-1183</v>
      </c>
      <c r="Y213" s="38">
        <f>E213-D213</f>
        <v>-1183</v>
      </c>
      <c r="Z213" s="38">
        <f>F213-E213</f>
        <v>-591.5</v>
      </c>
      <c r="AA213" s="38">
        <f>G213-F213</f>
        <v>-591.5</v>
      </c>
      <c r="AB213" s="38">
        <f>FORESTS[[#This Row],[Column7]]+FORESTS[[#This Row],[Column8]]</f>
        <v>-1183</v>
      </c>
      <c r="AD213" s="63">
        <f>(D213-C213)/10</f>
        <v>-118.3</v>
      </c>
      <c r="AE213" s="63">
        <f>(E213-D213)/10</f>
        <v>-118.3</v>
      </c>
      <c r="AF213" s="63">
        <f>(F213-E213)/5</f>
        <v>-118.3</v>
      </c>
      <c r="AG213" s="63">
        <f>(G213-F213)/5</f>
        <v>-118.3</v>
      </c>
    </row>
    <row r="214" spans="1:33" x14ac:dyDescent="0.2">
      <c r="A214" s="28">
        <v>686</v>
      </c>
      <c r="B214" s="28" t="s">
        <v>144</v>
      </c>
      <c r="C214" s="46">
        <v>9303.16</v>
      </c>
      <c r="D214" s="46">
        <v>8853.16</v>
      </c>
      <c r="E214" s="46">
        <v>8468.16</v>
      </c>
      <c r="F214" s="46">
        <v>8268.16</v>
      </c>
      <c r="G214" s="46">
        <v>8068.16</v>
      </c>
      <c r="H214" s="46">
        <v>19253</v>
      </c>
      <c r="I214" s="54">
        <f>C214/$H214</f>
        <v>0.48320573417129797</v>
      </c>
      <c r="J214" s="54">
        <f>D214/$H214</f>
        <v>0.45983275333714224</v>
      </c>
      <c r="K214" s="54">
        <f>E214/$H214</f>
        <v>0.43983586973458683</v>
      </c>
      <c r="L214" s="54">
        <f>F214/$H214</f>
        <v>0.42944787825273983</v>
      </c>
      <c r="M214" s="54">
        <f>G214/$H214</f>
        <v>0.41905988677089284</v>
      </c>
      <c r="N214" s="51">
        <f>FORESTS[[#This Row],[Area_2020]]-FORESTS[[#This Row],[Area_1990]]</f>
        <v>-1235</v>
      </c>
      <c r="O214" s="51">
        <f>ABS(FORESTS[[#This Row],[Area_Delta]])</f>
        <v>1235</v>
      </c>
      <c r="P214" s="104">
        <f>FORESTS[[#This Row],[Area_2020_%]]-FORESTS[[#This Row],[Area_1990_%]]</f>
        <v>-6.4145847400405132E-2</v>
      </c>
      <c r="Q214" s="54" t="b">
        <f>IF(G214&gt;C214, TRUE, FALSE)</f>
        <v>0</v>
      </c>
      <c r="R214" s="51">
        <f>IF(Q214=TRUE,G214-C214,0)</f>
        <v>0</v>
      </c>
      <c r="S214" s="51">
        <f>IF(Q214=TRUE,0,C214-G214)</f>
        <v>1235</v>
      </c>
      <c r="T214" s="48">
        <f>IF(J214&lt;I214,1,0)+IF(K214&lt;J214,1,0)+IF(L214&lt;K214,1,0)+IF(M214&lt;L214,1,0)</f>
        <v>4</v>
      </c>
      <c r="U214" s="43">
        <v>41.91</v>
      </c>
      <c r="V214" s="30">
        <v>51</v>
      </c>
      <c r="W214" s="38" t="s">
        <v>247</v>
      </c>
      <c r="X214" s="38">
        <f>D214-C214</f>
        <v>-450</v>
      </c>
      <c r="Y214" s="38">
        <f>E214-D214</f>
        <v>-385</v>
      </c>
      <c r="Z214" s="38">
        <f>F214-E214</f>
        <v>-200</v>
      </c>
      <c r="AA214" s="38">
        <f>G214-F214</f>
        <v>-200</v>
      </c>
      <c r="AB214" s="38">
        <f>FORESTS[[#This Row],[Column7]]+FORESTS[[#This Row],[Column8]]</f>
        <v>-400</v>
      </c>
      <c r="AD214" s="63">
        <f>(D214-C214)/10</f>
        <v>-45</v>
      </c>
      <c r="AE214" s="63">
        <f>(E214-D214)/10</f>
        <v>-38.5</v>
      </c>
      <c r="AF214" s="63">
        <f>(F214-E214)/5</f>
        <v>-40</v>
      </c>
      <c r="AG214" s="63">
        <f>(G214-F214)/5</f>
        <v>-40</v>
      </c>
    </row>
    <row r="215" spans="1:33" x14ac:dyDescent="0.2">
      <c r="A215" s="28">
        <v>68</v>
      </c>
      <c r="B215" s="28" t="s">
        <v>18</v>
      </c>
      <c r="C215" s="46">
        <v>57804.72</v>
      </c>
      <c r="D215" s="46">
        <v>55101.39</v>
      </c>
      <c r="E215" s="46">
        <v>53086.01</v>
      </c>
      <c r="F215" s="46">
        <v>52027.22</v>
      </c>
      <c r="G215" s="46">
        <v>50833.760000000002</v>
      </c>
      <c r="H215" s="46">
        <v>108330</v>
      </c>
      <c r="I215" s="54">
        <f>C215/$H215</f>
        <v>0.53359844918305177</v>
      </c>
      <c r="J215" s="54">
        <f>D215/$H215</f>
        <v>0.50864386596510658</v>
      </c>
      <c r="K215" s="54">
        <f>E215/$H215</f>
        <v>0.49003978583956431</v>
      </c>
      <c r="L215" s="54">
        <f>F215/$H215</f>
        <v>0.48026603895504477</v>
      </c>
      <c r="M215" s="54">
        <f>G215/$H215</f>
        <v>0.46924914612757318</v>
      </c>
      <c r="N215" s="51">
        <f>FORESTS[[#This Row],[Area_2020]]-FORESTS[[#This Row],[Area_1990]]</f>
        <v>-6970.9599999999991</v>
      </c>
      <c r="O215" s="51">
        <f>ABS(FORESTS[[#This Row],[Area_Delta]])</f>
        <v>6970.9599999999991</v>
      </c>
      <c r="P215" s="104">
        <f>FORESTS[[#This Row],[Area_2020_%]]-FORESTS[[#This Row],[Area_1990_%]]</f>
        <v>-6.4349303055478591E-2</v>
      </c>
      <c r="Q215" s="48" t="b">
        <f>IF(G215&gt;C215, TRUE, FALSE)</f>
        <v>0</v>
      </c>
      <c r="R215" s="51">
        <f>IF(Q215=TRUE,G215-C215,0)</f>
        <v>0</v>
      </c>
      <c r="S215" s="51">
        <f>IF(Q215=TRUE,0,C215-G215)</f>
        <v>6970.9599999999991</v>
      </c>
      <c r="T215" s="62">
        <f>IF(J215&lt;I215,1,0)+IF(K215&lt;J215,1,0)+IF(L215&lt;K215,1,0)+IF(M215&lt;L215,1,0)</f>
        <v>4</v>
      </c>
      <c r="U215" s="43">
        <v>46.92</v>
      </c>
      <c r="V215" s="30">
        <v>242.54</v>
      </c>
      <c r="W215" s="38">
        <v>255.87</v>
      </c>
      <c r="X215" s="38">
        <f>D215-C215</f>
        <v>-2703.3300000000017</v>
      </c>
      <c r="Y215" s="38">
        <f>E215-D215</f>
        <v>-2015.3799999999974</v>
      </c>
      <c r="Z215" s="38">
        <f>F215-E215</f>
        <v>-1058.7900000000009</v>
      </c>
      <c r="AA215" s="38">
        <f>G215-F215</f>
        <v>-1193.4599999999991</v>
      </c>
      <c r="AB215" s="38">
        <f>FORESTS[[#This Row],[Column7]]+FORESTS[[#This Row],[Column8]]</f>
        <v>-2252.25</v>
      </c>
      <c r="AD215" s="63">
        <f>(D215-C215)/10</f>
        <v>-270.3330000000002</v>
      </c>
      <c r="AE215" s="63">
        <f>(E215-D215)/10</f>
        <v>-201.53799999999973</v>
      </c>
      <c r="AF215" s="63">
        <f>(F215-E215)/5</f>
        <v>-211.75800000000018</v>
      </c>
      <c r="AG215" s="63">
        <f>(G215-F215)/5</f>
        <v>-238.69199999999984</v>
      </c>
    </row>
    <row r="216" spans="1:33" x14ac:dyDescent="0.2">
      <c r="A216" s="28">
        <v>222</v>
      </c>
      <c r="B216" s="28" t="s">
        <v>49</v>
      </c>
      <c r="C216" s="46">
        <v>718.88</v>
      </c>
      <c r="D216" s="46">
        <v>673.88</v>
      </c>
      <c r="E216" s="46">
        <v>628.88</v>
      </c>
      <c r="F216" s="46">
        <v>606.38</v>
      </c>
      <c r="G216" s="46">
        <v>583.88</v>
      </c>
      <c r="H216" s="46">
        <v>2072</v>
      </c>
      <c r="I216" s="54">
        <f>C216/$H216</f>
        <v>0.34694980694980693</v>
      </c>
      <c r="J216" s="54">
        <f>D216/$H216</f>
        <v>0.32523166023166022</v>
      </c>
      <c r="K216" s="54">
        <f>E216/$H216</f>
        <v>0.30351351351351352</v>
      </c>
      <c r="L216" s="54">
        <f>F216/$H216</f>
        <v>0.29265444015444014</v>
      </c>
      <c r="M216" s="54">
        <f>G216/$H216</f>
        <v>0.28179536679536682</v>
      </c>
      <c r="N216" s="51">
        <f>FORESTS[[#This Row],[Area_2020]]-FORESTS[[#This Row],[Area_1990]]</f>
        <v>-135</v>
      </c>
      <c r="O216" s="51">
        <f>ABS(FORESTS[[#This Row],[Area_Delta]])</f>
        <v>135</v>
      </c>
      <c r="P216" s="104">
        <f>FORESTS[[#This Row],[Area_2020_%]]-FORESTS[[#This Row],[Area_1990_%]]</f>
        <v>-6.5154440154440108E-2</v>
      </c>
      <c r="Q216" s="54" t="b">
        <f>IF(G216&gt;C216, TRUE, FALSE)</f>
        <v>0</v>
      </c>
      <c r="R216" s="51">
        <f>IF(Q216=TRUE,G216-C216,0)</f>
        <v>0</v>
      </c>
      <c r="S216" s="51">
        <f>IF(Q216=TRUE,0,C216-G216)</f>
        <v>135</v>
      </c>
      <c r="T216" s="48">
        <f>IF(J216&lt;I216,1,0)+IF(K216&lt;J216,1,0)+IF(L216&lt;K216,1,0)+IF(M216&lt;L216,1,0)</f>
        <v>4</v>
      </c>
      <c r="U216" s="48">
        <v>28.18</v>
      </c>
      <c r="V216" s="30">
        <v>4.5</v>
      </c>
      <c r="W216" s="30" t="s">
        <v>247</v>
      </c>
      <c r="X216" s="38">
        <f>D216-C216</f>
        <v>-45</v>
      </c>
      <c r="Y216" s="38">
        <f>E216-D216</f>
        <v>-45</v>
      </c>
      <c r="Z216" s="38">
        <f>F216-E216</f>
        <v>-22.5</v>
      </c>
      <c r="AA216" s="38">
        <f>G216-F216</f>
        <v>-22.5</v>
      </c>
      <c r="AB216" s="38">
        <f>FORESTS[[#This Row],[Column7]]+FORESTS[[#This Row],[Column8]]</f>
        <v>-45</v>
      </c>
      <c r="AD216" s="63">
        <f>(D216-C216)/10</f>
        <v>-4.5</v>
      </c>
      <c r="AE216" s="63">
        <f>(E216-D216)/10</f>
        <v>-4.5</v>
      </c>
      <c r="AF216" s="63">
        <f>(F216-E216)/5</f>
        <v>-4.5</v>
      </c>
      <c r="AG216" s="63">
        <f>(G216-F216)/5</f>
        <v>-4.5</v>
      </c>
    </row>
    <row r="217" spans="1:33" x14ac:dyDescent="0.2">
      <c r="A217" s="28">
        <v>862</v>
      </c>
      <c r="B217" s="28" t="s">
        <v>181</v>
      </c>
      <c r="C217" s="46">
        <v>52026</v>
      </c>
      <c r="D217" s="46">
        <v>49151</v>
      </c>
      <c r="E217" s="46">
        <v>47505</v>
      </c>
      <c r="F217" s="46">
        <v>46683</v>
      </c>
      <c r="G217" s="46">
        <v>46230.9</v>
      </c>
      <c r="H217" s="46">
        <v>88205</v>
      </c>
      <c r="I217" s="54">
        <f>C217/$H217</f>
        <v>0.5898305084745763</v>
      </c>
      <c r="J217" s="54">
        <f>D217/$H217</f>
        <v>0.5572359843546284</v>
      </c>
      <c r="K217" s="54">
        <f>E217/$H217</f>
        <v>0.53857491071934693</v>
      </c>
      <c r="L217" s="54">
        <f>F217/$H217</f>
        <v>0.52925571112748715</v>
      </c>
      <c r="M217" s="54">
        <f>G217/$H217</f>
        <v>0.52413015135196417</v>
      </c>
      <c r="N217" s="51">
        <f>FORESTS[[#This Row],[Area_2020]]-FORESTS[[#This Row],[Area_1990]]</f>
        <v>-5795.0999999999985</v>
      </c>
      <c r="O217" s="51">
        <f>ABS(FORESTS[[#This Row],[Area_Delta]])</f>
        <v>5795.0999999999985</v>
      </c>
      <c r="P217" s="104">
        <f>FORESTS[[#This Row],[Area_2020_%]]-FORESTS[[#This Row],[Area_1990_%]]</f>
        <v>-6.570035712261213E-2</v>
      </c>
      <c r="Q217" s="48" t="b">
        <f>IF(G217&gt;C217, TRUE, FALSE)</f>
        <v>0</v>
      </c>
      <c r="R217" s="51">
        <f>IF(Q217=TRUE,G217-C217,0)</f>
        <v>0</v>
      </c>
      <c r="S217" s="51">
        <f>IF(Q217=TRUE,0,C217-G217)</f>
        <v>5795.0999999999985</v>
      </c>
      <c r="T217" s="62">
        <f>IF(J217&lt;I217,1,0)+IF(K217&lt;J217,1,0)+IF(L217&lt;K217,1,0)+IF(M217&lt;L217,1,0)</f>
        <v>4</v>
      </c>
      <c r="U217" s="43">
        <v>52.41</v>
      </c>
      <c r="V217" s="30">
        <v>108.29</v>
      </c>
      <c r="W217" s="38" t="s">
        <v>247</v>
      </c>
      <c r="X217" s="38">
        <f>D217-C217</f>
        <v>-2875</v>
      </c>
      <c r="Y217" s="38">
        <f>E217-D217</f>
        <v>-1646</v>
      </c>
      <c r="Z217" s="38">
        <f>F217-E217</f>
        <v>-822</v>
      </c>
      <c r="AA217" s="38">
        <f>G217-F217</f>
        <v>-452.09999999999854</v>
      </c>
      <c r="AB217" s="38">
        <f>FORESTS[[#This Row],[Column7]]+FORESTS[[#This Row],[Column8]]</f>
        <v>-1274.0999999999985</v>
      </c>
      <c r="AD217" s="63">
        <f>(D217-C217)/10</f>
        <v>-287.5</v>
      </c>
      <c r="AE217" s="63">
        <f>(E217-D217)/10</f>
        <v>-164.6</v>
      </c>
      <c r="AF217" s="63">
        <f>(F217-E217)/5</f>
        <v>-164.4</v>
      </c>
      <c r="AG217" s="63">
        <f>(G217-F217)/5</f>
        <v>-90.419999999999703</v>
      </c>
    </row>
    <row r="218" spans="1:33" x14ac:dyDescent="0.2">
      <c r="A218" s="28">
        <v>678</v>
      </c>
      <c r="B218" s="28" t="s">
        <v>143</v>
      </c>
      <c r="C218" s="46">
        <v>58.62</v>
      </c>
      <c r="D218" s="46">
        <v>58.36</v>
      </c>
      <c r="E218" s="46">
        <v>58.1</v>
      </c>
      <c r="F218" s="46">
        <v>55</v>
      </c>
      <c r="G218" s="46">
        <v>51.9</v>
      </c>
      <c r="H218" s="46">
        <v>96</v>
      </c>
      <c r="I218" s="54">
        <f>C218/$H218</f>
        <v>0.61062499999999997</v>
      </c>
      <c r="J218" s="54">
        <f>D218/$H218</f>
        <v>0.60791666666666666</v>
      </c>
      <c r="K218" s="54">
        <f>E218/$H218</f>
        <v>0.60520833333333335</v>
      </c>
      <c r="L218" s="54">
        <f>F218/$H218</f>
        <v>0.57291666666666663</v>
      </c>
      <c r="M218" s="54">
        <f>G218/$H218</f>
        <v>0.54062500000000002</v>
      </c>
      <c r="N218" s="51">
        <f>FORESTS[[#This Row],[Area_2020]]-FORESTS[[#This Row],[Area_1990]]</f>
        <v>-6.7199999999999989</v>
      </c>
      <c r="O218" s="51">
        <f>ABS(FORESTS[[#This Row],[Area_Delta]])</f>
        <v>6.7199999999999989</v>
      </c>
      <c r="P218" s="104">
        <f>FORESTS[[#This Row],[Area_2020_%]]-FORESTS[[#This Row],[Area_1990_%]]</f>
        <v>-6.9999999999999951E-2</v>
      </c>
      <c r="Q218" s="54" t="b">
        <f>IF(G218&gt;C218, TRUE, FALSE)</f>
        <v>0</v>
      </c>
      <c r="R218" s="51">
        <f>IF(Q218=TRUE,G218-C218,0)</f>
        <v>0</v>
      </c>
      <c r="S218" s="51">
        <f>IF(Q218=TRUE,0,C218-G218)</f>
        <v>6.7199999999999989</v>
      </c>
      <c r="T218" s="48">
        <f>IF(J218&lt;I218,1,0)+IF(K218&lt;J218,1,0)+IF(L218&lt;K218,1,0)+IF(M218&lt;L218,1,0)</f>
        <v>4</v>
      </c>
      <c r="U218" s="48">
        <v>54.06</v>
      </c>
      <c r="V218" s="30">
        <v>0.62</v>
      </c>
      <c r="W218" s="30" t="s">
        <v>247</v>
      </c>
      <c r="X218" s="38">
        <f>D218-C218</f>
        <v>-0.25999999999999801</v>
      </c>
      <c r="Y218" s="38">
        <f>E218-D218</f>
        <v>-0.25999999999999801</v>
      </c>
      <c r="Z218" s="38">
        <f>F218-E218</f>
        <v>-3.1000000000000014</v>
      </c>
      <c r="AA218" s="38">
        <f>G218-F218</f>
        <v>-3.1000000000000014</v>
      </c>
      <c r="AB218" s="38">
        <f>FORESTS[[#This Row],[Column7]]+FORESTS[[#This Row],[Column8]]</f>
        <v>-6.2000000000000028</v>
      </c>
      <c r="AD218" s="63">
        <f>(D218-C218)/10</f>
        <v>-2.5999999999999801E-2</v>
      </c>
      <c r="AE218" s="63">
        <f>(E218-D218)/10</f>
        <v>-2.5999999999999801E-2</v>
      </c>
      <c r="AF218" s="63">
        <f>(F218-E218)/5</f>
        <v>-0.62000000000000033</v>
      </c>
      <c r="AG218" s="63">
        <f>(G218-F218)/5</f>
        <v>-0.62000000000000033</v>
      </c>
    </row>
    <row r="219" spans="1:33" x14ac:dyDescent="0.2">
      <c r="A219" s="28">
        <v>174</v>
      </c>
      <c r="B219" s="28" t="s">
        <v>34</v>
      </c>
      <c r="C219" s="46">
        <v>46.06</v>
      </c>
      <c r="D219" s="46">
        <v>41.68</v>
      </c>
      <c r="E219" s="46">
        <v>37.299999999999997</v>
      </c>
      <c r="F219" s="46">
        <v>35.11</v>
      </c>
      <c r="G219" s="46">
        <v>32.92</v>
      </c>
      <c r="H219" s="46">
        <v>186</v>
      </c>
      <c r="I219" s="54">
        <f>C219/$H219</f>
        <v>0.24763440860215055</v>
      </c>
      <c r="J219" s="54">
        <f>D219/$H219</f>
        <v>0.22408602150537635</v>
      </c>
      <c r="K219" s="54">
        <f>E219/$H219</f>
        <v>0.20053763440860214</v>
      </c>
      <c r="L219" s="54">
        <f>F219/$H219</f>
        <v>0.18876344086021504</v>
      </c>
      <c r="M219" s="54">
        <f>G219/$H219</f>
        <v>0.17698924731182797</v>
      </c>
      <c r="N219" s="51">
        <f>FORESTS[[#This Row],[Area_2020]]-FORESTS[[#This Row],[Area_1990]]</f>
        <v>-13.14</v>
      </c>
      <c r="O219" s="51">
        <f>ABS(FORESTS[[#This Row],[Area_Delta]])</f>
        <v>13.14</v>
      </c>
      <c r="P219" s="104">
        <f>FORESTS[[#This Row],[Area_2020_%]]-FORESTS[[#This Row],[Area_1990_%]]</f>
        <v>-7.0645161290322583E-2</v>
      </c>
      <c r="Q219" s="54" t="b">
        <f>IF(G219&gt;C219, TRUE, FALSE)</f>
        <v>0</v>
      </c>
      <c r="R219" s="51">
        <f>IF(Q219=TRUE,G219-C219,0)</f>
        <v>0</v>
      </c>
      <c r="S219" s="51">
        <f>IF(Q219=TRUE,0,C219-G219)</f>
        <v>13.14</v>
      </c>
      <c r="T219" s="48">
        <f>IF(J219&lt;I219,1,0)+IF(K219&lt;J219,1,0)+IF(L219&lt;K219,1,0)+IF(M219&lt;L219,1,0)</f>
        <v>4</v>
      </c>
      <c r="U219" s="48">
        <v>17.7</v>
      </c>
      <c r="V219" s="30" t="s">
        <v>247</v>
      </c>
      <c r="W219" s="30" t="s">
        <v>247</v>
      </c>
      <c r="X219" s="38">
        <f>D219-C219</f>
        <v>-4.3800000000000026</v>
      </c>
      <c r="Y219" s="38">
        <f>E219-D219</f>
        <v>-4.3800000000000026</v>
      </c>
      <c r="Z219" s="38">
        <f>F219-E219</f>
        <v>-2.1899999999999977</v>
      </c>
      <c r="AA219" s="38">
        <f>G219-F219</f>
        <v>-2.1899999999999977</v>
      </c>
      <c r="AB219" s="38">
        <f>FORESTS[[#This Row],[Column7]]+FORESTS[[#This Row],[Column8]]</f>
        <v>-4.3799999999999955</v>
      </c>
      <c r="AD219" s="63">
        <f>(D219-C219)/10</f>
        <v>-0.43800000000000028</v>
      </c>
      <c r="AE219" s="63">
        <f>(E219-D219)/10</f>
        <v>-0.43800000000000028</v>
      </c>
      <c r="AF219" s="63">
        <f>(F219-E219)/5</f>
        <v>-0.43799999999999956</v>
      </c>
      <c r="AG219" s="63">
        <f>(G219-F219)/5</f>
        <v>-0.43799999999999956</v>
      </c>
    </row>
    <row r="220" spans="1:33" x14ac:dyDescent="0.2">
      <c r="A220" s="28">
        <v>408</v>
      </c>
      <c r="B220" s="28" t="s">
        <v>221</v>
      </c>
      <c r="C220" s="46">
        <v>6912.03</v>
      </c>
      <c r="D220" s="46">
        <v>6454.69</v>
      </c>
      <c r="E220" s="46">
        <v>6242.39</v>
      </c>
      <c r="F220" s="46">
        <v>6136.24</v>
      </c>
      <c r="G220" s="46">
        <v>6030.09</v>
      </c>
      <c r="H220" s="46">
        <v>12041</v>
      </c>
      <c r="I220" s="54">
        <f>C220/$H220</f>
        <v>0.57404119259197739</v>
      </c>
      <c r="J220" s="54">
        <f>D220/$H220</f>
        <v>0.53605929740054814</v>
      </c>
      <c r="K220" s="54">
        <f>E220/$H220</f>
        <v>0.51842787143924929</v>
      </c>
      <c r="L220" s="54">
        <f>F220/$H220</f>
        <v>0.50961215845859975</v>
      </c>
      <c r="M220" s="54">
        <f>G220/$H220</f>
        <v>0.50079644547795032</v>
      </c>
      <c r="N220" s="51">
        <f>FORESTS[[#This Row],[Area_2020]]-FORESTS[[#This Row],[Area_1990]]</f>
        <v>-881.9399999999996</v>
      </c>
      <c r="O220" s="51">
        <f>ABS(FORESTS[[#This Row],[Area_Delta]])</f>
        <v>881.9399999999996</v>
      </c>
      <c r="P220" s="104">
        <f>FORESTS[[#This Row],[Area_2020_%]]-FORESTS[[#This Row],[Area_1990_%]]</f>
        <v>-7.3244747114027065E-2</v>
      </c>
      <c r="Q220" s="54" t="b">
        <f>IF(G220&gt;C220, TRUE, FALSE)</f>
        <v>0</v>
      </c>
      <c r="R220" s="51">
        <f>IF(Q220=TRUE,G220-C220,0)</f>
        <v>0</v>
      </c>
      <c r="S220" s="51">
        <f>IF(Q220=TRUE,0,C220-G220)</f>
        <v>881.9399999999996</v>
      </c>
      <c r="T220" s="48">
        <f>IF(J220&lt;I220,1,0)+IF(K220&lt;J220,1,0)+IF(L220&lt;K220,1,0)+IF(M220&lt;L220,1,0)</f>
        <v>4</v>
      </c>
      <c r="U220" s="43">
        <v>50.08</v>
      </c>
      <c r="V220" s="30">
        <v>23.19</v>
      </c>
      <c r="W220" s="38">
        <v>38.35</v>
      </c>
      <c r="X220" s="38">
        <f>D220-C220</f>
        <v>-457.34000000000015</v>
      </c>
      <c r="Y220" s="38">
        <f>E220-D220</f>
        <v>-212.29999999999927</v>
      </c>
      <c r="Z220" s="38">
        <f>F220-E220</f>
        <v>-106.15000000000055</v>
      </c>
      <c r="AA220" s="38">
        <f>G220-F220</f>
        <v>-106.14999999999964</v>
      </c>
      <c r="AB220" s="38">
        <f>FORESTS[[#This Row],[Column7]]+FORESTS[[#This Row],[Column8]]</f>
        <v>-212.30000000000018</v>
      </c>
      <c r="AD220" s="63">
        <f>(D220-C220)/10</f>
        <v>-45.734000000000016</v>
      </c>
      <c r="AE220" s="63">
        <f>(E220-D220)/10</f>
        <v>-21.229999999999926</v>
      </c>
      <c r="AF220" s="63">
        <f>(F220-E220)/5</f>
        <v>-21.230000000000111</v>
      </c>
      <c r="AG220" s="63">
        <f>(G220-F220)/5</f>
        <v>-21.229999999999926</v>
      </c>
    </row>
    <row r="221" spans="1:33" x14ac:dyDescent="0.2">
      <c r="A221" s="28">
        <v>694</v>
      </c>
      <c r="B221" s="28" t="s">
        <v>147</v>
      </c>
      <c r="C221" s="46">
        <v>3126.7</v>
      </c>
      <c r="D221" s="46">
        <v>2929.43</v>
      </c>
      <c r="E221" s="46">
        <v>2732.16</v>
      </c>
      <c r="F221" s="46">
        <v>2633.53</v>
      </c>
      <c r="G221" s="46">
        <v>2534.88</v>
      </c>
      <c r="H221" s="46">
        <v>7218</v>
      </c>
      <c r="I221" s="54">
        <f>C221/$H221</f>
        <v>0.43318093654752005</v>
      </c>
      <c r="J221" s="54">
        <f>D221/$H221</f>
        <v>0.40585065114990299</v>
      </c>
      <c r="K221" s="54">
        <f>E221/$H221</f>
        <v>0.37852036575228593</v>
      </c>
      <c r="L221" s="54">
        <f>F221/$H221</f>
        <v>0.36485591576614024</v>
      </c>
      <c r="M221" s="54">
        <f>G221/$H221</f>
        <v>0.35118869492934335</v>
      </c>
      <c r="N221" s="51">
        <f>FORESTS[[#This Row],[Area_2020]]-FORESTS[[#This Row],[Area_1990]]</f>
        <v>-591.81999999999971</v>
      </c>
      <c r="O221" s="51">
        <f>ABS(FORESTS[[#This Row],[Area_Delta]])</f>
        <v>591.81999999999971</v>
      </c>
      <c r="P221" s="104">
        <f>FORESTS[[#This Row],[Area_2020_%]]-FORESTS[[#This Row],[Area_1990_%]]</f>
        <v>-8.1992241618176698E-2</v>
      </c>
      <c r="Q221" s="54" t="b">
        <f>IF(G221&gt;C221, TRUE, FALSE)</f>
        <v>0</v>
      </c>
      <c r="R221" s="51">
        <f>IF(Q221=TRUE,G221-C221,0)</f>
        <v>0</v>
      </c>
      <c r="S221" s="51">
        <f>IF(Q221=TRUE,0,C221-G221)</f>
        <v>591.81999999999971</v>
      </c>
      <c r="T221" s="48">
        <f>IF(J221&lt;I221,1,0)+IF(K221&lt;J221,1,0)+IF(L221&lt;K221,1,0)+IF(M221&lt;L221,1,0)</f>
        <v>4</v>
      </c>
      <c r="U221" s="43">
        <v>35.119999999999997</v>
      </c>
      <c r="V221" s="30" t="s">
        <v>247</v>
      </c>
      <c r="W221" s="38" t="s">
        <v>247</v>
      </c>
      <c r="X221" s="38">
        <f>D221-C221</f>
        <v>-197.26999999999998</v>
      </c>
      <c r="Y221" s="38">
        <f>E221-D221</f>
        <v>-197.26999999999998</v>
      </c>
      <c r="Z221" s="38">
        <f>F221-E221</f>
        <v>-98.629999999999654</v>
      </c>
      <c r="AA221" s="38">
        <f>G221-F221</f>
        <v>-98.650000000000091</v>
      </c>
      <c r="AB221" s="38">
        <f>FORESTS[[#This Row],[Column7]]+FORESTS[[#This Row],[Column8]]</f>
        <v>-197.27999999999975</v>
      </c>
      <c r="AD221" s="63">
        <f>(D221-C221)/10</f>
        <v>-19.726999999999997</v>
      </c>
      <c r="AE221" s="63">
        <f>(E221-D221)/10</f>
        <v>-19.726999999999997</v>
      </c>
      <c r="AF221" s="63">
        <f>(F221-E221)/5</f>
        <v>-19.725999999999932</v>
      </c>
      <c r="AG221" s="63">
        <f>(G221-F221)/5</f>
        <v>-19.730000000000018</v>
      </c>
    </row>
    <row r="222" spans="1:33" x14ac:dyDescent="0.2">
      <c r="A222" s="28">
        <v>508</v>
      </c>
      <c r="B222" s="28" t="s">
        <v>112</v>
      </c>
      <c r="C222" s="46">
        <v>43378</v>
      </c>
      <c r="D222" s="46">
        <v>41188</v>
      </c>
      <c r="E222" s="46">
        <v>38972.14</v>
      </c>
      <c r="F222" s="46">
        <v>37940</v>
      </c>
      <c r="G222" s="46">
        <v>36743.760000000002</v>
      </c>
      <c r="H222" s="46">
        <v>78638</v>
      </c>
      <c r="I222" s="54">
        <f>C222/$H222</f>
        <v>0.55161626694473409</v>
      </c>
      <c r="J222" s="54">
        <f>D222/$H222</f>
        <v>0.52376713548157383</v>
      </c>
      <c r="K222" s="54">
        <f>E222/$H222</f>
        <v>0.49558915537017728</v>
      </c>
      <c r="L222" s="54">
        <f>F222/$H222</f>
        <v>0.48246394872707848</v>
      </c>
      <c r="M222" s="54">
        <f>G222/$H222</f>
        <v>0.46725196469900049</v>
      </c>
      <c r="N222" s="51">
        <f>FORESTS[[#This Row],[Area_2020]]-FORESTS[[#This Row],[Area_1990]]</f>
        <v>-6634.239999999998</v>
      </c>
      <c r="O222" s="51">
        <f>ABS(FORESTS[[#This Row],[Area_Delta]])</f>
        <v>6634.239999999998</v>
      </c>
      <c r="P222" s="104">
        <f>FORESTS[[#This Row],[Area_2020_%]]-FORESTS[[#This Row],[Area_1990_%]]</f>
        <v>-8.4364302245733602E-2</v>
      </c>
      <c r="Q222" s="48" t="b">
        <f>IF(G222&gt;C222, TRUE, FALSE)</f>
        <v>0</v>
      </c>
      <c r="R222" s="51">
        <f>IF(Q222=TRUE,G222-C222,0)</f>
        <v>0</v>
      </c>
      <c r="S222" s="51">
        <f>IF(Q222=TRUE,0,C222-G222)</f>
        <v>6634.239999999998</v>
      </c>
      <c r="T222" s="62">
        <f>IF(J222&lt;I222,1,0)+IF(K222&lt;J222,1,0)+IF(L222&lt;K222,1,0)+IF(M222&lt;L222,1,0)</f>
        <v>4</v>
      </c>
      <c r="U222" s="43">
        <v>46.73</v>
      </c>
      <c r="V222" s="30">
        <v>267.02999999999997</v>
      </c>
      <c r="W222" s="38">
        <v>14103.76</v>
      </c>
      <c r="X222" s="38">
        <f>D222-C222</f>
        <v>-2190</v>
      </c>
      <c r="Y222" s="38">
        <f>E222-D222</f>
        <v>-2215.8600000000006</v>
      </c>
      <c r="Z222" s="38">
        <f>F222-E222</f>
        <v>-1032.1399999999994</v>
      </c>
      <c r="AA222" s="38">
        <f>G222-F222</f>
        <v>-1196.239999999998</v>
      </c>
      <c r="AB222" s="38">
        <f>FORESTS[[#This Row],[Column7]]+FORESTS[[#This Row],[Column8]]</f>
        <v>-2228.3799999999974</v>
      </c>
      <c r="AD222" s="63">
        <f>(D222-C222)/10</f>
        <v>-219</v>
      </c>
      <c r="AE222" s="63">
        <f>(E222-D222)/10</f>
        <v>-221.58600000000007</v>
      </c>
      <c r="AF222" s="63">
        <f>(F222-E222)/5</f>
        <v>-206.42799999999988</v>
      </c>
      <c r="AG222" s="63">
        <f>(G222-F222)/5</f>
        <v>-239.24799999999959</v>
      </c>
    </row>
    <row r="223" spans="1:33" x14ac:dyDescent="0.2">
      <c r="A223" s="28">
        <v>288</v>
      </c>
      <c r="B223" s="28" t="s">
        <v>62</v>
      </c>
      <c r="C223" s="38">
        <v>9924.26</v>
      </c>
      <c r="D223" s="38">
        <v>8848.61</v>
      </c>
      <c r="E223" s="38">
        <v>7942.93</v>
      </c>
      <c r="F223" s="38">
        <v>7880.44</v>
      </c>
      <c r="G223" s="38">
        <v>7985.71</v>
      </c>
      <c r="H223" s="38">
        <v>22754</v>
      </c>
      <c r="I223" s="54">
        <f>C223/$H223</f>
        <v>0.43615452228179663</v>
      </c>
      <c r="J223" s="54">
        <f>D223/$H223</f>
        <v>0.38888151533796256</v>
      </c>
      <c r="K223" s="54">
        <f>E223/$H223</f>
        <v>0.34907840379713456</v>
      </c>
      <c r="L223" s="54">
        <f>F223/$H223</f>
        <v>0.34633207348158562</v>
      </c>
      <c r="M223" s="54">
        <f>G223/$H223</f>
        <v>0.35095851278896018</v>
      </c>
      <c r="N223" s="51">
        <f>FORESTS[[#This Row],[Area_2020]]-FORESTS[[#This Row],[Area_1990]]</f>
        <v>-1938.5500000000002</v>
      </c>
      <c r="O223" s="51">
        <f>ABS(FORESTS[[#This Row],[Area_Delta]])</f>
        <v>1938.5500000000002</v>
      </c>
      <c r="P223" s="104">
        <f>FORESTS[[#This Row],[Area_2020_%]]-FORESTS[[#This Row],[Area_1990_%]]</f>
        <v>-8.5196009492836455E-2</v>
      </c>
      <c r="Q223" s="54" t="b">
        <f>IF(G223&gt;C223, TRUE, FALSE)</f>
        <v>0</v>
      </c>
      <c r="R223" s="51">
        <f>IF(Q223=TRUE,G223-C223,0)</f>
        <v>0</v>
      </c>
      <c r="S223" s="51">
        <f>IF(Q223=TRUE,0,C223-G223)</f>
        <v>1938.5500000000002</v>
      </c>
      <c r="T223" s="48">
        <f>IF(J223&lt;I223,1,0)+IF(K223&lt;J223,1,0)+IF(L223&lt;K223,1,0)+IF(M223&lt;L223,1,0)</f>
        <v>3</v>
      </c>
      <c r="U223" s="43">
        <v>35.1</v>
      </c>
      <c r="V223" s="30" t="s">
        <v>247</v>
      </c>
      <c r="W223" s="38" t="s">
        <v>247</v>
      </c>
      <c r="X223" s="38">
        <f>D223-C223</f>
        <v>-1075.6499999999996</v>
      </c>
      <c r="Y223" s="38">
        <f>E223-D223</f>
        <v>-905.68000000000029</v>
      </c>
      <c r="Z223" s="38">
        <f>F223-E223</f>
        <v>-62.490000000000691</v>
      </c>
      <c r="AA223" s="38">
        <f>G223-F223</f>
        <v>105.27000000000044</v>
      </c>
      <c r="AB223" s="38">
        <f>FORESTS[[#This Row],[Column7]]+FORESTS[[#This Row],[Column8]]</f>
        <v>42.779999999999745</v>
      </c>
      <c r="AD223" s="63">
        <f>(D223-C223)/10</f>
        <v>-107.56499999999997</v>
      </c>
      <c r="AE223" s="63">
        <f>(E223-D223)/10</f>
        <v>-90.568000000000026</v>
      </c>
      <c r="AF223" s="63">
        <f>(F223-E223)/5</f>
        <v>-12.498000000000138</v>
      </c>
      <c r="AG223" s="63">
        <f>(G223-F223)/5</f>
        <v>21.054000000000087</v>
      </c>
    </row>
    <row r="224" spans="1:33" x14ac:dyDescent="0.2">
      <c r="A224" s="28">
        <v>218</v>
      </c>
      <c r="B224" s="28" t="s">
        <v>47</v>
      </c>
      <c r="C224" s="46">
        <v>14632.21</v>
      </c>
      <c r="D224" s="46">
        <v>13730.5</v>
      </c>
      <c r="E224" s="46">
        <v>13028.19</v>
      </c>
      <c r="F224" s="46">
        <v>12819.18</v>
      </c>
      <c r="G224" s="46">
        <v>12497.83</v>
      </c>
      <c r="H224" s="46">
        <v>24836</v>
      </c>
      <c r="I224" s="54">
        <f>C224/$H224</f>
        <v>0.58915324528909641</v>
      </c>
      <c r="J224" s="54">
        <f>D224/$H224</f>
        <v>0.55284667418263811</v>
      </c>
      <c r="K224" s="54">
        <f>E224/$H224</f>
        <v>0.52456877113866973</v>
      </c>
      <c r="L224" s="54">
        <f>F224/$H224</f>
        <v>0.51615316476083106</v>
      </c>
      <c r="M224" s="54">
        <f>G224/$H224</f>
        <v>0.50321428571428573</v>
      </c>
      <c r="N224" s="51">
        <f>FORESTS[[#This Row],[Area_2020]]-FORESTS[[#This Row],[Area_1990]]</f>
        <v>-2134.3799999999992</v>
      </c>
      <c r="O224" s="51">
        <f>ABS(FORESTS[[#This Row],[Area_Delta]])</f>
        <v>2134.3799999999992</v>
      </c>
      <c r="P224" s="104">
        <f>FORESTS[[#This Row],[Area_2020_%]]-FORESTS[[#This Row],[Area_1990_%]]</f>
        <v>-8.593895957481068E-2</v>
      </c>
      <c r="Q224" s="54" t="b">
        <f>IF(G224&gt;C224, TRUE, FALSE)</f>
        <v>0</v>
      </c>
      <c r="R224" s="51">
        <f>IF(Q224=TRUE,G224-C224,0)</f>
        <v>0</v>
      </c>
      <c r="S224" s="51">
        <f>IF(Q224=TRUE,0,C224-G224)</f>
        <v>2134.3799999999992</v>
      </c>
      <c r="T224" s="62">
        <f>IF(J224&lt;I224,1,0)+IF(K224&lt;J224,1,0)+IF(L224&lt;K224,1,0)+IF(M224&lt;L224,1,0)</f>
        <v>4</v>
      </c>
      <c r="U224" s="43">
        <v>50.32</v>
      </c>
      <c r="V224" s="30">
        <v>87.22</v>
      </c>
      <c r="W224" s="38" t="s">
        <v>247</v>
      </c>
      <c r="X224" s="38">
        <f>D224-C224</f>
        <v>-901.70999999999913</v>
      </c>
      <c r="Y224" s="38">
        <f>E224-D224</f>
        <v>-702.30999999999949</v>
      </c>
      <c r="Z224" s="38">
        <f>F224-E224</f>
        <v>-209.01000000000022</v>
      </c>
      <c r="AA224" s="38">
        <f>G224-F224</f>
        <v>-321.35000000000036</v>
      </c>
      <c r="AB224" s="38">
        <f>FORESTS[[#This Row],[Column7]]+FORESTS[[#This Row],[Column8]]</f>
        <v>-530.36000000000058</v>
      </c>
      <c r="AD224" s="63">
        <f>(D224-C224)/10</f>
        <v>-90.170999999999907</v>
      </c>
      <c r="AE224" s="63">
        <f>(E224-D224)/10</f>
        <v>-70.230999999999952</v>
      </c>
      <c r="AF224" s="63">
        <f>(F224-E224)/5</f>
        <v>-41.802000000000042</v>
      </c>
      <c r="AG224" s="63">
        <f>(G224-F224)/5</f>
        <v>-64.270000000000067</v>
      </c>
    </row>
    <row r="225" spans="1:33" x14ac:dyDescent="0.2">
      <c r="A225" s="28">
        <v>226</v>
      </c>
      <c r="B225" s="28" t="s">
        <v>50</v>
      </c>
      <c r="C225" s="46">
        <v>2699.15</v>
      </c>
      <c r="D225" s="46">
        <v>2615.58</v>
      </c>
      <c r="E225" s="46">
        <v>2532.0100000000002</v>
      </c>
      <c r="F225" s="46">
        <v>2490.2199999999998</v>
      </c>
      <c r="G225" s="46">
        <v>2448.42</v>
      </c>
      <c r="H225" s="46">
        <v>2805</v>
      </c>
      <c r="I225" s="54">
        <f>C225/$H225</f>
        <v>0.96226381461675581</v>
      </c>
      <c r="J225" s="54">
        <f>D225/$H225</f>
        <v>0.93247058823529405</v>
      </c>
      <c r="K225" s="54">
        <f>E225/$H225</f>
        <v>0.90267736185383252</v>
      </c>
      <c r="L225" s="54">
        <f>F225/$H225</f>
        <v>0.88777896613190721</v>
      </c>
      <c r="M225" s="54">
        <f>G225/$H225</f>
        <v>0.8728770053475936</v>
      </c>
      <c r="N225" s="51">
        <f>FORESTS[[#This Row],[Area_2020]]-FORESTS[[#This Row],[Area_1990]]</f>
        <v>-250.73000000000002</v>
      </c>
      <c r="O225" s="51">
        <f>ABS(FORESTS[[#This Row],[Area_Delta]])</f>
        <v>250.73000000000002</v>
      </c>
      <c r="P225" s="104">
        <f>FORESTS[[#This Row],[Area_2020_%]]-FORESTS[[#This Row],[Area_1990_%]]</f>
        <v>-8.9386809269162204E-2</v>
      </c>
      <c r="Q225" s="54" t="b">
        <f>IF(G225&gt;C225, TRUE, FALSE)</f>
        <v>0</v>
      </c>
      <c r="R225" s="51">
        <f>IF(Q225=TRUE,G225-C225,0)</f>
        <v>0</v>
      </c>
      <c r="S225" s="51">
        <f>IF(Q225=TRUE,0,C225-G225)</f>
        <v>250.73000000000002</v>
      </c>
      <c r="T225" s="48">
        <f>IF(J225&lt;I225,1,0)+IF(K225&lt;J225,1,0)+IF(L225&lt;K225,1,0)+IF(M225&lt;L225,1,0)</f>
        <v>4</v>
      </c>
      <c r="U225" s="48">
        <v>87.29</v>
      </c>
      <c r="V225" s="30">
        <v>8.36</v>
      </c>
      <c r="W225" s="30" t="s">
        <v>247</v>
      </c>
      <c r="X225" s="38">
        <f>D225-C225</f>
        <v>-83.570000000000164</v>
      </c>
      <c r="Y225" s="38">
        <f>E225-D225</f>
        <v>-83.569999999999709</v>
      </c>
      <c r="Z225" s="38">
        <f>F225-E225</f>
        <v>-41.790000000000418</v>
      </c>
      <c r="AA225" s="38">
        <f>G225-F225</f>
        <v>-41.799999999999727</v>
      </c>
      <c r="AB225" s="38">
        <f>FORESTS[[#This Row],[Column7]]+FORESTS[[#This Row],[Column8]]</f>
        <v>-83.590000000000146</v>
      </c>
      <c r="AD225" s="63">
        <f>(D225-C225)/10</f>
        <v>-8.3570000000000171</v>
      </c>
      <c r="AE225" s="63">
        <f>(E225-D225)/10</f>
        <v>-8.3569999999999709</v>
      </c>
      <c r="AF225" s="63">
        <f>(F225-E225)/5</f>
        <v>-8.358000000000084</v>
      </c>
      <c r="AG225" s="63">
        <f>(G225-F225)/5</f>
        <v>-8.3599999999999461</v>
      </c>
    </row>
    <row r="226" spans="1:33" x14ac:dyDescent="0.2">
      <c r="A226" s="28">
        <v>624</v>
      </c>
      <c r="B226" s="28" t="s">
        <v>201</v>
      </c>
      <c r="C226" s="46">
        <v>2233.33</v>
      </c>
      <c r="D226" s="46">
        <v>2148.88</v>
      </c>
      <c r="E226" s="46">
        <v>2064.4299999999998</v>
      </c>
      <c r="F226" s="46">
        <v>2022.21</v>
      </c>
      <c r="G226" s="46">
        <v>1980.01</v>
      </c>
      <c r="H226" s="46">
        <v>2812</v>
      </c>
      <c r="I226" s="54">
        <f>C226/$H226</f>
        <v>0.79421408250355618</v>
      </c>
      <c r="J226" s="54">
        <f>D226/$H226</f>
        <v>0.7641820768136558</v>
      </c>
      <c r="K226" s="54">
        <f>E226/$H226</f>
        <v>0.7341500711237553</v>
      </c>
      <c r="L226" s="54">
        <f>F226/$H226</f>
        <v>0.71913584637268846</v>
      </c>
      <c r="M226" s="54">
        <f>G226/$H226</f>
        <v>0.70412873399715503</v>
      </c>
      <c r="N226" s="51">
        <f>FORESTS[[#This Row],[Area_2020]]-FORESTS[[#This Row],[Area_1990]]</f>
        <v>-253.31999999999994</v>
      </c>
      <c r="O226" s="51">
        <f>ABS(FORESTS[[#This Row],[Area_Delta]])</f>
        <v>253.31999999999994</v>
      </c>
      <c r="P226" s="104">
        <f>FORESTS[[#This Row],[Area_2020_%]]-FORESTS[[#This Row],[Area_1990_%]]</f>
        <v>-9.0085348506401153E-2</v>
      </c>
      <c r="Q226" s="54" t="b">
        <f>IF(G226&gt;C226, TRUE, FALSE)</f>
        <v>0</v>
      </c>
      <c r="R226" s="51">
        <f>IF(Q226=TRUE,G226-C226,0)</f>
        <v>0</v>
      </c>
      <c r="S226" s="51">
        <f>IF(Q226=TRUE,0,C226-G226)</f>
        <v>253.31999999999994</v>
      </c>
      <c r="T226" s="48">
        <f>IF(J226&lt;I226,1,0)+IF(K226&lt;J226,1,0)+IF(L226&lt;K226,1,0)+IF(M226&lt;L226,1,0)</f>
        <v>4</v>
      </c>
      <c r="U226" s="48">
        <v>70.41</v>
      </c>
      <c r="V226" s="30" t="s">
        <v>247</v>
      </c>
      <c r="W226" s="30">
        <v>221.55</v>
      </c>
      <c r="X226" s="38">
        <f>D226-C226</f>
        <v>-84.449999999999818</v>
      </c>
      <c r="Y226" s="38">
        <f>E226-D226</f>
        <v>-84.450000000000273</v>
      </c>
      <c r="Z226" s="38">
        <f>F226-E226</f>
        <v>-42.2199999999998</v>
      </c>
      <c r="AA226" s="38">
        <f>G226-F226</f>
        <v>-42.200000000000045</v>
      </c>
      <c r="AB226" s="38">
        <f>FORESTS[[#This Row],[Column7]]+FORESTS[[#This Row],[Column8]]</f>
        <v>-84.419999999999845</v>
      </c>
      <c r="AD226" s="63">
        <f>(D226-C226)/10</f>
        <v>-8.4449999999999825</v>
      </c>
      <c r="AE226" s="63">
        <f>(E226-D226)/10</f>
        <v>-8.4450000000000269</v>
      </c>
      <c r="AF226" s="63">
        <f>(F226-E226)/5</f>
        <v>-8.44399999999996</v>
      </c>
      <c r="AG226" s="63">
        <f>(G226-F226)/5</f>
        <v>-8.4400000000000084</v>
      </c>
    </row>
    <row r="227" spans="1:33" x14ac:dyDescent="0.2">
      <c r="A227" s="28">
        <v>430</v>
      </c>
      <c r="B227" s="28" t="s">
        <v>92</v>
      </c>
      <c r="C227" s="46">
        <v>8525.24</v>
      </c>
      <c r="D227" s="46">
        <v>8222.64</v>
      </c>
      <c r="E227" s="46">
        <v>7920.04</v>
      </c>
      <c r="F227" s="46">
        <v>7768.74</v>
      </c>
      <c r="G227" s="46">
        <v>7617.44</v>
      </c>
      <c r="H227" s="46">
        <v>9632</v>
      </c>
      <c r="I227" s="54">
        <f>C227/$H227</f>
        <v>0.88509551495016614</v>
      </c>
      <c r="J227" s="54">
        <f>D227/$H227</f>
        <v>0.85367940199335546</v>
      </c>
      <c r="K227" s="54">
        <f>E227/$H227</f>
        <v>0.82226328903654489</v>
      </c>
      <c r="L227" s="54">
        <f>F227/$H227</f>
        <v>0.80655523255813955</v>
      </c>
      <c r="M227" s="54">
        <f>G227/$H227</f>
        <v>0.7908471760797342</v>
      </c>
      <c r="N227" s="51">
        <f>FORESTS[[#This Row],[Area_2020]]-FORESTS[[#This Row],[Area_1990]]</f>
        <v>-907.80000000000018</v>
      </c>
      <c r="O227" s="51">
        <f>ABS(FORESTS[[#This Row],[Area_Delta]])</f>
        <v>907.80000000000018</v>
      </c>
      <c r="P227" s="104">
        <f>FORESTS[[#This Row],[Area_2020_%]]-FORESTS[[#This Row],[Area_1990_%]]</f>
        <v>-9.4248338870431936E-2</v>
      </c>
      <c r="Q227" s="54" t="b">
        <f>IF(G227&gt;C227, TRUE, FALSE)</f>
        <v>0</v>
      </c>
      <c r="R227" s="51">
        <f>IF(Q227=TRUE,G227-C227,0)</f>
        <v>0</v>
      </c>
      <c r="S227" s="51">
        <f>IF(Q227=TRUE,0,C227-G227)</f>
        <v>907.80000000000018</v>
      </c>
      <c r="T227" s="48">
        <f>IF(J227&lt;I227,1,0)+IF(K227&lt;J227,1,0)+IF(L227&lt;K227,1,0)+IF(M227&lt;L227,1,0)</f>
        <v>4</v>
      </c>
      <c r="U227" s="43">
        <v>79.08</v>
      </c>
      <c r="V227" s="30">
        <v>30.26</v>
      </c>
      <c r="W227" s="38" t="s">
        <v>247</v>
      </c>
      <c r="X227" s="38">
        <f>D227-C227</f>
        <v>-302.60000000000036</v>
      </c>
      <c r="Y227" s="38">
        <f>E227-D227</f>
        <v>-302.59999999999945</v>
      </c>
      <c r="Z227" s="38">
        <f>F227-E227</f>
        <v>-151.30000000000018</v>
      </c>
      <c r="AA227" s="38">
        <f>G227-F227</f>
        <v>-151.30000000000018</v>
      </c>
      <c r="AB227" s="38">
        <f>FORESTS[[#This Row],[Column7]]+FORESTS[[#This Row],[Column8]]</f>
        <v>-302.60000000000036</v>
      </c>
      <c r="AD227" s="63">
        <f>(D227-C227)/10</f>
        <v>-30.260000000000037</v>
      </c>
      <c r="AE227" s="63">
        <f>(E227-D227)/10</f>
        <v>-30.259999999999945</v>
      </c>
      <c r="AF227" s="63">
        <f>(F227-E227)/5</f>
        <v>-30.260000000000037</v>
      </c>
      <c r="AG227" s="63">
        <f>(G227-F227)/5</f>
        <v>-30.260000000000037</v>
      </c>
    </row>
    <row r="228" spans="1:33" x14ac:dyDescent="0.2">
      <c r="A228" s="28">
        <v>500</v>
      </c>
      <c r="B228" s="28" t="s">
        <v>210</v>
      </c>
      <c r="C228" s="30">
        <v>3.5</v>
      </c>
      <c r="D228" s="30">
        <v>2.5</v>
      </c>
      <c r="E228" s="30">
        <v>2.5</v>
      </c>
      <c r="F228" s="30">
        <v>2.5</v>
      </c>
      <c r="G228" s="30">
        <v>2.5</v>
      </c>
      <c r="H228" s="30">
        <v>10</v>
      </c>
      <c r="I228" s="54">
        <f>C228/$H228</f>
        <v>0.35</v>
      </c>
      <c r="J228" s="54">
        <f>D228/$H228</f>
        <v>0.25</v>
      </c>
      <c r="K228" s="54">
        <f>E228/$H228</f>
        <v>0.25</v>
      </c>
      <c r="L228" s="54">
        <f>F228/$H228</f>
        <v>0.25</v>
      </c>
      <c r="M228" s="54">
        <f>G228/$H228</f>
        <v>0.25</v>
      </c>
      <c r="N228" s="51">
        <f>FORESTS[[#This Row],[Area_2020]]-FORESTS[[#This Row],[Area_1990]]</f>
        <v>-1</v>
      </c>
      <c r="O228" s="51">
        <f>ABS(FORESTS[[#This Row],[Area_Delta]])</f>
        <v>1</v>
      </c>
      <c r="P228" s="104">
        <f>FORESTS[[#This Row],[Area_2020_%]]-FORESTS[[#This Row],[Area_1990_%]]</f>
        <v>-9.9999999999999978E-2</v>
      </c>
      <c r="Q228" s="54" t="b">
        <f>IF(G228&gt;C228, TRUE, FALSE)</f>
        <v>0</v>
      </c>
      <c r="R228" s="51">
        <f>IF(Q228=TRUE,G228-C228,0)</f>
        <v>0</v>
      </c>
      <c r="S228" s="51">
        <f>IF(Q228=TRUE,0,C228-G228)</f>
        <v>1</v>
      </c>
      <c r="T228" s="48">
        <f>IF(J228&lt;I228,1,0)+IF(K228&lt;J228,1,0)+IF(L228&lt;K228,1,0)+IF(M228&lt;L228,1,0)</f>
        <v>1</v>
      </c>
      <c r="U228" s="48">
        <v>25</v>
      </c>
      <c r="V228" s="30" t="s">
        <v>247</v>
      </c>
      <c r="W228" s="30" t="s">
        <v>247</v>
      </c>
      <c r="X228" s="38">
        <f>D228-C228</f>
        <v>-1</v>
      </c>
      <c r="Y228" s="38">
        <f>E228-D228</f>
        <v>0</v>
      </c>
      <c r="Z228" s="38">
        <f>F228-E228</f>
        <v>0</v>
      </c>
      <c r="AA228" s="38">
        <f>G228-F228</f>
        <v>0</v>
      </c>
      <c r="AB228" s="38">
        <f>FORESTS[[#This Row],[Column7]]+FORESTS[[#This Row],[Column8]]</f>
        <v>0</v>
      </c>
      <c r="AD228" s="63">
        <f>(D228-C228)/10</f>
        <v>-0.1</v>
      </c>
      <c r="AE228" s="63">
        <f>(E228-D228)/10</f>
        <v>0</v>
      </c>
      <c r="AF228" s="63">
        <f>(F228-E228)/5</f>
        <v>0</v>
      </c>
      <c r="AG228" s="63">
        <f>(G228-F228)/5</f>
        <v>0</v>
      </c>
    </row>
    <row r="229" spans="1:33" x14ac:dyDescent="0.2">
      <c r="A229" s="28">
        <v>24</v>
      </c>
      <c r="B229" s="28" t="s">
        <v>4</v>
      </c>
      <c r="C229" s="46">
        <v>79262.78</v>
      </c>
      <c r="D229" s="46">
        <v>77708.61</v>
      </c>
      <c r="E229" s="46">
        <v>72158</v>
      </c>
      <c r="F229" s="46">
        <v>69382.69</v>
      </c>
      <c r="G229" s="46">
        <v>66607.38</v>
      </c>
      <c r="H229" s="46">
        <v>124670</v>
      </c>
      <c r="I229" s="54">
        <f>C229/$H229</f>
        <v>0.635780701050774</v>
      </c>
      <c r="J229" s="54">
        <f>D229/$H229</f>
        <v>0.62331443009545195</v>
      </c>
      <c r="K229" s="54">
        <f>E229/$H229</f>
        <v>0.57879201090879928</v>
      </c>
      <c r="L229" s="54">
        <f>F229/$H229</f>
        <v>0.55653076120959333</v>
      </c>
      <c r="M229" s="54">
        <f>G229/$H229</f>
        <v>0.53426951151038748</v>
      </c>
      <c r="N229" s="51">
        <f>FORESTS[[#This Row],[Area_2020]]-FORESTS[[#This Row],[Area_1990]]</f>
        <v>-12655.399999999994</v>
      </c>
      <c r="O229" s="51">
        <f>ABS(FORESTS[[#This Row],[Area_Delta]])</f>
        <v>12655.399999999994</v>
      </c>
      <c r="P229" s="104">
        <f>FORESTS[[#This Row],[Area_2020_%]]-FORESTS[[#This Row],[Area_1990_%]]</f>
        <v>-0.10151118954038651</v>
      </c>
      <c r="Q229" s="48" t="b">
        <f>IF(G229&gt;C229, TRUE, FALSE)</f>
        <v>0</v>
      </c>
      <c r="R229" s="51">
        <f>IF(Q229=TRUE,G229-C229,0)</f>
        <v>0</v>
      </c>
      <c r="S229" s="51">
        <f>IF(Q229=TRUE,0,C229-G229)</f>
        <v>12655.399999999994</v>
      </c>
      <c r="T229" s="62">
        <f>IF(J229&lt;I229,1,0)+IF(K229&lt;J229,1,0)+IF(L229&lt;K229,1,0)+IF(M229&lt;L229,1,0)</f>
        <v>4</v>
      </c>
      <c r="U229" s="43">
        <v>53.43</v>
      </c>
      <c r="V229" s="30" t="s">
        <v>247</v>
      </c>
      <c r="W229" s="38" t="s">
        <v>247</v>
      </c>
      <c r="X229" s="38">
        <f>D229-C229</f>
        <v>-1554.1699999999983</v>
      </c>
      <c r="Y229" s="38">
        <f>E229-D229</f>
        <v>-5550.6100000000006</v>
      </c>
      <c r="Z229" s="38">
        <f>F229-E229</f>
        <v>-2775.3099999999977</v>
      </c>
      <c r="AA229" s="38">
        <f>G229-F229</f>
        <v>-2775.3099999999977</v>
      </c>
      <c r="AB229" s="38">
        <f>FORESTS[[#This Row],[Column7]]+FORESTS[[#This Row],[Column8]]</f>
        <v>-5550.6199999999953</v>
      </c>
      <c r="AD229" s="63">
        <f>(D229-C229)/10</f>
        <v>-155.41699999999983</v>
      </c>
      <c r="AE229" s="63">
        <f>(E229-D229)/10</f>
        <v>-555.06100000000004</v>
      </c>
      <c r="AF229" s="63">
        <f>(F229-E229)/5</f>
        <v>-555.06199999999956</v>
      </c>
      <c r="AG229" s="63">
        <f>(G229-F229)/5</f>
        <v>-555.06199999999956</v>
      </c>
    </row>
    <row r="230" spans="1:33" x14ac:dyDescent="0.2">
      <c r="A230" s="28">
        <v>180</v>
      </c>
      <c r="B230" s="28" t="s">
        <v>42</v>
      </c>
      <c r="C230" s="46">
        <v>150629</v>
      </c>
      <c r="D230" s="46">
        <v>143899</v>
      </c>
      <c r="E230" s="46">
        <v>137169</v>
      </c>
      <c r="F230" s="46">
        <v>131662.12</v>
      </c>
      <c r="G230" s="46">
        <v>126155.24</v>
      </c>
      <c r="H230" s="46">
        <v>226705</v>
      </c>
      <c r="I230" s="54">
        <f>C230/$H230</f>
        <v>0.66442733949405619</v>
      </c>
      <c r="J230" s="54">
        <f>D230/$H230</f>
        <v>0.63474118347632391</v>
      </c>
      <c r="K230" s="54">
        <f>E230/$H230</f>
        <v>0.60505502745859152</v>
      </c>
      <c r="L230" s="54">
        <f>F230/$H230</f>
        <v>0.58076407666350538</v>
      </c>
      <c r="M230" s="54">
        <f>G230/$H230</f>
        <v>0.55647312586841935</v>
      </c>
      <c r="N230" s="51">
        <f>FORESTS[[#This Row],[Area_2020]]-FORESTS[[#This Row],[Area_1990]]</f>
        <v>-24473.759999999995</v>
      </c>
      <c r="O230" s="51">
        <f>ABS(FORESTS[[#This Row],[Area_Delta]])</f>
        <v>24473.759999999995</v>
      </c>
      <c r="P230" s="104">
        <f>FORESTS[[#This Row],[Area_2020_%]]-FORESTS[[#This Row],[Area_1990_%]]</f>
        <v>-0.10795421362563684</v>
      </c>
      <c r="Q230" s="48" t="b">
        <f>IF(G230&gt;C230, TRUE, FALSE)</f>
        <v>0</v>
      </c>
      <c r="R230" s="51">
        <f>IF(Q230=TRUE,G230-C230,0)</f>
        <v>0</v>
      </c>
      <c r="S230" s="51">
        <f>IF(Q230=TRUE,0,C230-G230)</f>
        <v>24473.759999999995</v>
      </c>
      <c r="T230" s="62">
        <f>IF(J230&lt;I230,1,0)+IF(K230&lt;J230,1,0)+IF(L230&lt;K230,1,0)+IF(M230&lt;L230,1,0)</f>
        <v>4</v>
      </c>
      <c r="U230" s="43">
        <v>55.65</v>
      </c>
      <c r="V230" s="30" t="s">
        <v>247</v>
      </c>
      <c r="W230" s="38" t="s">
        <v>247</v>
      </c>
      <c r="X230" s="38">
        <f>D230-C230</f>
        <v>-6730</v>
      </c>
      <c r="Y230" s="38">
        <f>E230-D230</f>
        <v>-6730</v>
      </c>
      <c r="Z230" s="38">
        <f>F230-E230</f>
        <v>-5506.8800000000047</v>
      </c>
      <c r="AA230" s="38">
        <f>G230-F230</f>
        <v>-5506.8799999999901</v>
      </c>
      <c r="AB230" s="38">
        <f>FORESTS[[#This Row],[Column7]]+FORESTS[[#This Row],[Column8]]</f>
        <v>-11013.759999999995</v>
      </c>
      <c r="AD230" s="63">
        <f>(D230-C230)/10</f>
        <v>-673</v>
      </c>
      <c r="AE230" s="63">
        <f>(E230-D230)/10</f>
        <v>-673</v>
      </c>
      <c r="AF230" s="63">
        <f>(F230-E230)/5</f>
        <v>-1101.3760000000009</v>
      </c>
      <c r="AG230" s="63">
        <f>(G230-F230)/5</f>
        <v>-1101.3759999999979</v>
      </c>
    </row>
    <row r="231" spans="1:33" x14ac:dyDescent="0.2">
      <c r="A231" s="28">
        <v>76</v>
      </c>
      <c r="B231" s="28" t="s">
        <v>20</v>
      </c>
      <c r="C231" s="46">
        <v>588898</v>
      </c>
      <c r="D231" s="46">
        <v>551088.6</v>
      </c>
      <c r="E231" s="46">
        <v>511580.7</v>
      </c>
      <c r="F231" s="46">
        <v>503884.79999999999</v>
      </c>
      <c r="G231" s="46">
        <v>496619.6</v>
      </c>
      <c r="H231" s="46">
        <v>835814</v>
      </c>
      <c r="I231" s="54">
        <f>C231/$H231</f>
        <v>0.70458020564383939</v>
      </c>
      <c r="J231" s="54">
        <f>D231/$H231</f>
        <v>0.65934358601315601</v>
      </c>
      <c r="K231" s="54">
        <f>E231/$H231</f>
        <v>0.61207481568865807</v>
      </c>
      <c r="L231" s="54">
        <f>F231/$H231</f>
        <v>0.60286714508251837</v>
      </c>
      <c r="M231" s="54">
        <f>G231/$H231</f>
        <v>0.59417478051336781</v>
      </c>
      <c r="N231" s="51">
        <f>FORESTS[[#This Row],[Area_2020]]-FORESTS[[#This Row],[Area_1990]]</f>
        <v>-92278.400000000023</v>
      </c>
      <c r="O231" s="51">
        <f>ABS(FORESTS[[#This Row],[Area_Delta]])</f>
        <v>92278.400000000023</v>
      </c>
      <c r="P231" s="104">
        <f>FORESTS[[#This Row],[Area_2020_%]]-FORESTS[[#This Row],[Area_1990_%]]</f>
        <v>-0.11040542513047158</v>
      </c>
      <c r="Q231" s="48" t="b">
        <f>IF(G231&gt;C231, TRUE, FALSE)</f>
        <v>0</v>
      </c>
      <c r="R231" s="51">
        <f>IF(Q231=TRUE,G231-C231,0)</f>
        <v>0</v>
      </c>
      <c r="S231" s="51">
        <f>IF(Q231=TRUE,0,C231-G231)</f>
        <v>92278.400000000023</v>
      </c>
      <c r="T231" s="62">
        <f>IF(J231&lt;I231,1,0)+IF(K231&lt;J231,1,0)+IF(L231&lt;K231,1,0)+IF(M231&lt;L231,1,0)</f>
        <v>4</v>
      </c>
      <c r="U231" s="43">
        <v>59.42</v>
      </c>
      <c r="V231" s="30">
        <v>1695.7</v>
      </c>
      <c r="W231" s="38">
        <v>32998.07</v>
      </c>
      <c r="X231" s="38">
        <f>D231-C231</f>
        <v>-37809.400000000023</v>
      </c>
      <c r="Y231" s="38">
        <f>E231-D231</f>
        <v>-39507.899999999965</v>
      </c>
      <c r="Z231" s="38">
        <f>F231-E231</f>
        <v>-7695.9000000000233</v>
      </c>
      <c r="AA231" s="38">
        <f>G231-F231</f>
        <v>-7265.2000000000116</v>
      </c>
      <c r="AB231" s="38">
        <f>FORESTS[[#This Row],[Column7]]+FORESTS[[#This Row],[Column8]]</f>
        <v>-14961.100000000035</v>
      </c>
      <c r="AD231" s="63">
        <f>(D231-C231)/10</f>
        <v>-3780.9400000000023</v>
      </c>
      <c r="AE231" s="63">
        <f>(E231-D231)/10</f>
        <v>-3950.7899999999963</v>
      </c>
      <c r="AF231" s="63">
        <f>(F231-E231)/5</f>
        <v>-1539.1800000000046</v>
      </c>
      <c r="AG231" s="63">
        <f>(G231-F231)/5</f>
        <v>-1453.0400000000022</v>
      </c>
    </row>
    <row r="232" spans="1:33" x14ac:dyDescent="0.2">
      <c r="A232" s="28">
        <v>320</v>
      </c>
      <c r="B232" s="28" t="s">
        <v>68</v>
      </c>
      <c r="C232" s="46">
        <v>4781.2</v>
      </c>
      <c r="D232" s="46">
        <v>4209.2</v>
      </c>
      <c r="E232" s="46">
        <v>3722.6</v>
      </c>
      <c r="F232" s="46">
        <v>3585.8</v>
      </c>
      <c r="G232" s="46">
        <v>3527.8</v>
      </c>
      <c r="H232" s="46">
        <v>10716</v>
      </c>
      <c r="I232" s="54">
        <f>C232/$H232</f>
        <v>0.44617394550205297</v>
      </c>
      <c r="J232" s="54">
        <f>D232/$H232</f>
        <v>0.39279581933557295</v>
      </c>
      <c r="K232" s="54">
        <f>E232/$H232</f>
        <v>0.34738708473310936</v>
      </c>
      <c r="L232" s="54">
        <f>F232/$H232</f>
        <v>0.33462112728630089</v>
      </c>
      <c r="M232" s="54">
        <f>G232/$H232</f>
        <v>0.32920865994774173</v>
      </c>
      <c r="N232" s="51">
        <f>FORESTS[[#This Row],[Area_2020]]-FORESTS[[#This Row],[Area_1990]]</f>
        <v>-1253.3999999999996</v>
      </c>
      <c r="O232" s="51">
        <f>ABS(FORESTS[[#This Row],[Area_Delta]])</f>
        <v>1253.3999999999996</v>
      </c>
      <c r="P232" s="104">
        <f>FORESTS[[#This Row],[Area_2020_%]]-FORESTS[[#This Row],[Area_1990_%]]</f>
        <v>-0.11696528555431124</v>
      </c>
      <c r="Q232" s="54" t="b">
        <f>IF(G232&gt;C232, TRUE, FALSE)</f>
        <v>0</v>
      </c>
      <c r="R232" s="51">
        <f>IF(Q232=TRUE,G232-C232,0)</f>
        <v>0</v>
      </c>
      <c r="S232" s="51">
        <f>IF(Q232=TRUE,0,C232-G232)</f>
        <v>1253.3999999999996</v>
      </c>
      <c r="T232" s="48">
        <f>IF(J232&lt;I232,1,0)+IF(K232&lt;J232,1,0)+IF(L232&lt;K232,1,0)+IF(M232&lt;L232,1,0)</f>
        <v>4</v>
      </c>
      <c r="U232" s="43">
        <v>32.92</v>
      </c>
      <c r="V232" s="30">
        <v>11.6</v>
      </c>
      <c r="W232" s="38">
        <v>9.5</v>
      </c>
      <c r="X232" s="38">
        <f>D232-C232</f>
        <v>-572</v>
      </c>
      <c r="Y232" s="38">
        <f>E232-D232</f>
        <v>-486.59999999999991</v>
      </c>
      <c r="Z232" s="38">
        <f>F232-E232</f>
        <v>-136.79999999999973</v>
      </c>
      <c r="AA232" s="38">
        <f>G232-F232</f>
        <v>-58</v>
      </c>
      <c r="AB232" s="38">
        <f>FORESTS[[#This Row],[Column7]]+FORESTS[[#This Row],[Column8]]</f>
        <v>-194.79999999999973</v>
      </c>
      <c r="AD232" s="63">
        <f>(D232-C232)/10</f>
        <v>-57.2</v>
      </c>
      <c r="AE232" s="63">
        <f>(E232-D232)/10</f>
        <v>-48.659999999999989</v>
      </c>
      <c r="AF232" s="63">
        <f>(F232-E232)/5</f>
        <v>-27.359999999999946</v>
      </c>
      <c r="AG232" s="63">
        <f>(G232-F232)/5</f>
        <v>-11.6</v>
      </c>
    </row>
    <row r="233" spans="1:33" x14ac:dyDescent="0.2">
      <c r="A233" s="28">
        <v>834</v>
      </c>
      <c r="B233" s="28" t="s">
        <v>175</v>
      </c>
      <c r="C233" s="46">
        <v>57390.01</v>
      </c>
      <c r="D233" s="46">
        <v>53670.01</v>
      </c>
      <c r="E233" s="46">
        <v>49950.01</v>
      </c>
      <c r="F233" s="46">
        <v>48090</v>
      </c>
      <c r="G233" s="46">
        <v>45745</v>
      </c>
      <c r="H233" s="46">
        <v>88580</v>
      </c>
      <c r="I233" s="54">
        <f>C233/$H233</f>
        <v>0.64788902686836758</v>
      </c>
      <c r="J233" s="54">
        <f>D233/$H233</f>
        <v>0.60589309099119437</v>
      </c>
      <c r="K233" s="54">
        <f>E233/$H233</f>
        <v>0.56389715511402128</v>
      </c>
      <c r="L233" s="54">
        <f>F233/$H233</f>
        <v>0.54289907428313389</v>
      </c>
      <c r="M233" s="54">
        <f>G233/$H233</f>
        <v>0.51642582975841045</v>
      </c>
      <c r="N233" s="51">
        <f>FORESTS[[#This Row],[Area_2020]]-FORESTS[[#This Row],[Area_1990]]</f>
        <v>-11645.010000000002</v>
      </c>
      <c r="O233" s="51">
        <f>ABS(FORESTS[[#This Row],[Area_Delta]])</f>
        <v>11645.010000000002</v>
      </c>
      <c r="P233" s="104">
        <f>FORESTS[[#This Row],[Area_2020_%]]-FORESTS[[#This Row],[Area_1990_%]]</f>
        <v>-0.13146319710995713</v>
      </c>
      <c r="Q233" s="48" t="b">
        <f>IF(G233&gt;C233, TRUE, FALSE)</f>
        <v>0</v>
      </c>
      <c r="R233" s="51">
        <f>IF(Q233=TRUE,G233-C233,0)</f>
        <v>0</v>
      </c>
      <c r="S233" s="51">
        <f>IF(Q233=TRUE,0,C233-G233)</f>
        <v>11645.010000000002</v>
      </c>
      <c r="T233" s="62">
        <f>IF(J233&lt;I233,1,0)+IF(K233&lt;J233,1,0)+IF(L233&lt;K233,1,0)+IF(M233&lt;L233,1,0)</f>
        <v>4</v>
      </c>
      <c r="U233" s="43">
        <v>51.64</v>
      </c>
      <c r="V233" s="30">
        <v>474</v>
      </c>
      <c r="W233" s="38">
        <v>587.29999999999995</v>
      </c>
      <c r="X233" s="38">
        <f>D233-C233</f>
        <v>-3720</v>
      </c>
      <c r="Y233" s="38">
        <f>E233-D233</f>
        <v>-3720</v>
      </c>
      <c r="Z233" s="38">
        <f>F233-E233</f>
        <v>-1860.010000000002</v>
      </c>
      <c r="AA233" s="38">
        <f>G233-F233</f>
        <v>-2345</v>
      </c>
      <c r="AB233" s="38">
        <f>FORESTS[[#This Row],[Column7]]+FORESTS[[#This Row],[Column8]]</f>
        <v>-4205.010000000002</v>
      </c>
      <c r="AD233" s="63">
        <f>(D233-C233)/10</f>
        <v>-372</v>
      </c>
      <c r="AE233" s="63">
        <f>(E233-D233)/10</f>
        <v>-372</v>
      </c>
      <c r="AF233" s="63">
        <f>(F233-E233)/5</f>
        <v>-372.00200000000041</v>
      </c>
      <c r="AG233" s="63">
        <f>(G233-F233)/5</f>
        <v>-469</v>
      </c>
    </row>
    <row r="234" spans="1:33" x14ac:dyDescent="0.2">
      <c r="A234" s="28">
        <v>850</v>
      </c>
      <c r="B234" s="28" t="s">
        <v>176</v>
      </c>
      <c r="C234" s="30">
        <v>24.54</v>
      </c>
      <c r="D234" s="30">
        <v>20.47</v>
      </c>
      <c r="E234" s="30">
        <v>18.43</v>
      </c>
      <c r="F234" s="30">
        <v>19.16</v>
      </c>
      <c r="G234" s="30">
        <v>19.91</v>
      </c>
      <c r="H234" s="30">
        <v>35</v>
      </c>
      <c r="I234" s="54">
        <f>C234/$H234</f>
        <v>0.70114285714285707</v>
      </c>
      <c r="J234" s="54">
        <f>D234/$H234</f>
        <v>0.58485714285714285</v>
      </c>
      <c r="K234" s="54">
        <f>E234/$H234</f>
        <v>0.52657142857142858</v>
      </c>
      <c r="L234" s="54">
        <f>F234/$H234</f>
        <v>0.54742857142857149</v>
      </c>
      <c r="M234" s="54">
        <f>G234/$H234</f>
        <v>0.56885714285714284</v>
      </c>
      <c r="N234" s="51">
        <f>FORESTS[[#This Row],[Area_2020]]-FORESTS[[#This Row],[Area_1990]]</f>
        <v>-4.629999999999999</v>
      </c>
      <c r="O234" s="51">
        <f>ABS(FORESTS[[#This Row],[Area_Delta]])</f>
        <v>4.629999999999999</v>
      </c>
      <c r="P234" s="104">
        <f>FORESTS[[#This Row],[Area_2020_%]]-FORESTS[[#This Row],[Area_1990_%]]</f>
        <v>-0.13228571428571423</v>
      </c>
      <c r="Q234" s="54" t="b">
        <f>IF(G234&gt;C234, TRUE, FALSE)</f>
        <v>0</v>
      </c>
      <c r="R234" s="51">
        <f>IF(Q234=TRUE,G234-C234,0)</f>
        <v>0</v>
      </c>
      <c r="S234" s="51">
        <f>IF(Q234=TRUE,0,C234-G234)</f>
        <v>4.629999999999999</v>
      </c>
      <c r="T234" s="48">
        <f>IF(J234&lt;I234,1,0)+IF(K234&lt;J234,1,0)+IF(L234&lt;K234,1,0)+IF(M234&lt;L234,1,0)</f>
        <v>2</v>
      </c>
      <c r="U234" s="48">
        <v>56.89</v>
      </c>
      <c r="V234" s="30" t="s">
        <v>247</v>
      </c>
      <c r="W234" s="30" t="s">
        <v>247</v>
      </c>
      <c r="X234" s="38">
        <f>D234-C234</f>
        <v>-4.07</v>
      </c>
      <c r="Y234" s="38">
        <f>E234-D234</f>
        <v>-2.0399999999999991</v>
      </c>
      <c r="Z234" s="38">
        <f>F234-E234</f>
        <v>0.73000000000000043</v>
      </c>
      <c r="AA234" s="38">
        <f>G234-F234</f>
        <v>0.75</v>
      </c>
      <c r="AB234" s="38">
        <f>FORESTS[[#This Row],[Column7]]+FORESTS[[#This Row],[Column8]]</f>
        <v>1.4800000000000004</v>
      </c>
      <c r="AD234" s="63">
        <f>(D234-C234)/10</f>
        <v>-0.40700000000000003</v>
      </c>
      <c r="AE234" s="63">
        <f>(E234-D234)/10</f>
        <v>-0.2039999999999999</v>
      </c>
      <c r="AF234" s="63">
        <f>(F234-E234)/5</f>
        <v>0.14600000000000007</v>
      </c>
      <c r="AG234" s="63">
        <f>(G234-F234)/5</f>
        <v>0.15</v>
      </c>
    </row>
    <row r="235" spans="1:33" x14ac:dyDescent="0.2">
      <c r="A235" s="28">
        <v>454</v>
      </c>
      <c r="B235" s="28" t="s">
        <v>97</v>
      </c>
      <c r="C235" s="46">
        <v>3501.7</v>
      </c>
      <c r="D235" s="46">
        <v>3081.7</v>
      </c>
      <c r="E235" s="46">
        <v>2661.7</v>
      </c>
      <c r="F235" s="46">
        <v>2451.6999999999998</v>
      </c>
      <c r="G235" s="46">
        <v>2241.6999999999998</v>
      </c>
      <c r="H235" s="46">
        <v>9428</v>
      </c>
      <c r="I235" s="54">
        <f>C235/$H235</f>
        <v>0.37141493423843869</v>
      </c>
      <c r="J235" s="54">
        <f>D235/$H235</f>
        <v>0.32686677980483664</v>
      </c>
      <c r="K235" s="54">
        <f>E235/$H235</f>
        <v>0.28231862537123459</v>
      </c>
      <c r="L235" s="54">
        <f>F235/$H235</f>
        <v>0.26004454815443356</v>
      </c>
      <c r="M235" s="54">
        <f>G235/$H235</f>
        <v>0.23777047093763257</v>
      </c>
      <c r="N235" s="51">
        <f>FORESTS[[#This Row],[Area_2020]]-FORESTS[[#This Row],[Area_1990]]</f>
        <v>-1260</v>
      </c>
      <c r="O235" s="51">
        <f>ABS(FORESTS[[#This Row],[Area_Delta]])</f>
        <v>1260</v>
      </c>
      <c r="P235" s="104">
        <f>FORESTS[[#This Row],[Area_2020_%]]-FORESTS[[#This Row],[Area_1990_%]]</f>
        <v>-0.13364446330080612</v>
      </c>
      <c r="Q235" s="54" t="b">
        <f>IF(G235&gt;C235, TRUE, FALSE)</f>
        <v>0</v>
      </c>
      <c r="R235" s="51">
        <f>IF(Q235=TRUE,G235-C235,0)</f>
        <v>0</v>
      </c>
      <c r="S235" s="51">
        <f>IF(Q235=TRUE,0,C235-G235)</f>
        <v>1260</v>
      </c>
      <c r="T235" s="48">
        <f>IF(J235&lt;I235,1,0)+IF(K235&lt;J235,1,0)+IF(L235&lt;K235,1,0)+IF(M235&lt;L235,1,0)</f>
        <v>4</v>
      </c>
      <c r="U235" s="43">
        <v>23.78</v>
      </c>
      <c r="V235" s="30">
        <v>42</v>
      </c>
      <c r="W235" s="38">
        <v>412.61</v>
      </c>
      <c r="X235" s="38">
        <f>D235-C235</f>
        <v>-420</v>
      </c>
      <c r="Y235" s="38">
        <f>E235-D235</f>
        <v>-420</v>
      </c>
      <c r="Z235" s="38">
        <f>F235-E235</f>
        <v>-210</v>
      </c>
      <c r="AA235" s="38">
        <f>G235-F235</f>
        <v>-210</v>
      </c>
      <c r="AB235" s="38">
        <f>FORESTS[[#This Row],[Column7]]+FORESTS[[#This Row],[Column8]]</f>
        <v>-420</v>
      </c>
      <c r="AD235" s="63">
        <f>(D235-C235)/10</f>
        <v>-42</v>
      </c>
      <c r="AE235" s="63">
        <f>(E235-D235)/10</f>
        <v>-42</v>
      </c>
      <c r="AF235" s="63">
        <f>(F235-E235)/5</f>
        <v>-42</v>
      </c>
      <c r="AG235" s="63">
        <f>(G235-F235)/5</f>
        <v>-42</v>
      </c>
    </row>
    <row r="236" spans="1:33" x14ac:dyDescent="0.2">
      <c r="A236" s="28">
        <v>360</v>
      </c>
      <c r="B236" s="28" t="s">
        <v>76</v>
      </c>
      <c r="C236" s="46">
        <v>118545</v>
      </c>
      <c r="D236" s="46">
        <v>101280</v>
      </c>
      <c r="E236" s="46">
        <v>99659.199999999997</v>
      </c>
      <c r="F236" s="46">
        <v>95027.9</v>
      </c>
      <c r="G236" s="46">
        <v>92133.2</v>
      </c>
      <c r="H236" s="46">
        <v>187752</v>
      </c>
      <c r="I236" s="54">
        <f>C236/$H236</f>
        <v>0.63139140994503384</v>
      </c>
      <c r="J236" s="54">
        <f>D236/$H236</f>
        <v>0.53943499936085904</v>
      </c>
      <c r="K236" s="54">
        <f>E236/$H236</f>
        <v>0.53080233499509988</v>
      </c>
      <c r="L236" s="54">
        <f>F236/$H236</f>
        <v>0.50613522092973706</v>
      </c>
      <c r="M236" s="54">
        <f>G236/$H236</f>
        <v>0.49071754228982911</v>
      </c>
      <c r="N236" s="51">
        <f>FORESTS[[#This Row],[Area_2020]]-FORESTS[[#This Row],[Area_1990]]</f>
        <v>-26411.800000000003</v>
      </c>
      <c r="O236" s="51">
        <f>ABS(FORESTS[[#This Row],[Area_Delta]])</f>
        <v>26411.800000000003</v>
      </c>
      <c r="P236" s="104">
        <f>FORESTS[[#This Row],[Area_2020_%]]-FORESTS[[#This Row],[Area_1990_%]]</f>
        <v>-0.14067386765520473</v>
      </c>
      <c r="Q236" s="48" t="b">
        <f>IF(G236&gt;C236, TRUE, FALSE)</f>
        <v>0</v>
      </c>
      <c r="R236" s="51">
        <f>IF(Q236=TRUE,G236-C236,0)</f>
        <v>0</v>
      </c>
      <c r="S236" s="51">
        <f>IF(Q236=TRUE,0,C236-G236)</f>
        <v>26411.800000000003</v>
      </c>
      <c r="T236" s="62">
        <f>IF(J236&lt;I236,1,0)+IF(K236&lt;J236,1,0)+IF(L236&lt;K236,1,0)+IF(M236&lt;L236,1,0)</f>
        <v>4</v>
      </c>
      <c r="U236" s="43">
        <v>49.07</v>
      </c>
      <c r="V236" s="30">
        <v>650</v>
      </c>
      <c r="W236" s="38" t="s">
        <v>247</v>
      </c>
      <c r="X236" s="38">
        <f>D236-C236</f>
        <v>-17265</v>
      </c>
      <c r="Y236" s="38">
        <f>E236-D236</f>
        <v>-1620.8000000000029</v>
      </c>
      <c r="Z236" s="38">
        <f>F236-E236</f>
        <v>-4631.3000000000029</v>
      </c>
      <c r="AA236" s="38">
        <f>G236-F236</f>
        <v>-2894.6999999999971</v>
      </c>
      <c r="AB236" s="38">
        <f>FORESTS[[#This Row],[Column7]]+FORESTS[[#This Row],[Column8]]</f>
        <v>-7526</v>
      </c>
      <c r="AD236" s="63">
        <f>(D236-C236)/10</f>
        <v>-1726.5</v>
      </c>
      <c r="AE236" s="63">
        <f>(E236-D236)/10</f>
        <v>-162.0800000000003</v>
      </c>
      <c r="AF236" s="63">
        <f>(F236-E236)/5</f>
        <v>-926.26000000000056</v>
      </c>
      <c r="AG236" s="63">
        <f>(G236-F236)/5</f>
        <v>-578.93999999999937</v>
      </c>
    </row>
    <row r="237" spans="1:33" x14ac:dyDescent="0.2">
      <c r="A237" s="28">
        <v>175</v>
      </c>
      <c r="B237" s="28" t="s">
        <v>106</v>
      </c>
      <c r="C237" s="46">
        <v>19.100000000000001</v>
      </c>
      <c r="D237" s="46">
        <v>15.67</v>
      </c>
      <c r="E237" s="46">
        <v>14.41</v>
      </c>
      <c r="F237" s="46">
        <v>14.14</v>
      </c>
      <c r="G237" s="46">
        <v>13.89</v>
      </c>
      <c r="H237" s="46">
        <v>37</v>
      </c>
      <c r="I237" s="54">
        <f>C237/$H237</f>
        <v>0.51621621621621627</v>
      </c>
      <c r="J237" s="54">
        <f>D237/$H237</f>
        <v>0.42351351351351352</v>
      </c>
      <c r="K237" s="54">
        <f>E237/$H237</f>
        <v>0.38945945945945948</v>
      </c>
      <c r="L237" s="54">
        <f>F237/$H237</f>
        <v>0.3821621621621622</v>
      </c>
      <c r="M237" s="54">
        <f>G237/$H237</f>
        <v>0.3754054054054054</v>
      </c>
      <c r="N237" s="51">
        <f>FORESTS[[#This Row],[Area_2020]]-FORESTS[[#This Row],[Area_1990]]</f>
        <v>-5.2100000000000009</v>
      </c>
      <c r="O237" s="51">
        <f>ABS(FORESTS[[#This Row],[Area_Delta]])</f>
        <v>5.2100000000000009</v>
      </c>
      <c r="P237" s="104">
        <f>FORESTS[[#This Row],[Area_2020_%]]-FORESTS[[#This Row],[Area_1990_%]]</f>
        <v>-0.14081081081081087</v>
      </c>
      <c r="Q237" s="54" t="b">
        <f>IF(G237&gt;C237, TRUE, FALSE)</f>
        <v>0</v>
      </c>
      <c r="R237" s="51">
        <f>IF(Q237=TRUE,G237-C237,0)</f>
        <v>0</v>
      </c>
      <c r="S237" s="51">
        <f>IF(Q237=TRUE,0,C237-G237)</f>
        <v>5.2100000000000009</v>
      </c>
      <c r="T237" s="48">
        <f>IF(J237&lt;I237,1,0)+IF(K237&lt;J237,1,0)+IF(L237&lt;K237,1,0)+IF(M237&lt;L237,1,0)</f>
        <v>4</v>
      </c>
      <c r="U237" s="48">
        <v>37.54</v>
      </c>
      <c r="V237" s="30">
        <v>0.06</v>
      </c>
      <c r="W237" s="30" t="s">
        <v>247</v>
      </c>
      <c r="X237" s="38">
        <f>D237-C237</f>
        <v>-3.4300000000000015</v>
      </c>
      <c r="Y237" s="38">
        <f>E237-D237</f>
        <v>-1.2599999999999998</v>
      </c>
      <c r="Z237" s="38">
        <f>F237-E237</f>
        <v>-0.26999999999999957</v>
      </c>
      <c r="AA237" s="38">
        <f>G237-F237</f>
        <v>-0.25</v>
      </c>
      <c r="AB237" s="38">
        <f>FORESTS[[#This Row],[Column7]]+FORESTS[[#This Row],[Column8]]</f>
        <v>-0.51999999999999957</v>
      </c>
      <c r="AD237" s="63">
        <f>(D237-C237)/10</f>
        <v>-0.34300000000000014</v>
      </c>
      <c r="AE237" s="63">
        <f>(E237-D237)/10</f>
        <v>-0.12599999999999997</v>
      </c>
      <c r="AF237" s="63">
        <f>(F237-E237)/5</f>
        <v>-5.3999999999999916E-2</v>
      </c>
      <c r="AG237" s="63">
        <f>(G237-F237)/5</f>
        <v>-0.05</v>
      </c>
    </row>
    <row r="238" spans="1:33" x14ac:dyDescent="0.2">
      <c r="A238" s="28">
        <v>84</v>
      </c>
      <c r="B238" s="28" t="s">
        <v>15</v>
      </c>
      <c r="C238" s="46">
        <v>1600.03</v>
      </c>
      <c r="D238" s="46">
        <v>1459.3</v>
      </c>
      <c r="E238" s="46">
        <v>1391.39</v>
      </c>
      <c r="F238" s="46">
        <v>1332.83</v>
      </c>
      <c r="G238" s="46">
        <v>1277.05</v>
      </c>
      <c r="H238" s="46">
        <v>2281</v>
      </c>
      <c r="I238" s="54">
        <f>C238/$H238</f>
        <v>0.70145988601490572</v>
      </c>
      <c r="J238" s="54">
        <f>D238/$H238</f>
        <v>0.63976326172731257</v>
      </c>
      <c r="K238" s="54">
        <f>E238/$H238</f>
        <v>0.60999123191582638</v>
      </c>
      <c r="L238" s="54">
        <f>F238/$H238</f>
        <v>0.58431828145550191</v>
      </c>
      <c r="M238" s="54">
        <f>G238/$H238</f>
        <v>0.55986409469530907</v>
      </c>
      <c r="N238" s="51">
        <f>FORESTS[[#This Row],[Area_2020]]-FORESTS[[#This Row],[Area_1990]]</f>
        <v>-322.98</v>
      </c>
      <c r="O238" s="51">
        <f>ABS(FORESTS[[#This Row],[Area_Delta]])</f>
        <v>322.98</v>
      </c>
      <c r="P238" s="104">
        <f>FORESTS[[#This Row],[Area_2020_%]]-FORESTS[[#This Row],[Area_1990_%]]</f>
        <v>-0.14159579131959665</v>
      </c>
      <c r="Q238" s="54" t="b">
        <f>IF(G238&gt;C238, TRUE, FALSE)</f>
        <v>0</v>
      </c>
      <c r="R238" s="51">
        <f>IF(Q238=TRUE,G238-C238,0)</f>
        <v>0</v>
      </c>
      <c r="S238" s="51">
        <f>IF(Q238=TRUE,0,C238-G238)</f>
        <v>322.98</v>
      </c>
      <c r="T238" s="48">
        <f>IF(J238&lt;I238,1,0)+IF(K238&lt;J238,1,0)+IF(L238&lt;K238,1,0)+IF(M238&lt;L238,1,0)</f>
        <v>4</v>
      </c>
      <c r="U238" s="48">
        <v>55.99</v>
      </c>
      <c r="V238" s="30">
        <v>11.16</v>
      </c>
      <c r="W238" s="30" t="s">
        <v>247</v>
      </c>
      <c r="X238" s="38">
        <f>D238-C238</f>
        <v>-140.73000000000002</v>
      </c>
      <c r="Y238" s="38">
        <f>E238-D238</f>
        <v>-67.909999999999854</v>
      </c>
      <c r="Z238" s="38">
        <f>F238-E238</f>
        <v>-58.560000000000173</v>
      </c>
      <c r="AA238" s="38">
        <f>G238-F238</f>
        <v>-55.779999999999973</v>
      </c>
      <c r="AB238" s="38">
        <f>FORESTS[[#This Row],[Column7]]+FORESTS[[#This Row],[Column8]]</f>
        <v>-114.34000000000015</v>
      </c>
      <c r="AD238" s="63">
        <f>(D238-C238)/10</f>
        <v>-14.073000000000002</v>
      </c>
      <c r="AE238" s="63">
        <f>(E238-D238)/10</f>
        <v>-6.7909999999999853</v>
      </c>
      <c r="AF238" s="63">
        <f>(F238-E238)/5</f>
        <v>-11.712000000000035</v>
      </c>
      <c r="AG238" s="63">
        <f>(G238-F238)/5</f>
        <v>-11.155999999999995</v>
      </c>
    </row>
    <row r="239" spans="1:33" x14ac:dyDescent="0.2">
      <c r="A239" s="28">
        <v>204</v>
      </c>
      <c r="B239" s="28" t="s">
        <v>16</v>
      </c>
      <c r="C239" s="46">
        <v>4835.1499999999996</v>
      </c>
      <c r="D239" s="46">
        <v>4135.1499999999996</v>
      </c>
      <c r="E239" s="46">
        <v>3635.15</v>
      </c>
      <c r="F239" s="46">
        <v>3385.15</v>
      </c>
      <c r="G239" s="46">
        <v>3135.15</v>
      </c>
      <c r="H239" s="46">
        <v>11276</v>
      </c>
      <c r="I239" s="54">
        <f>C239/$H239</f>
        <v>0.42880010642071653</v>
      </c>
      <c r="J239" s="54">
        <f>D239/$H239</f>
        <v>0.36672135509045756</v>
      </c>
      <c r="K239" s="54">
        <f>E239/$H239</f>
        <v>0.32237938985455838</v>
      </c>
      <c r="L239" s="54">
        <f>F239/$H239</f>
        <v>0.30020840723660874</v>
      </c>
      <c r="M239" s="54">
        <f>G239/$H239</f>
        <v>0.2780374246186591</v>
      </c>
      <c r="N239" s="51">
        <f>FORESTS[[#This Row],[Area_2020]]-FORESTS[[#This Row],[Area_1990]]</f>
        <v>-1699.9999999999995</v>
      </c>
      <c r="O239" s="51">
        <f>ABS(FORESTS[[#This Row],[Area_Delta]])</f>
        <v>1699.9999999999995</v>
      </c>
      <c r="P239" s="104">
        <f>FORESTS[[#This Row],[Area_2020_%]]-FORESTS[[#This Row],[Area_1990_%]]</f>
        <v>-0.15076268180205743</v>
      </c>
      <c r="Q239" s="54" t="b">
        <f>IF(G239&gt;C239, TRUE, FALSE)</f>
        <v>0</v>
      </c>
      <c r="R239" s="51">
        <f>IF(Q239=TRUE,G239-C239,0)</f>
        <v>0</v>
      </c>
      <c r="S239" s="51">
        <f>IF(Q239=TRUE,0,C239-G239)</f>
        <v>1699.9999999999995</v>
      </c>
      <c r="T239" s="48">
        <f>IF(J239&lt;I239,1,0)+IF(K239&lt;J239,1,0)+IF(L239&lt;K239,1,0)+IF(M239&lt;L239,1,0)</f>
        <v>4</v>
      </c>
      <c r="U239" s="43">
        <v>27.8</v>
      </c>
      <c r="V239" s="30" t="s">
        <v>247</v>
      </c>
      <c r="W239" s="38" t="s">
        <v>247</v>
      </c>
      <c r="X239" s="38">
        <f>D239-C239</f>
        <v>-700</v>
      </c>
      <c r="Y239" s="38">
        <f>E239-D239</f>
        <v>-499.99999999999955</v>
      </c>
      <c r="Z239" s="38">
        <f>F239-E239</f>
        <v>-250</v>
      </c>
      <c r="AA239" s="38">
        <f>G239-F239</f>
        <v>-250</v>
      </c>
      <c r="AB239" s="38">
        <f>FORESTS[[#This Row],[Column7]]+FORESTS[[#This Row],[Column8]]</f>
        <v>-500</v>
      </c>
      <c r="AD239" s="63">
        <f>(D239-C239)/10</f>
        <v>-70</v>
      </c>
      <c r="AE239" s="63">
        <f>(E239-D239)/10</f>
        <v>-49.999999999999957</v>
      </c>
      <c r="AF239" s="63">
        <f>(F239-E239)/5</f>
        <v>-50</v>
      </c>
      <c r="AG239" s="63">
        <f>(G239-F239)/5</f>
        <v>-50</v>
      </c>
    </row>
    <row r="240" spans="1:33" x14ac:dyDescent="0.2">
      <c r="A240" s="28">
        <v>384</v>
      </c>
      <c r="B240" s="31" t="s">
        <v>200</v>
      </c>
      <c r="C240" s="46">
        <v>7850.86</v>
      </c>
      <c r="D240" s="46">
        <v>5094.45</v>
      </c>
      <c r="E240" s="46">
        <v>3965.58</v>
      </c>
      <c r="F240" s="46">
        <v>3401.15</v>
      </c>
      <c r="G240" s="46">
        <v>2836.71</v>
      </c>
      <c r="H240" s="46">
        <v>31800</v>
      </c>
      <c r="I240" s="54">
        <f>C240/$H240</f>
        <v>0.2468823899371069</v>
      </c>
      <c r="J240" s="54">
        <f>D240/$H240</f>
        <v>0.16020283018867923</v>
      </c>
      <c r="K240" s="54">
        <f>E240/$H240</f>
        <v>0.12470377358490566</v>
      </c>
      <c r="L240" s="54">
        <f>F240/$H240</f>
        <v>0.10695440251572327</v>
      </c>
      <c r="M240" s="54">
        <f>G240/$H240</f>
        <v>8.9204716981132082E-2</v>
      </c>
      <c r="N240" s="51">
        <f>FORESTS[[#This Row],[Area_2020]]-FORESTS[[#This Row],[Area_1990]]</f>
        <v>-5014.1499999999996</v>
      </c>
      <c r="O240" s="51">
        <f>ABS(FORESTS[[#This Row],[Area_Delta]])</f>
        <v>5014.1499999999996</v>
      </c>
      <c r="P240" s="104">
        <f>FORESTS[[#This Row],[Area_2020_%]]-FORESTS[[#This Row],[Area_1990_%]]</f>
        <v>-0.15767767295597482</v>
      </c>
      <c r="Q240" s="48" t="b">
        <f>IF(G240&gt;C240, TRUE, FALSE)</f>
        <v>0</v>
      </c>
      <c r="R240" s="51">
        <f>IF(Q240=TRUE,G240-C240,0)</f>
        <v>0</v>
      </c>
      <c r="S240" s="51">
        <f>IF(Q240=TRUE,0,C240-G240)</f>
        <v>5014.1499999999996</v>
      </c>
      <c r="T240" s="48">
        <f>IF(J240&lt;I240,1,0)+IF(K240&lt;J240,1,0)+IF(L240&lt;K240,1,0)+IF(M240&lt;L240,1,0)</f>
        <v>4</v>
      </c>
      <c r="U240" s="43">
        <v>8.92</v>
      </c>
      <c r="V240" s="30" t="s">
        <v>247</v>
      </c>
      <c r="W240" s="38" t="s">
        <v>247</v>
      </c>
      <c r="X240" s="38">
        <f>D240-C240</f>
        <v>-2756.41</v>
      </c>
      <c r="Y240" s="38">
        <f>E240-D240</f>
        <v>-1128.8699999999999</v>
      </c>
      <c r="Z240" s="38">
        <f>F240-E240</f>
        <v>-564.42999999999984</v>
      </c>
      <c r="AA240" s="38">
        <f>G240-F240</f>
        <v>-564.44000000000005</v>
      </c>
      <c r="AB240" s="38">
        <f>FORESTS[[#This Row],[Column7]]+FORESTS[[#This Row],[Column8]]</f>
        <v>-1128.8699999999999</v>
      </c>
      <c r="AD240" s="63">
        <f>(D240-C240)/10</f>
        <v>-275.64099999999996</v>
      </c>
      <c r="AE240" s="63">
        <f>(E240-D240)/10</f>
        <v>-112.88699999999999</v>
      </c>
      <c r="AF240" s="63">
        <f>(F240-E240)/5</f>
        <v>-112.88599999999997</v>
      </c>
      <c r="AG240" s="63">
        <f>(G240-F240)/5</f>
        <v>-112.88800000000001</v>
      </c>
    </row>
    <row r="241" spans="1:35" x14ac:dyDescent="0.2">
      <c r="A241" s="28">
        <v>104</v>
      </c>
      <c r="B241" s="28" t="s">
        <v>113</v>
      </c>
      <c r="C241" s="46">
        <v>39218.480000000003</v>
      </c>
      <c r="D241" s="46">
        <v>34868.11</v>
      </c>
      <c r="E241" s="46">
        <v>31441</v>
      </c>
      <c r="F241" s="46">
        <v>29992.44</v>
      </c>
      <c r="G241" s="46">
        <v>28543.89</v>
      </c>
      <c r="H241" s="46">
        <v>65308</v>
      </c>
      <c r="I241" s="54">
        <f>C241/$H241</f>
        <v>0.60051571017333261</v>
      </c>
      <c r="J241" s="54">
        <f>D241/$H241</f>
        <v>0.53390258467569063</v>
      </c>
      <c r="K241" s="54">
        <f>E241/$H241</f>
        <v>0.48142647148894469</v>
      </c>
      <c r="L241" s="54">
        <f>F241/$H241</f>
        <v>0.45924603417651738</v>
      </c>
      <c r="M241" s="54">
        <f>G241/$H241</f>
        <v>0.43706574998468795</v>
      </c>
      <c r="N241" s="51">
        <f>FORESTS[[#This Row],[Area_2020]]-FORESTS[[#This Row],[Area_1990]]</f>
        <v>-10674.590000000004</v>
      </c>
      <c r="O241" s="51">
        <f>ABS(FORESTS[[#This Row],[Area_Delta]])</f>
        <v>10674.590000000004</v>
      </c>
      <c r="P241" s="104">
        <f>FORESTS[[#This Row],[Area_2020_%]]-FORESTS[[#This Row],[Area_1990_%]]</f>
        <v>-0.16344996018864466</v>
      </c>
      <c r="Q241" s="48" t="b">
        <f>IF(G241&gt;C241, TRUE, FALSE)</f>
        <v>0</v>
      </c>
      <c r="R241" s="51">
        <f>IF(Q241=TRUE,G241-C241,0)</f>
        <v>0</v>
      </c>
      <c r="S241" s="51">
        <f>IF(Q241=TRUE,0,C241-G241)</f>
        <v>10674.590000000004</v>
      </c>
      <c r="T241" s="62">
        <f>IF(J241&lt;I241,1,0)+IF(K241&lt;J241,1,0)+IF(L241&lt;K241,1,0)+IF(M241&lt;L241,1,0)</f>
        <v>4</v>
      </c>
      <c r="U241" s="43">
        <v>43.71</v>
      </c>
      <c r="V241" s="30">
        <v>293.92</v>
      </c>
      <c r="W241" s="38">
        <v>1186.9000000000001</v>
      </c>
      <c r="X241" s="38">
        <f>D241-C241</f>
        <v>-4350.3700000000026</v>
      </c>
      <c r="Y241" s="38">
        <f>E241-D241</f>
        <v>-3427.1100000000006</v>
      </c>
      <c r="Z241" s="38">
        <f>F241-E241</f>
        <v>-1448.5600000000013</v>
      </c>
      <c r="AA241" s="38">
        <f>G241-F241</f>
        <v>-1448.5499999999993</v>
      </c>
      <c r="AB241" s="38">
        <f>FORESTS[[#This Row],[Column7]]+FORESTS[[#This Row],[Column8]]</f>
        <v>-2897.1100000000006</v>
      </c>
      <c r="AD241" s="63">
        <f>(D241-C241)/10</f>
        <v>-435.03700000000026</v>
      </c>
      <c r="AE241" s="63">
        <f>(E241-D241)/10</f>
        <v>-342.71100000000007</v>
      </c>
      <c r="AF241" s="63">
        <f>(F241-E241)/5</f>
        <v>-289.71200000000027</v>
      </c>
      <c r="AG241" s="63">
        <f>(G241-F241)/5</f>
        <v>-289.70999999999987</v>
      </c>
    </row>
    <row r="242" spans="1:35" x14ac:dyDescent="0.2">
      <c r="A242" s="28">
        <v>116</v>
      </c>
      <c r="B242" s="28" t="s">
        <v>26</v>
      </c>
      <c r="C242" s="46">
        <v>11004.79</v>
      </c>
      <c r="D242" s="46">
        <v>10781</v>
      </c>
      <c r="E242" s="46">
        <v>10589.23</v>
      </c>
      <c r="F242" s="46">
        <v>8846.82</v>
      </c>
      <c r="G242" s="46">
        <v>8068.37</v>
      </c>
      <c r="H242" s="46">
        <v>17652</v>
      </c>
      <c r="I242" s="54">
        <f>C242/$H242</f>
        <v>0.62343020620892819</v>
      </c>
      <c r="J242" s="54">
        <f>D242/$H242</f>
        <v>0.61075232268298207</v>
      </c>
      <c r="K242" s="54">
        <f>E242/$H242</f>
        <v>0.59988839791525039</v>
      </c>
      <c r="L242" s="54">
        <f>F242/$H242</f>
        <v>0.50117946974847039</v>
      </c>
      <c r="M242" s="54">
        <f>G242/$H242</f>
        <v>0.45707965103104464</v>
      </c>
      <c r="N242" s="51">
        <f>FORESTS[[#This Row],[Area_2020]]-FORESTS[[#This Row],[Area_1990]]</f>
        <v>-2936.420000000001</v>
      </c>
      <c r="O242" s="51">
        <f>ABS(FORESTS[[#This Row],[Area_Delta]])</f>
        <v>2936.420000000001</v>
      </c>
      <c r="P242" s="104">
        <f>FORESTS[[#This Row],[Area_2020_%]]-FORESTS[[#This Row],[Area_1990_%]]</f>
        <v>-0.16635055517788355</v>
      </c>
      <c r="Q242" s="54" t="b">
        <f>IF(G242&gt;C242, TRUE, FALSE)</f>
        <v>0</v>
      </c>
      <c r="R242" s="51">
        <f>IF(Q242=TRUE,G242-C242,0)</f>
        <v>0</v>
      </c>
      <c r="S242" s="51">
        <f>IF(Q242=TRUE,0,C242-G242)</f>
        <v>2936.420000000001</v>
      </c>
      <c r="T242" s="48">
        <f>IF(J242&lt;I242,1,0)+IF(K242&lt;J242,1,0)+IF(L242&lt;K242,1,0)+IF(M242&lt;L242,1,0)</f>
        <v>4</v>
      </c>
      <c r="U242" s="43">
        <v>45.71</v>
      </c>
      <c r="V242" s="30" t="s">
        <v>247</v>
      </c>
      <c r="W242" s="38">
        <v>446</v>
      </c>
      <c r="X242" s="38">
        <f>D242-C242</f>
        <v>-223.79000000000087</v>
      </c>
      <c r="Y242" s="38">
        <f>E242-D242</f>
        <v>-191.77000000000044</v>
      </c>
      <c r="Z242" s="38">
        <f>F242-E242</f>
        <v>-1742.4099999999999</v>
      </c>
      <c r="AA242" s="38">
        <f>G242-F242</f>
        <v>-778.44999999999982</v>
      </c>
      <c r="AB242" s="38">
        <f>FORESTS[[#This Row],[Column7]]+FORESTS[[#This Row],[Column8]]</f>
        <v>-2520.8599999999997</v>
      </c>
      <c r="AD242" s="63">
        <f>(D242-C242)/10</f>
        <v>-22.379000000000087</v>
      </c>
      <c r="AE242" s="63">
        <f>(E242-D242)/10</f>
        <v>-19.177000000000042</v>
      </c>
      <c r="AF242" s="63">
        <f>(F242-E242)/5</f>
        <v>-348.48199999999997</v>
      </c>
      <c r="AG242" s="63">
        <f>(G242-F242)/5</f>
        <v>-155.68999999999997</v>
      </c>
    </row>
    <row r="243" spans="1:35" x14ac:dyDescent="0.2">
      <c r="A243" s="28">
        <v>270</v>
      </c>
      <c r="B243" s="28" t="s">
        <v>59</v>
      </c>
      <c r="C243" s="46">
        <v>414.66</v>
      </c>
      <c r="D243" s="46">
        <v>357.33</v>
      </c>
      <c r="E243" s="46">
        <v>300</v>
      </c>
      <c r="F243" s="46">
        <v>271.33999999999997</v>
      </c>
      <c r="G243" s="46">
        <v>242.67</v>
      </c>
      <c r="H243" s="46">
        <v>1012</v>
      </c>
      <c r="I243" s="54">
        <f>C243/$H243</f>
        <v>0.40974308300395257</v>
      </c>
      <c r="J243" s="54">
        <f>D243/$H243</f>
        <v>0.35309288537549405</v>
      </c>
      <c r="K243" s="54">
        <f>E243/$H243</f>
        <v>0.29644268774703558</v>
      </c>
      <c r="L243" s="54">
        <f>F243/$H243</f>
        <v>0.26812252964426875</v>
      </c>
      <c r="M243" s="54">
        <f>G243/$H243</f>
        <v>0.23979249011857706</v>
      </c>
      <c r="N243" s="51">
        <f>FORESTS[[#This Row],[Area_2020]]-FORESTS[[#This Row],[Area_1990]]</f>
        <v>-171.99000000000004</v>
      </c>
      <c r="O243" s="51">
        <f>ABS(FORESTS[[#This Row],[Area_Delta]])</f>
        <v>171.99000000000004</v>
      </c>
      <c r="P243" s="104">
        <f>FORESTS[[#This Row],[Area_2020_%]]-FORESTS[[#This Row],[Area_1990_%]]</f>
        <v>-0.16995059288537551</v>
      </c>
      <c r="Q243" s="54" t="b">
        <f>IF(G243&gt;C243, TRUE, FALSE)</f>
        <v>0</v>
      </c>
      <c r="R243" s="51">
        <f>IF(Q243=TRUE,G243-C243,0)</f>
        <v>0</v>
      </c>
      <c r="S243" s="51">
        <f>IF(Q243=TRUE,0,C243-G243)</f>
        <v>171.99000000000004</v>
      </c>
      <c r="T243" s="48">
        <f>IF(J243&lt;I243,1,0)+IF(K243&lt;J243,1,0)+IF(L243&lt;K243,1,0)+IF(M243&lt;L243,1,0)</f>
        <v>4</v>
      </c>
      <c r="U243" s="48">
        <v>23.98</v>
      </c>
      <c r="V243" s="30" t="s">
        <v>247</v>
      </c>
      <c r="W243" s="30" t="s">
        <v>247</v>
      </c>
      <c r="X243" s="38">
        <f>D243-C243</f>
        <v>-57.330000000000041</v>
      </c>
      <c r="Y243" s="38">
        <f>E243-D243</f>
        <v>-57.329999999999984</v>
      </c>
      <c r="Z243" s="38">
        <f>F243-E243</f>
        <v>-28.660000000000025</v>
      </c>
      <c r="AA243" s="38">
        <f>G243-F243</f>
        <v>-28.669999999999987</v>
      </c>
      <c r="AB243" s="38">
        <f>FORESTS[[#This Row],[Column7]]+FORESTS[[#This Row],[Column8]]</f>
        <v>-57.330000000000013</v>
      </c>
      <c r="AD243" s="63">
        <f>(D243-C243)/10</f>
        <v>-5.7330000000000041</v>
      </c>
      <c r="AE243" s="63">
        <f>(E243-D243)/10</f>
        <v>-5.7329999999999988</v>
      </c>
      <c r="AF243" s="63">
        <f>(F243-E243)/5</f>
        <v>-5.7320000000000046</v>
      </c>
      <c r="AG243" s="63">
        <f>(G243-F243)/5</f>
        <v>-5.7339999999999973</v>
      </c>
    </row>
    <row r="244" spans="1:35" x14ac:dyDescent="0.2">
      <c r="A244" s="28">
        <v>580</v>
      </c>
      <c r="B244" s="28" t="s">
        <v>122</v>
      </c>
      <c r="C244" s="46">
        <v>33.61</v>
      </c>
      <c r="D244" s="46">
        <v>31.96</v>
      </c>
      <c r="E244" s="46">
        <v>30.32</v>
      </c>
      <c r="F244" s="46">
        <v>29.49</v>
      </c>
      <c r="G244" s="46">
        <v>24.36</v>
      </c>
      <c r="H244" s="46">
        <v>46</v>
      </c>
      <c r="I244" s="54">
        <f>C244/$H244</f>
        <v>0.73065217391304349</v>
      </c>
      <c r="J244" s="54">
        <f>D244/$H244</f>
        <v>0.69478260869565223</v>
      </c>
      <c r="K244" s="54">
        <f>E244/$H244</f>
        <v>0.65913043478260869</v>
      </c>
      <c r="L244" s="54">
        <f>F244/$H244</f>
        <v>0.64108695652173908</v>
      </c>
      <c r="M244" s="54">
        <f>G244/$H244</f>
        <v>0.52956521739130435</v>
      </c>
      <c r="N244" s="51">
        <f>FORESTS[[#This Row],[Area_2020]]-FORESTS[[#This Row],[Area_1990]]</f>
        <v>-9.25</v>
      </c>
      <c r="O244" s="51">
        <f>ABS(FORESTS[[#This Row],[Area_Delta]])</f>
        <v>9.25</v>
      </c>
      <c r="P244" s="104">
        <f>FORESTS[[#This Row],[Area_2020_%]]-FORESTS[[#This Row],[Area_1990_%]]</f>
        <v>-0.20108695652173914</v>
      </c>
      <c r="Q244" s="54" t="b">
        <f>IF(G244&gt;C244, TRUE, FALSE)</f>
        <v>0</v>
      </c>
      <c r="R244" s="51">
        <f>IF(Q244=TRUE,G244-C244,0)</f>
        <v>0</v>
      </c>
      <c r="S244" s="51">
        <f>IF(Q244=TRUE,0,C244-G244)</f>
        <v>9.25</v>
      </c>
      <c r="T244" s="48">
        <f>IF(J244&lt;I244,1,0)+IF(K244&lt;J244,1,0)+IF(L244&lt;K244,1,0)+IF(M244&lt;L244,1,0)</f>
        <v>4</v>
      </c>
      <c r="U244" s="48">
        <v>52.96</v>
      </c>
      <c r="V244" s="30" t="s">
        <v>247</v>
      </c>
      <c r="W244" s="30" t="s">
        <v>247</v>
      </c>
      <c r="X244" s="38">
        <f>D244-C244</f>
        <v>-1.6499999999999986</v>
      </c>
      <c r="Y244" s="38">
        <f>E244-D244</f>
        <v>-1.6400000000000006</v>
      </c>
      <c r="Z244" s="38">
        <f>F244-E244</f>
        <v>-0.83000000000000185</v>
      </c>
      <c r="AA244" s="38">
        <f>G244-F244</f>
        <v>-5.129999999999999</v>
      </c>
      <c r="AB244" s="38">
        <f>FORESTS[[#This Row],[Column7]]+FORESTS[[#This Row],[Column8]]</f>
        <v>-5.9600000000000009</v>
      </c>
      <c r="AD244" s="63">
        <f>(D244-C244)/10</f>
        <v>-0.16499999999999987</v>
      </c>
      <c r="AE244" s="63">
        <f>(E244-D244)/10</f>
        <v>-0.16400000000000006</v>
      </c>
      <c r="AF244" s="63">
        <f>(F244-E244)/5</f>
        <v>-0.16600000000000037</v>
      </c>
      <c r="AG244" s="63">
        <f>(G244-F244)/5</f>
        <v>-1.0259999999999998</v>
      </c>
    </row>
    <row r="245" spans="1:35" x14ac:dyDescent="0.2">
      <c r="A245" s="28">
        <v>600</v>
      </c>
      <c r="B245" s="28" t="s">
        <v>129</v>
      </c>
      <c r="C245" s="46">
        <v>25545.86</v>
      </c>
      <c r="D245" s="46">
        <v>22991.65</v>
      </c>
      <c r="E245" s="46">
        <v>19570.21</v>
      </c>
      <c r="F245" s="46">
        <v>17498.939999999999</v>
      </c>
      <c r="G245" s="46">
        <v>16102.26</v>
      </c>
      <c r="H245" s="46">
        <v>39730</v>
      </c>
      <c r="I245" s="54">
        <f>C245/$H245</f>
        <v>0.64298665995469417</v>
      </c>
      <c r="J245" s="54">
        <f>D245/$H245</f>
        <v>0.57869745784042292</v>
      </c>
      <c r="K245" s="54">
        <f>E245/$H245</f>
        <v>0.49258016612131889</v>
      </c>
      <c r="L245" s="54">
        <f>F245/$H245</f>
        <v>0.44044651396929269</v>
      </c>
      <c r="M245" s="54">
        <f>G245/$H245</f>
        <v>0.40529222250188773</v>
      </c>
      <c r="N245" s="51">
        <f>FORESTS[[#This Row],[Area_2020]]-FORESTS[[#This Row],[Area_1990]]</f>
        <v>-9443.6</v>
      </c>
      <c r="O245" s="51">
        <f>ABS(FORESTS[[#This Row],[Area_Delta]])</f>
        <v>9443.6</v>
      </c>
      <c r="P245" s="104">
        <f>FORESTS[[#This Row],[Area_2020_%]]-FORESTS[[#This Row],[Area_1990_%]]</f>
        <v>-0.23769443745280644</v>
      </c>
      <c r="Q245" s="48" t="b">
        <f>IF(G245&gt;C245, TRUE, FALSE)</f>
        <v>0</v>
      </c>
      <c r="R245" s="51">
        <f>IF(Q245=TRUE,G245-C245,0)</f>
        <v>0</v>
      </c>
      <c r="S245" s="51">
        <f>IF(Q245=TRUE,0,C245-G245)</f>
        <v>9443.6</v>
      </c>
      <c r="T245" s="62">
        <f>IF(J245&lt;I245,1,0)+IF(K245&lt;J245,1,0)+IF(L245&lt;K245,1,0)+IF(M245&lt;L245,1,0)</f>
        <v>4</v>
      </c>
      <c r="U245" s="43">
        <v>40.53</v>
      </c>
      <c r="V245" s="30">
        <v>279.33999999999997</v>
      </c>
      <c r="W245" s="38" t="s">
        <v>247</v>
      </c>
      <c r="X245" s="38">
        <f>D245-C245</f>
        <v>-2554.2099999999991</v>
      </c>
      <c r="Y245" s="38">
        <f>E245-D245</f>
        <v>-3421.4400000000023</v>
      </c>
      <c r="Z245" s="38">
        <f>F245-E245</f>
        <v>-2071.2700000000004</v>
      </c>
      <c r="AA245" s="38">
        <f>G245-F245</f>
        <v>-1396.6799999999985</v>
      </c>
      <c r="AB245" s="38">
        <f>FORESTS[[#This Row],[Column7]]+FORESTS[[#This Row],[Column8]]</f>
        <v>-3467.9499999999989</v>
      </c>
      <c r="AD245" s="63">
        <f>(D245-C245)/10</f>
        <v>-255.42099999999991</v>
      </c>
      <c r="AE245" s="63">
        <f>(E245-D245)/10</f>
        <v>-342.14400000000023</v>
      </c>
      <c r="AF245" s="63">
        <f>(F245-E245)/5</f>
        <v>-414.25400000000008</v>
      </c>
      <c r="AG245" s="63">
        <f>(G245-F245)/5</f>
        <v>-279.33599999999967</v>
      </c>
    </row>
    <row r="246" spans="1:35" x14ac:dyDescent="0.2">
      <c r="A246" s="28">
        <v>558</v>
      </c>
      <c r="B246" s="28" t="s">
        <v>118</v>
      </c>
      <c r="C246" s="46">
        <v>6399.32</v>
      </c>
      <c r="D246" s="46">
        <v>5399.32</v>
      </c>
      <c r="E246" s="46">
        <v>4188.1499999999996</v>
      </c>
      <c r="F246" s="46">
        <v>3907.53</v>
      </c>
      <c r="G246" s="46">
        <v>3407.53</v>
      </c>
      <c r="H246" s="46">
        <v>12034</v>
      </c>
      <c r="I246" s="54">
        <f>C246/$H246</f>
        <v>0.53176998504237993</v>
      </c>
      <c r="J246" s="54">
        <f>D246/$H246</f>
        <v>0.44867209572876848</v>
      </c>
      <c r="K246" s="54">
        <f>E246/$H246</f>
        <v>0.34802642512880172</v>
      </c>
      <c r="L246" s="54">
        <f>F246/$H246</f>
        <v>0.32470749542961608</v>
      </c>
      <c r="M246" s="54">
        <f>G246/$H246</f>
        <v>0.28315855077281038</v>
      </c>
      <c r="N246" s="51">
        <f>FORESTS[[#This Row],[Area_2020]]-FORESTS[[#This Row],[Area_1990]]</f>
        <v>-2991.7899999999995</v>
      </c>
      <c r="O246" s="51">
        <f>ABS(FORESTS[[#This Row],[Area_Delta]])</f>
        <v>2991.7899999999995</v>
      </c>
      <c r="P246" s="104">
        <f>FORESTS[[#This Row],[Area_2020_%]]-FORESTS[[#This Row],[Area_1990_%]]</f>
        <v>-0.24861143426956955</v>
      </c>
      <c r="Q246" s="54" t="b">
        <f>IF(G246&gt;C246, TRUE, FALSE)</f>
        <v>0</v>
      </c>
      <c r="R246" s="51">
        <f>IF(Q246=TRUE,G246-C246,0)</f>
        <v>0</v>
      </c>
      <c r="S246" s="51">
        <f>IF(Q246=TRUE,0,C246-G246)</f>
        <v>2991.7899999999995</v>
      </c>
      <c r="T246" s="48">
        <f>IF(J246&lt;I246,1,0)+IF(K246&lt;J246,1,0)+IF(L246&lt;K246,1,0)+IF(M246&lt;L246,1,0)</f>
        <v>4</v>
      </c>
      <c r="U246" s="43">
        <v>28.32</v>
      </c>
      <c r="V246" s="30">
        <v>105.03</v>
      </c>
      <c r="W246" s="38" t="s">
        <v>247</v>
      </c>
      <c r="X246" s="38">
        <f>D246-C246</f>
        <v>-1000</v>
      </c>
      <c r="Y246" s="38">
        <f>E246-D246</f>
        <v>-1211.17</v>
      </c>
      <c r="Z246" s="38">
        <f>F246-E246</f>
        <v>-280.61999999999944</v>
      </c>
      <c r="AA246" s="38">
        <f>G246-F246</f>
        <v>-500</v>
      </c>
      <c r="AB246" s="38">
        <f>FORESTS[[#This Row],[Column7]]+FORESTS[[#This Row],[Column8]]</f>
        <v>-780.61999999999944</v>
      </c>
      <c r="AD246" s="63">
        <f>(D246-C246)/10</f>
        <v>-100</v>
      </c>
      <c r="AE246" s="63">
        <f>(E246-D246)/10</f>
        <v>-121.117</v>
      </c>
      <c r="AF246" s="63">
        <f>(F246-E246)/5</f>
        <v>-56.123999999999889</v>
      </c>
      <c r="AG246" s="63">
        <f>(G246-F246)/5</f>
        <v>-100</v>
      </c>
    </row>
    <row r="247" spans="1:35" s="93" customFormat="1" x14ac:dyDescent="0.2">
      <c r="A247" s="93" t="s">
        <v>314</v>
      </c>
      <c r="B247" s="93">
        <f>SUBTOTAL(2,A11:A246)</f>
        <v>236</v>
      </c>
      <c r="C247" s="94">
        <f>+SUBTOTAL(109,FORESTS[[#Headers],[#Data],[Area_1990]])</f>
        <v>4236433.4200000018</v>
      </c>
      <c r="D247" s="94">
        <f>+SUBTOTAL(109,FORESTS[[#Headers],[#Data],[Area_2000]])</f>
        <v>4158049.5200000023</v>
      </c>
      <c r="E247" s="94">
        <f>+SUBTOTAL(109,FORESTS[[#Headers],[#Data],[Area_2010]])</f>
        <v>4106316.9400000018</v>
      </c>
      <c r="F247" s="94">
        <f>+SUBTOTAL(109,FORESTS[[#Headers],[#Data],[Area_2015]])</f>
        <v>4083867.4800000018</v>
      </c>
      <c r="G247" s="94">
        <f>+SUBTOTAL(109,FORESTS[[#Headers],[#Data],[Area_2020]])</f>
        <v>4058930.8099999987</v>
      </c>
      <c r="H247" s="94">
        <f>+SUBTOTAL(109,FORESTS[Total_Land])</f>
        <v>13038546.750002002</v>
      </c>
      <c r="I247" s="95">
        <f>SUBTOTAL(101,FORESTS[Area_1990_%])</f>
        <v>0.32717775115555398</v>
      </c>
      <c r="J247" s="95">
        <f>SUBTOTAL(101,FORESTS[Area_2000_%])</f>
        <v>0.32248685808495453</v>
      </c>
      <c r="K247" s="95">
        <f>SUBTOTAL(101,FORESTS[Area_2010_%])</f>
        <v>0.31984397766672223</v>
      </c>
      <c r="L247" s="95">
        <f>SUBTOTAL(101,FORESTS[Area_2015_%])</f>
        <v>0.31815666372505924</v>
      </c>
      <c r="M247" s="95">
        <f>SUBTOTAL(101,FORESTS[Area_2020_%])</f>
        <v>0.31576096035913082</v>
      </c>
      <c r="N247" s="96">
        <f>SUBTOTAL(109,FORESTS[Area_Delta])</f>
        <v>-177502.61000000007</v>
      </c>
      <c r="O247" s="96"/>
      <c r="P247" s="105">
        <f>SUBTOTAL(1,FORESTS[Net_Gain_%])</f>
        <v>-1.1416790796423175E-2</v>
      </c>
      <c r="Q247" s="97">
        <f>SUBTOTAL(103,FORESTS[Net_Gain])</f>
        <v>236</v>
      </c>
      <c r="R247" s="96">
        <f>SUBTOTAL(109,FORESTS[GAIN  only])</f>
        <v>122154.39999999995</v>
      </c>
      <c r="S247" s="96">
        <f>SUBTOTAL(109,FORESTS[LOSS only])</f>
        <v>299657.01</v>
      </c>
      <c r="T247" s="97"/>
      <c r="U247" s="97"/>
      <c r="V247" s="98"/>
      <c r="W247" s="98"/>
      <c r="X247" s="98"/>
      <c r="Y247" s="98"/>
      <c r="Z247" s="98"/>
      <c r="AA247" s="98"/>
      <c r="AB247" s="98"/>
      <c r="AC247" s="98"/>
      <c r="AG247" s="99">
        <f>SUBTOTAL(109,FORESTS[PA_growth4])</f>
        <v>-4987.3340000000044</v>
      </c>
    </row>
    <row r="248" spans="1:35" s="93" customFormat="1" x14ac:dyDescent="0.2">
      <c r="C248" s="100">
        <f>C247/$H$247</f>
        <v>0.32491607394814542</v>
      </c>
      <c r="D248" s="100">
        <f t="shared" ref="D248:G248" si="3">D247/$H$247</f>
        <v>0.31890436869426142</v>
      </c>
      <c r="E248" s="100">
        <f t="shared" si="3"/>
        <v>0.31493670412305508</v>
      </c>
      <c r="F248" s="100">
        <f t="shared" si="3"/>
        <v>0.31321492788292338</v>
      </c>
      <c r="G248" s="100">
        <f t="shared" si="3"/>
        <v>0.3113023934204458</v>
      </c>
      <c r="H248" s="94"/>
      <c r="I248" s="95"/>
      <c r="J248" s="95"/>
      <c r="K248" s="95"/>
      <c r="L248" s="95"/>
      <c r="M248" s="95"/>
      <c r="N248" s="96"/>
      <c r="O248" s="96"/>
      <c r="P248" s="105"/>
      <c r="Q248" s="97"/>
      <c r="R248" s="96"/>
      <c r="S248" s="96"/>
      <c r="T248" s="97"/>
      <c r="U248" s="97"/>
      <c r="V248" s="98"/>
      <c r="W248" s="98"/>
      <c r="X248" s="98"/>
      <c r="Y248" s="98"/>
      <c r="Z248" s="98"/>
      <c r="AA248" s="98"/>
      <c r="AB248" s="98"/>
      <c r="AC248" s="98"/>
      <c r="AG248" s="99"/>
    </row>
    <row r="249" spans="1:35" ht="34" customHeight="1" x14ac:dyDescent="0.2">
      <c r="C249" s="30"/>
      <c r="D249" s="30"/>
      <c r="E249" s="30"/>
      <c r="F249" s="30"/>
      <c r="G249" s="30"/>
      <c r="H249" s="30"/>
      <c r="Q249" s="48" cm="1">
        <f t="array" ref="Q249">SUMPRODUCT(FORESTS[Net_Gain] * 1)</f>
        <v>91</v>
      </c>
      <c r="S249" s="54">
        <f>FORESTS[[#Totals],[GAIN  only]]/FORESTS[[#Totals],[LOSS only]]</f>
        <v>0.40764739660186805</v>
      </c>
      <c r="U249" s="48"/>
      <c r="W249" s="30"/>
      <c r="X249" s="30"/>
      <c r="Y249" s="30"/>
      <c r="Z249" s="30"/>
      <c r="AA249" s="30"/>
      <c r="AB249" s="30"/>
      <c r="AC249" s="30"/>
      <c r="AD249" s="28"/>
      <c r="AE249" s="28"/>
      <c r="AF249" s="28"/>
      <c r="AG249" s="28"/>
      <c r="AH249" s="28">
        <f>SUM(AH11:AH132)</f>
        <v>52</v>
      </c>
    </row>
    <row r="250" spans="1:35" x14ac:dyDescent="0.2">
      <c r="A250" s="58" t="s">
        <v>315</v>
      </c>
      <c r="B250" s="70" t="str">
        <f>"Countries: " &amp; COUNT(FORESTS[ID])</f>
        <v>Countries: 236</v>
      </c>
      <c r="C250" s="38">
        <f>SUM(FORESTS[Area_1990])</f>
        <v>4236433.4200000018</v>
      </c>
      <c r="D250" s="38">
        <f>SUM(FORESTS[Area_2000])</f>
        <v>4158049.5200000023</v>
      </c>
      <c r="E250" s="38">
        <f>SUM(FORESTS[Area_2010])</f>
        <v>4106316.9400000018</v>
      </c>
      <c r="F250" s="38">
        <f>SUM(FORESTS[Area_2015])</f>
        <v>4083867.4800000018</v>
      </c>
      <c r="G250" s="38">
        <f>SUM(FORESTS[Area_2020])</f>
        <v>4058930.8099999987</v>
      </c>
      <c r="H250" s="38">
        <f>SUM(FORESTS[Total_Land])</f>
        <v>13038546.750002002</v>
      </c>
      <c r="I250" s="71">
        <f>AVERAGE(FORESTS[Area_1990_%])</f>
        <v>0.32717775115555398</v>
      </c>
      <c r="J250" s="71">
        <f>AVERAGE(FORESTS[Area_2000_%])</f>
        <v>0.32248685808495453</v>
      </c>
      <c r="K250" s="71">
        <f>AVERAGE(FORESTS[Area_2010_%])</f>
        <v>0.31984397766672223</v>
      </c>
      <c r="L250" s="71">
        <f>AVERAGE(FORESTS[Area_2015_%])</f>
        <v>0.31815666372505924</v>
      </c>
      <c r="M250" s="71">
        <f>AVERAGE(FORESTS[Area_2020_%])</f>
        <v>0.31576096035913082</v>
      </c>
      <c r="N250" s="38">
        <f>SUBTOTAL(109,FORESTS[Area_Delta])</f>
        <v>-177502.61000000007</v>
      </c>
      <c r="O250" s="38">
        <f>SUBTOTAL(109,FORESTS[Area_Delta])</f>
        <v>-177502.61000000007</v>
      </c>
      <c r="P250" s="106">
        <f>FORESTS[[#Totals],[Area_Delta]]/FORESTS[[#Totals],[Total_Land]]</f>
        <v>-1.3613680527699363E-2</v>
      </c>
      <c r="Q250" s="75">
        <f>COUNTIF(Q11:Q246, "=False")</f>
        <v>145</v>
      </c>
      <c r="R250" s="38">
        <f>SUM(FORESTS[GAIN  only])</f>
        <v>122154.39999999995</v>
      </c>
      <c r="S250" s="38">
        <f>SUM(FORESTS[LOSS only])</f>
        <v>299657.01</v>
      </c>
      <c r="U250" s="48"/>
      <c r="W250" s="30" t="s">
        <v>375</v>
      </c>
      <c r="X250" s="30">
        <f>COUNTIF(X$11:X$246, "&lt;0")</f>
        <v>106</v>
      </c>
      <c r="Y250" s="30">
        <f t="shared" ref="Y250:AB250" si="4">COUNTIF(Y$11:Y$246, "&lt;0")</f>
        <v>101</v>
      </c>
      <c r="Z250" s="30">
        <f t="shared" si="4"/>
        <v>93</v>
      </c>
      <c r="AA250" s="30">
        <f t="shared" si="4"/>
        <v>92</v>
      </c>
      <c r="AB250" s="30">
        <f t="shared" si="4"/>
        <v>92</v>
      </c>
      <c r="AC250" s="30"/>
      <c r="AD250" s="28"/>
      <c r="AE250" s="28"/>
      <c r="AF250" s="28"/>
      <c r="AG250" s="28"/>
    </row>
    <row r="251" spans="1:35" x14ac:dyDescent="0.2">
      <c r="B251" s="28">
        <f>COUNT(FORESTS[ID])</f>
        <v>236</v>
      </c>
      <c r="C251" s="49">
        <f>C250/$H$250</f>
        <v>0.32491607394814542</v>
      </c>
      <c r="D251" s="49">
        <f>D250/$H$250</f>
        <v>0.31890436869426142</v>
      </c>
      <c r="E251" s="49">
        <f>E250/$H$250</f>
        <v>0.31493670412305508</v>
      </c>
      <c r="F251" s="49">
        <f>F250/$H$250</f>
        <v>0.31321492788292338</v>
      </c>
      <c r="G251" s="49">
        <f>G250/$H$250</f>
        <v>0.3113023934204458</v>
      </c>
      <c r="H251" s="71"/>
      <c r="Q251" s="48" t="str">
        <f>"check: " &amp; SUM(Q249:Q250)</f>
        <v>check: 236</v>
      </c>
      <c r="S251" s="54">
        <f>R250/S250</f>
        <v>0.40764739660186805</v>
      </c>
      <c r="U251" s="48"/>
      <c r="W251" s="30" t="s">
        <v>376</v>
      </c>
      <c r="X251" s="30">
        <f>COUNTIF(X$11:X$246, "&gt;0")</f>
        <v>76</v>
      </c>
      <c r="Y251" s="30">
        <f t="shared" ref="Y251:AB251" si="5">COUNTIF(Y$11:Y$246, "&gt;0")</f>
        <v>79</v>
      </c>
      <c r="Z251" s="30">
        <f t="shared" si="5"/>
        <v>75</v>
      </c>
      <c r="AA251" s="30">
        <f t="shared" si="5"/>
        <v>69</v>
      </c>
      <c r="AB251" s="30">
        <f t="shared" si="5"/>
        <v>80</v>
      </c>
      <c r="AC251" s="30"/>
      <c r="AD251" s="28"/>
      <c r="AE251" s="28"/>
      <c r="AF251" s="28"/>
      <c r="AG251" s="28"/>
    </row>
    <row r="252" spans="1:35" x14ac:dyDescent="0.2">
      <c r="N252" s="51" t="s">
        <v>388</v>
      </c>
      <c r="O252" s="51" t="s">
        <v>387</v>
      </c>
      <c r="P252" s="104" t="s">
        <v>389</v>
      </c>
      <c r="W252" s="38" t="s">
        <v>377</v>
      </c>
      <c r="X252" s="30">
        <f>COUNTIF(X$11:X$246, "=0")</f>
        <v>54</v>
      </c>
      <c r="Y252" s="30">
        <f t="shared" ref="Y252:AB252" si="6">COUNTIF(Y$11:Y$246, "=0")</f>
        <v>56</v>
      </c>
      <c r="Z252" s="30">
        <f t="shared" si="6"/>
        <v>68</v>
      </c>
      <c r="AA252" s="30">
        <f t="shared" si="6"/>
        <v>75</v>
      </c>
      <c r="AB252" s="30">
        <f t="shared" si="6"/>
        <v>64</v>
      </c>
      <c r="AC252" s="30"/>
    </row>
    <row r="253" spans="1:35" x14ac:dyDescent="0.2">
      <c r="B253" s="28" t="s">
        <v>316</v>
      </c>
      <c r="C253" s="46">
        <v>1990</v>
      </c>
      <c r="D253" s="46">
        <v>2000</v>
      </c>
      <c r="E253" s="46">
        <v>2010</v>
      </c>
      <c r="F253" s="46">
        <v>2015</v>
      </c>
      <c r="G253" s="46">
        <v>2020</v>
      </c>
      <c r="H253" s="38">
        <f>FORESTS[[#Totals],[Area_2020]]-FORESTS[[#Totals],[Area_1990]]</f>
        <v>-177502.61000000313</v>
      </c>
      <c r="I253" s="176" t="s">
        <v>449</v>
      </c>
      <c r="M253" s="54" t="s">
        <v>386</v>
      </c>
      <c r="N253" s="51">
        <v>115560.03999999996</v>
      </c>
      <c r="O253" s="51">
        <f>1000*N253/100</f>
        <v>1155600.3999999997</v>
      </c>
      <c r="P253" s="135">
        <f>N253*1000/10^6</f>
        <v>115.56003999999997</v>
      </c>
      <c r="R253" s="54">
        <f>P253/P254</f>
        <v>-0.50318974113343906</v>
      </c>
      <c r="W253" s="38" t="s">
        <v>381</v>
      </c>
      <c r="X253" s="71">
        <f>X250/X251</f>
        <v>1.3947368421052631</v>
      </c>
      <c r="Y253" s="71">
        <f t="shared" ref="Y253:AB253" si="7">Y250/Y251</f>
        <v>1.2784810126582278</v>
      </c>
      <c r="Z253" s="71">
        <f t="shared" si="7"/>
        <v>1.24</v>
      </c>
      <c r="AA253" s="71">
        <f t="shared" si="7"/>
        <v>1.3333333333333333</v>
      </c>
      <c r="AB253" s="71">
        <f t="shared" si="7"/>
        <v>1.1499999999999999</v>
      </c>
      <c r="AC253" s="71"/>
      <c r="AD253" s="70">
        <v>2000</v>
      </c>
      <c r="AE253" s="70">
        <v>2010</v>
      </c>
      <c r="AF253" s="70">
        <v>2015</v>
      </c>
      <c r="AG253" s="70">
        <v>2020</v>
      </c>
      <c r="AI253" s="28" t="s">
        <v>316</v>
      </c>
    </row>
    <row r="254" spans="1:35" x14ac:dyDescent="0.2">
      <c r="C254" s="38">
        <f>SUMIF(FORESTS[Net_Gain], "= TRUE", FORESTS[Area_1990])</f>
        <v>0</v>
      </c>
      <c r="H254" s="38">
        <f>FORESTS[[#Totals],[Total_Land]]</f>
        <v>13038546.750002002</v>
      </c>
      <c r="I254" s="176" t="s">
        <v>450</v>
      </c>
      <c r="M254" s="54" t="s">
        <v>385</v>
      </c>
      <c r="N254" s="51">
        <v>-229655.00000000003</v>
      </c>
      <c r="O254" s="51">
        <f>1000*N254/100</f>
        <v>-2296550.0000000005</v>
      </c>
      <c r="P254" s="135">
        <f>N254*1000/10^6</f>
        <v>-229.65500000000003</v>
      </c>
    </row>
    <row r="255" spans="1:35" x14ac:dyDescent="0.2">
      <c r="G255" s="165" t="s">
        <v>441</v>
      </c>
      <c r="H255" s="138">
        <f>H253/H254</f>
        <v>-1.3613680527699597E-2</v>
      </c>
      <c r="I255" s="175">
        <f>FORESTS[[#Totals],[Area_2020_%]]-FORESTS[[#Totals],[Area_1990_%]]</f>
        <v>-1.141679079642316E-2</v>
      </c>
      <c r="J255" s="176" t="s">
        <v>448</v>
      </c>
    </row>
    <row r="256" spans="1:35" x14ac:dyDescent="0.2">
      <c r="G256" s="165" t="s">
        <v>447</v>
      </c>
      <c r="H256" s="138">
        <f>(H253-N11)/(H254-H11)</f>
        <v>-1.3628106071718571E-2</v>
      </c>
      <c r="I256" s="175">
        <f>SUBTOTAL(101,P12:P246)</f>
        <v>-1.2309720314696231E-2</v>
      </c>
      <c r="J256" s="176" t="s">
        <v>451</v>
      </c>
    </row>
    <row r="258" spans="2:19" x14ac:dyDescent="0.2">
      <c r="B258" s="28" t="s">
        <v>390</v>
      </c>
    </row>
    <row r="259" spans="2:19" x14ac:dyDescent="0.2">
      <c r="C259" s="46">
        <v>8222</v>
      </c>
      <c r="S259" s="51">
        <v>5267.130000000001</v>
      </c>
    </row>
    <row r="260" spans="2:19" x14ac:dyDescent="0.2">
      <c r="C260" s="46">
        <v>7345</v>
      </c>
      <c r="S260" s="51">
        <v>1184</v>
      </c>
    </row>
    <row r="261" spans="2:19" x14ac:dyDescent="0.2">
      <c r="C261" s="46">
        <v>6361.6999999999534</v>
      </c>
      <c r="S261" s="51">
        <v>4667.5099999999984</v>
      </c>
    </row>
    <row r="262" spans="2:19" x14ac:dyDescent="0.2">
      <c r="B262" s="28">
        <f>137 +99</f>
        <v>236</v>
      </c>
      <c r="C262" s="46">
        <v>5267.130000000001</v>
      </c>
      <c r="S262" s="51">
        <v>1233</v>
      </c>
    </row>
    <row r="263" spans="2:19" x14ac:dyDescent="0.2">
      <c r="C263" s="46">
        <v>4667.5099999999984</v>
      </c>
      <c r="S263" s="51">
        <v>1976.3799999999992</v>
      </c>
    </row>
    <row r="264" spans="2:19" x14ac:dyDescent="0.2">
      <c r="C264" s="46">
        <v>2964.6500000000015</v>
      </c>
      <c r="S264" s="51">
        <v>62837.59</v>
      </c>
    </row>
    <row r="265" spans="2:19" x14ac:dyDescent="0.2">
      <c r="C265" s="46">
        <v>2817</v>
      </c>
      <c r="S265" s="51">
        <v>2817</v>
      </c>
    </row>
    <row r="266" spans="2:19" x14ac:dyDescent="0.2">
      <c r="C266" s="46">
        <v>2436.880000000001</v>
      </c>
      <c r="S266" s="51">
        <v>2964.6500000000015</v>
      </c>
    </row>
    <row r="267" spans="2:19" x14ac:dyDescent="0.2">
      <c r="C267" s="46">
        <v>1976.3799999999992</v>
      </c>
      <c r="S267" s="51">
        <v>2436.880000000001</v>
      </c>
    </row>
    <row r="268" spans="2:19" x14ac:dyDescent="0.2">
      <c r="C268" s="46">
        <v>1675.8100000000013</v>
      </c>
      <c r="S268" s="51">
        <v>8222</v>
      </c>
    </row>
    <row r="269" spans="2:19" x14ac:dyDescent="0.2">
      <c r="C269" s="46">
        <v>1233</v>
      </c>
      <c r="S269" s="51">
        <v>1140.29</v>
      </c>
    </row>
    <row r="270" spans="2:19" x14ac:dyDescent="0.2">
      <c r="C270" s="46">
        <v>1184</v>
      </c>
      <c r="S270" s="51">
        <v>1675.8100000000013</v>
      </c>
    </row>
    <row r="271" spans="2:19" x14ac:dyDescent="0.2">
      <c r="C271" s="46">
        <v>1140.29</v>
      </c>
      <c r="S271" s="51">
        <v>7345</v>
      </c>
    </row>
    <row r="272" spans="2:19" x14ac:dyDescent="0.2">
      <c r="C272" s="46">
        <v>987.60000000000036</v>
      </c>
      <c r="S272" s="51">
        <v>6361.6999999999534</v>
      </c>
    </row>
    <row r="273" spans="3:19" x14ac:dyDescent="0.2">
      <c r="C273" s="46">
        <v>603.25</v>
      </c>
      <c r="S273" s="51">
        <f>SUM(S259:S272)</f>
        <v>110128.93999999996</v>
      </c>
    </row>
    <row r="274" spans="3:19" x14ac:dyDescent="0.2">
      <c r="C274" s="46">
        <v>601</v>
      </c>
    </row>
    <row r="275" spans="3:19" x14ac:dyDescent="0.2">
      <c r="C275" s="46">
        <v>566</v>
      </c>
    </row>
    <row r="276" spans="3:19" x14ac:dyDescent="0.2">
      <c r="C276" s="46">
        <v>558.05000000000018</v>
      </c>
    </row>
    <row r="277" spans="3:19" x14ac:dyDescent="0.2">
      <c r="C277" s="46">
        <v>549.20999999999981</v>
      </c>
    </row>
    <row r="278" spans="3:19" x14ac:dyDescent="0.2">
      <c r="C278" s="46">
        <v>533.66999999999825</v>
      </c>
    </row>
    <row r="279" spans="3:19" x14ac:dyDescent="0.2">
      <c r="C279" s="46">
        <v>520.31999999999971</v>
      </c>
    </row>
    <row r="280" spans="3:19" x14ac:dyDescent="0.2">
      <c r="C280" s="46">
        <v>512</v>
      </c>
    </row>
    <row r="281" spans="3:19" x14ac:dyDescent="0.2">
      <c r="C281" s="46">
        <f>AVERAGE(C$259:C$280)</f>
        <v>2396.4749999999981</v>
      </c>
      <c r="D281" s="136" t="s">
        <v>391</v>
      </c>
    </row>
    <row r="282" spans="3:19" x14ac:dyDescent="0.2">
      <c r="C282" s="46">
        <f>COUNT(C$259:C$280)</f>
        <v>22</v>
      </c>
      <c r="D282" s="136" t="s">
        <v>393</v>
      </c>
    </row>
    <row r="283" spans="3:19" x14ac:dyDescent="0.2">
      <c r="C283" s="46">
        <f>N192+N156</f>
        <v>-0.73999999999999866</v>
      </c>
      <c r="D283" s="136" t="s">
        <v>394</v>
      </c>
    </row>
    <row r="284" spans="3:19" x14ac:dyDescent="0.2">
      <c r="C284" s="106">
        <f>C283/C281</f>
        <v>-3.0878686403989163E-4</v>
      </c>
    </row>
    <row r="285" spans="3:19" x14ac:dyDescent="0.2">
      <c r="C285" s="46">
        <v>-92278.400000000023</v>
      </c>
      <c r="D285" s="137" t="s">
        <v>395</v>
      </c>
    </row>
    <row r="286" spans="3:19" x14ac:dyDescent="0.2">
      <c r="C286" s="46">
        <v>-2116.1082653061221</v>
      </c>
      <c r="D286" s="137" t="s">
        <v>396</v>
      </c>
    </row>
    <row r="287" spans="3:19" x14ac:dyDescent="0.2">
      <c r="C287" s="138">
        <f>C286/C285</f>
        <v>2.2931783226693588E-2</v>
      </c>
      <c r="D287" s="137"/>
    </row>
    <row r="288" spans="3:19" x14ac:dyDescent="0.2">
      <c r="C288" s="46" t="e" cm="1">
        <f t="array" ref="C288">Medi</f>
        <v>#NAME?</v>
      </c>
      <c r="D288" s="137"/>
    </row>
    <row r="289" spans="4:4" x14ac:dyDescent="0.2">
      <c r="D289" s="137"/>
    </row>
    <row r="290" spans="4:4" x14ac:dyDescent="0.2">
      <c r="D290" s="137"/>
    </row>
    <row r="354" spans="5:8" x14ac:dyDescent="0.2">
      <c r="E354" s="46">
        <v>-92278.400000000023</v>
      </c>
      <c r="F354" s="51">
        <v>-26411.800000000003</v>
      </c>
      <c r="G354" s="38">
        <v>-26411.800000000003</v>
      </c>
      <c r="H354" s="46">
        <v>62837.59</v>
      </c>
    </row>
    <row r="355" spans="5:8" x14ac:dyDescent="0.2">
      <c r="E355" s="46">
        <v>-26411.800000000003</v>
      </c>
      <c r="F355" s="51">
        <v>-24473.759999999995</v>
      </c>
      <c r="G355" s="38">
        <v>-24473.759999999995</v>
      </c>
      <c r="H355" s="46">
        <v>8222</v>
      </c>
    </row>
    <row r="356" spans="5:8" x14ac:dyDescent="0.2">
      <c r="E356" s="46">
        <v>-24473.759999999995</v>
      </c>
      <c r="F356" s="51">
        <v>-12655.399999999994</v>
      </c>
      <c r="G356" s="38">
        <v>-12655.399999999994</v>
      </c>
      <c r="H356" s="46">
        <v>7345</v>
      </c>
    </row>
    <row r="357" spans="5:8" x14ac:dyDescent="0.2">
      <c r="E357" s="46">
        <v>-12655.399999999994</v>
      </c>
      <c r="F357" s="51">
        <v>-11645.010000000002</v>
      </c>
      <c r="G357" s="38">
        <v>-11645.010000000002</v>
      </c>
      <c r="H357" s="46">
        <v>6361.6999999999534</v>
      </c>
    </row>
    <row r="358" spans="5:8" x14ac:dyDescent="0.2">
      <c r="E358" s="46">
        <v>-11645.010000000002</v>
      </c>
      <c r="F358" s="51">
        <v>-10674.590000000004</v>
      </c>
      <c r="G358" s="38">
        <v>-10674.590000000004</v>
      </c>
      <c r="H358" s="46">
        <v>5267.130000000001</v>
      </c>
    </row>
    <row r="359" spans="5:8" x14ac:dyDescent="0.2">
      <c r="E359" s="46">
        <v>-10674.590000000004</v>
      </c>
      <c r="F359" s="51">
        <v>-9443.6</v>
      </c>
      <c r="G359" s="38">
        <v>-9443.6</v>
      </c>
      <c r="H359" s="46">
        <v>4667.5099999999984</v>
      </c>
    </row>
    <row r="360" spans="5:8" x14ac:dyDescent="0.2">
      <c r="E360" s="46">
        <v>-9443.6</v>
      </c>
      <c r="F360" s="51">
        <v>-6970.9599999999991</v>
      </c>
      <c r="G360" s="38">
        <v>-6970.9599999999991</v>
      </c>
      <c r="H360" s="46">
        <v>2964.6500000000015</v>
      </c>
    </row>
    <row r="361" spans="5:8" x14ac:dyDescent="0.2">
      <c r="E361" s="46">
        <v>-6970.9599999999991</v>
      </c>
      <c r="F361" s="51">
        <v>-6634.239999999998</v>
      </c>
      <c r="G361" s="38">
        <v>-6634.239999999998</v>
      </c>
      <c r="H361" s="46">
        <v>2817</v>
      </c>
    </row>
    <row r="362" spans="5:8" x14ac:dyDescent="0.2">
      <c r="E362" s="46">
        <v>-6634.239999999998</v>
      </c>
      <c r="F362" s="51">
        <v>-6631</v>
      </c>
      <c r="G362" s="38">
        <v>-6631</v>
      </c>
      <c r="H362" s="46">
        <v>2436.880000000001</v>
      </c>
    </row>
    <row r="363" spans="5:8" x14ac:dyDescent="0.2">
      <c r="E363" s="46">
        <v>-6631</v>
      </c>
      <c r="F363" s="51">
        <v>-5816.2299999999959</v>
      </c>
      <c r="G363" s="38">
        <v>-5816.2299999999959</v>
      </c>
      <c r="H363" s="46">
        <v>1976.3799999999992</v>
      </c>
    </row>
    <row r="364" spans="5:8" x14ac:dyDescent="0.2">
      <c r="E364" s="46">
        <v>-5816.2299999999959</v>
      </c>
      <c r="F364" s="51">
        <v>-5795.0999999999985</v>
      </c>
      <c r="G364" s="38">
        <v>-5795.0999999999985</v>
      </c>
      <c r="H364" s="46">
        <v>1675.8100000000013</v>
      </c>
    </row>
    <row r="365" spans="5:8" x14ac:dyDescent="0.2">
      <c r="E365" s="46">
        <v>-5795.0999999999985</v>
      </c>
      <c r="F365" s="51">
        <v>-5210.760000000002</v>
      </c>
      <c r="G365" s="38">
        <v>-5210.760000000002</v>
      </c>
      <c r="H365" s="46">
        <v>1233</v>
      </c>
    </row>
    <row r="366" spans="5:8" x14ac:dyDescent="0.2">
      <c r="E366" s="46">
        <v>-5210.760000000002</v>
      </c>
      <c r="F366" s="51">
        <v>-5014.1499999999996</v>
      </c>
      <c r="G366" s="38">
        <v>-5014.1499999999996</v>
      </c>
      <c r="H366" s="46">
        <v>1184</v>
      </c>
    </row>
    <row r="367" spans="5:8" x14ac:dyDescent="0.2">
      <c r="E367" s="46">
        <v>-5014.1499999999996</v>
      </c>
      <c r="F367" s="51">
        <v>-4899.5699999999924</v>
      </c>
      <c r="G367" s="38">
        <v>-4899.5699999999924</v>
      </c>
      <c r="H367" s="46">
        <v>1140.29</v>
      </c>
    </row>
    <row r="368" spans="5:8" x14ac:dyDescent="0.2">
      <c r="E368" s="46">
        <v>-4899.5699999999924</v>
      </c>
      <c r="F368" s="51">
        <v>-4899.1399999999994</v>
      </c>
      <c r="G368" s="38">
        <v>-4899.1399999999994</v>
      </c>
      <c r="H368" s="46">
        <v>987.60000000000036</v>
      </c>
    </row>
    <row r="369" spans="5:8" x14ac:dyDescent="0.2">
      <c r="E369" s="46">
        <v>-4899.1399999999994</v>
      </c>
      <c r="F369" s="51">
        <v>-4118.1699999999983</v>
      </c>
      <c r="G369" s="38">
        <v>-4118.1699999999983</v>
      </c>
      <c r="H369" s="46">
        <v>603.25</v>
      </c>
    </row>
    <row r="370" spans="5:8" x14ac:dyDescent="0.2">
      <c r="E370" s="46">
        <v>-4118.1699999999983</v>
      </c>
      <c r="F370" s="51">
        <v>-3549</v>
      </c>
      <c r="G370" s="38">
        <v>-3549</v>
      </c>
      <c r="H370" s="46">
        <v>601</v>
      </c>
    </row>
    <row r="371" spans="5:8" x14ac:dyDescent="0.2">
      <c r="E371" s="46">
        <v>-3549</v>
      </c>
      <c r="F371" s="51">
        <v>-2991.7899999999995</v>
      </c>
      <c r="G371" s="38">
        <v>-2991.7899999999995</v>
      </c>
      <c r="H371" s="46">
        <v>566</v>
      </c>
    </row>
    <row r="372" spans="5:8" x14ac:dyDescent="0.2">
      <c r="E372" s="46">
        <v>-2991.7899999999995</v>
      </c>
      <c r="F372" s="51">
        <v>-2936.420000000001</v>
      </c>
      <c r="G372" s="38">
        <v>-2936.420000000001</v>
      </c>
      <c r="H372" s="46">
        <v>558.05000000000018</v>
      </c>
    </row>
    <row r="373" spans="5:8" x14ac:dyDescent="0.2">
      <c r="E373" s="46">
        <v>-2936.420000000001</v>
      </c>
      <c r="F373" s="51">
        <v>-2597.9700000000012</v>
      </c>
      <c r="G373" s="38">
        <v>-2597.9700000000012</v>
      </c>
      <c r="H373" s="46">
        <v>549.20999999999981</v>
      </c>
    </row>
    <row r="374" spans="5:8" x14ac:dyDescent="0.2">
      <c r="E374" s="46">
        <v>-2597.9700000000012</v>
      </c>
      <c r="F374" s="51">
        <v>-2417</v>
      </c>
      <c r="G374" s="38">
        <v>-2417</v>
      </c>
      <c r="H374" s="46">
        <v>533.66999999999825</v>
      </c>
    </row>
    <row r="375" spans="5:8" x14ac:dyDescent="0.2">
      <c r="E375" s="46">
        <v>-2417</v>
      </c>
      <c r="F375" s="51">
        <v>-2302.5</v>
      </c>
      <c r="G375" s="38">
        <v>-2302.5</v>
      </c>
      <c r="H375" s="46">
        <v>520.31999999999971</v>
      </c>
    </row>
    <row r="376" spans="5:8" x14ac:dyDescent="0.2">
      <c r="E376" s="46">
        <v>-2302.5</v>
      </c>
      <c r="F376" s="51">
        <v>-2190</v>
      </c>
      <c r="G376" s="38">
        <v>-2190</v>
      </c>
      <c r="H376" s="46">
        <v>512</v>
      </c>
    </row>
    <row r="377" spans="5:8" x14ac:dyDescent="0.2">
      <c r="E377" s="46">
        <v>-2190</v>
      </c>
      <c r="F377" s="51">
        <v>-2159.5200000000004</v>
      </c>
      <c r="G377" s="38">
        <v>-2159.5200000000004</v>
      </c>
      <c r="H377" s="46">
        <v>416</v>
      </c>
    </row>
    <row r="378" spans="5:8" x14ac:dyDescent="0.2">
      <c r="E378" s="46">
        <v>-2159.5200000000004</v>
      </c>
      <c r="F378" s="51">
        <v>-2134.3799999999992</v>
      </c>
      <c r="G378" s="38">
        <v>-2134.3799999999992</v>
      </c>
      <c r="H378" s="46">
        <v>412</v>
      </c>
    </row>
    <row r="379" spans="5:8" x14ac:dyDescent="0.2">
      <c r="E379" s="46">
        <v>-2134.3799999999992</v>
      </c>
      <c r="F379" s="51">
        <v>-2130.2700000000004</v>
      </c>
      <c r="G379" s="38">
        <v>-2130.2700000000004</v>
      </c>
      <c r="H379" s="46">
        <v>409.65000000000009</v>
      </c>
    </row>
    <row r="380" spans="5:8" x14ac:dyDescent="0.2">
      <c r="E380" s="46">
        <v>-2130.2700000000004</v>
      </c>
      <c r="F380" s="51">
        <v>-1938.5500000000002</v>
      </c>
      <c r="G380" s="38">
        <v>-1938.5500000000002</v>
      </c>
      <c r="H380" s="46">
        <v>320.38</v>
      </c>
    </row>
    <row r="381" spans="5:8" x14ac:dyDescent="0.2">
      <c r="E381" s="46">
        <v>-1938.5500000000002</v>
      </c>
      <c r="F381" s="51">
        <v>-1699.9999999999995</v>
      </c>
      <c r="G381" s="38">
        <v>-1699.9999999999995</v>
      </c>
      <c r="H381" s="46">
        <v>292.44000000000005</v>
      </c>
    </row>
    <row r="382" spans="5:8" x14ac:dyDescent="0.2">
      <c r="E382" s="46">
        <v>-1699.9999999999995</v>
      </c>
      <c r="F382" s="51">
        <v>-1504.4599999999991</v>
      </c>
      <c r="G382" s="38">
        <v>-1504.4599999999991</v>
      </c>
      <c r="H382" s="46">
        <v>290.02999999999975</v>
      </c>
    </row>
    <row r="383" spans="5:8" x14ac:dyDescent="0.2">
      <c r="E383" s="46">
        <v>-1504.4599999999991</v>
      </c>
      <c r="F383" s="51">
        <v>-1500.2000000000007</v>
      </c>
      <c r="G383" s="38">
        <v>-1500.2000000000007</v>
      </c>
      <c r="H383" s="46">
        <v>282</v>
      </c>
    </row>
    <row r="384" spans="5:8" x14ac:dyDescent="0.2">
      <c r="E384" s="46">
        <v>-1500.2000000000007</v>
      </c>
      <c r="F384" s="51">
        <v>-1382.0999999999985</v>
      </c>
      <c r="G384" s="38">
        <v>-1382.0999999999985</v>
      </c>
      <c r="H384" s="46">
        <v>257.19999999999982</v>
      </c>
    </row>
    <row r="385" spans="5:8" x14ac:dyDescent="0.2">
      <c r="E385" s="46">
        <v>-1382.0999999999985</v>
      </c>
      <c r="F385" s="51">
        <v>-1344.8300000000163</v>
      </c>
      <c r="G385" s="38">
        <v>-1344.8300000000163</v>
      </c>
      <c r="H385" s="46">
        <v>256</v>
      </c>
    </row>
    <row r="386" spans="5:8" x14ac:dyDescent="0.2">
      <c r="E386" s="46">
        <v>-1344.8300000000163</v>
      </c>
      <c r="F386" s="51">
        <v>-1263.6400000000012</v>
      </c>
      <c r="G386" s="38">
        <v>-1263.6400000000012</v>
      </c>
      <c r="H386" s="46">
        <v>239.11000000000013</v>
      </c>
    </row>
    <row r="387" spans="5:8" x14ac:dyDescent="0.2">
      <c r="E387" s="46">
        <v>-1263.6400000000012</v>
      </c>
      <c r="F387" s="51">
        <v>-1260.8899999999999</v>
      </c>
      <c r="G387" s="38">
        <v>-1260.8899999999999</v>
      </c>
      <c r="H387" s="46">
        <v>237.78999999999996</v>
      </c>
    </row>
    <row r="388" spans="5:8" x14ac:dyDescent="0.2">
      <c r="E388" s="46">
        <v>-1260.8899999999999</v>
      </c>
      <c r="F388" s="51">
        <v>-1260</v>
      </c>
      <c r="G388" s="38">
        <v>-1260</v>
      </c>
      <c r="H388" s="46">
        <v>232.5</v>
      </c>
    </row>
    <row r="389" spans="5:8" x14ac:dyDescent="0.2">
      <c r="E389" s="46">
        <v>-1260</v>
      </c>
      <c r="F389" s="51">
        <v>-1253.3999999999996</v>
      </c>
      <c r="G389" s="38">
        <v>-1253.3999999999996</v>
      </c>
      <c r="H389" s="46">
        <v>218.36000000000013</v>
      </c>
    </row>
    <row r="390" spans="5:8" x14ac:dyDescent="0.2">
      <c r="E390" s="46">
        <v>-1253.3999999999996</v>
      </c>
      <c r="F390" s="51">
        <v>-1247.5</v>
      </c>
      <c r="G390" s="38">
        <v>-1247.5</v>
      </c>
      <c r="H390" s="46">
        <v>201</v>
      </c>
    </row>
    <row r="391" spans="5:8" x14ac:dyDescent="0.2">
      <c r="E391" s="46">
        <v>-1247.5</v>
      </c>
      <c r="F391" s="51">
        <v>-1237.5699999999997</v>
      </c>
      <c r="G391" s="38">
        <v>-1237.5699999999997</v>
      </c>
      <c r="H391" s="46">
        <v>200.32999999999993</v>
      </c>
    </row>
    <row r="392" spans="5:8" x14ac:dyDescent="0.2">
      <c r="E392" s="46">
        <v>-1237.5699999999997</v>
      </c>
      <c r="F392" s="51">
        <v>-1235</v>
      </c>
      <c r="G392" s="38">
        <v>-1235</v>
      </c>
      <c r="H392" s="46">
        <v>187.02999999999997</v>
      </c>
    </row>
    <row r="393" spans="5:8" x14ac:dyDescent="0.2">
      <c r="E393" s="46">
        <v>-1235</v>
      </c>
      <c r="F393" s="51">
        <v>-1092</v>
      </c>
      <c r="G393" s="38">
        <v>-1092</v>
      </c>
      <c r="H393" s="46">
        <v>178.96000000000004</v>
      </c>
    </row>
    <row r="394" spans="5:8" x14ac:dyDescent="0.2">
      <c r="E394" s="46">
        <v>-1092</v>
      </c>
      <c r="F394" s="51">
        <v>-1087</v>
      </c>
      <c r="G394" s="38">
        <v>-1087</v>
      </c>
      <c r="H394" s="46">
        <v>176</v>
      </c>
    </row>
    <row r="395" spans="5:8" x14ac:dyDescent="0.2">
      <c r="E395" s="46">
        <v>-1087</v>
      </c>
      <c r="F395" s="51">
        <v>-907.80000000000018</v>
      </c>
      <c r="G395" s="38">
        <v>-907.80000000000018</v>
      </c>
      <c r="H395" s="46">
        <v>150.00000000000006</v>
      </c>
    </row>
    <row r="396" spans="5:8" x14ac:dyDescent="0.2">
      <c r="E396" s="46">
        <v>-907.80000000000018</v>
      </c>
      <c r="F396" s="51">
        <v>-900</v>
      </c>
      <c r="G396" s="38">
        <v>-900</v>
      </c>
      <c r="H396" s="46">
        <v>127.4699999999998</v>
      </c>
    </row>
    <row r="397" spans="5:8" x14ac:dyDescent="0.2">
      <c r="E397" s="46">
        <v>-900</v>
      </c>
      <c r="F397" s="51">
        <v>-881.9399999999996</v>
      </c>
      <c r="G397" s="38">
        <v>-881.9399999999996</v>
      </c>
      <c r="H397" s="46">
        <v>123.48000000000002</v>
      </c>
    </row>
    <row r="398" spans="5:8" x14ac:dyDescent="0.2">
      <c r="E398" s="46">
        <v>-881.9399999999996</v>
      </c>
      <c r="F398" s="51">
        <v>-865.3</v>
      </c>
      <c r="G398" s="38">
        <v>-865.3</v>
      </c>
      <c r="H398" s="46">
        <v>122.89999999999418</v>
      </c>
    </row>
    <row r="399" spans="5:8" x14ac:dyDescent="0.2">
      <c r="E399" s="46">
        <v>-865.3</v>
      </c>
      <c r="F399" s="51">
        <v>-628.51999999999953</v>
      </c>
      <c r="G399" s="38">
        <v>-628.51999999999953</v>
      </c>
      <c r="H399" s="46">
        <v>119</v>
      </c>
    </row>
    <row r="400" spans="5:8" x14ac:dyDescent="0.2">
      <c r="E400" s="46">
        <v>-628.51999999999953</v>
      </c>
      <c r="F400" s="51">
        <v>-591.81999999999971</v>
      </c>
      <c r="G400" s="38">
        <v>-591.81999999999971</v>
      </c>
      <c r="H400" s="46">
        <v>115.6099999999999</v>
      </c>
    </row>
    <row r="401" spans="5:8" x14ac:dyDescent="0.2">
      <c r="E401" s="46">
        <v>-591.81999999999971</v>
      </c>
      <c r="F401" s="51">
        <v>-590.22000000000025</v>
      </c>
      <c r="G401" s="38">
        <v>-590.22000000000025</v>
      </c>
      <c r="H401" s="46">
        <v>97</v>
      </c>
    </row>
    <row r="402" spans="5:8" x14ac:dyDescent="0.2">
      <c r="E402" s="46">
        <v>-590.22000000000025</v>
      </c>
      <c r="F402" s="51">
        <v>-543.91999999999825</v>
      </c>
      <c r="G402" s="38">
        <v>-543.91999999999825</v>
      </c>
      <c r="H402" s="46">
        <v>89.490000000000009</v>
      </c>
    </row>
    <row r="403" spans="5:8" x14ac:dyDescent="0.2">
      <c r="E403" s="46">
        <v>-543.91999999999825</v>
      </c>
      <c r="F403" s="51">
        <v>-393.55999999999949</v>
      </c>
      <c r="G403" s="38">
        <v>-393.55999999999949</v>
      </c>
      <c r="H403" s="46">
        <v>89.1099999999999</v>
      </c>
    </row>
    <row r="404" spans="5:8" x14ac:dyDescent="0.2">
      <c r="E404" s="46">
        <v>-393.55999999999949</v>
      </c>
      <c r="F404" s="51">
        <v>-369</v>
      </c>
      <c r="G404" s="38">
        <v>-369</v>
      </c>
      <c r="H404" s="46">
        <v>75.610000000000014</v>
      </c>
    </row>
    <row r="405" spans="5:8" x14ac:dyDescent="0.2">
      <c r="E405" s="46">
        <v>-369</v>
      </c>
      <c r="F405" s="51">
        <v>-322.98</v>
      </c>
      <c r="G405" s="38">
        <v>-322.98</v>
      </c>
      <c r="H405" s="46">
        <v>72.300000000000011</v>
      </c>
    </row>
    <row r="406" spans="5:8" x14ac:dyDescent="0.2">
      <c r="E406" s="46">
        <v>-322.98</v>
      </c>
      <c r="F406" s="51">
        <v>-264</v>
      </c>
      <c r="G406" s="38">
        <v>-264</v>
      </c>
      <c r="H406" s="46">
        <v>70.099999999999909</v>
      </c>
    </row>
    <row r="407" spans="5:8" x14ac:dyDescent="0.2">
      <c r="E407" s="46">
        <v>-264</v>
      </c>
      <c r="F407" s="51">
        <v>-253.31999999999994</v>
      </c>
      <c r="G407" s="38">
        <v>-253.31999999999994</v>
      </c>
      <c r="H407" s="46">
        <v>61.100000000000023</v>
      </c>
    </row>
    <row r="408" spans="5:8" x14ac:dyDescent="0.2">
      <c r="E408" s="46">
        <v>-253.31999999999994</v>
      </c>
      <c r="F408" s="51">
        <v>-250.73000000000002</v>
      </c>
      <c r="G408" s="38">
        <v>-250.73000000000002</v>
      </c>
      <c r="H408" s="46">
        <v>58.75</v>
      </c>
    </row>
    <row r="409" spans="5:8" x14ac:dyDescent="0.2">
      <c r="E409" s="46">
        <v>-250.73000000000002</v>
      </c>
      <c r="F409" s="51">
        <v>-247.44999999999982</v>
      </c>
      <c r="G409" s="38">
        <v>-247.44999999999982</v>
      </c>
      <c r="H409" s="46">
        <v>49.829999999999927</v>
      </c>
    </row>
    <row r="410" spans="5:8" x14ac:dyDescent="0.2">
      <c r="E410" s="46">
        <v>-247.44999999999982</v>
      </c>
      <c r="F410" s="51">
        <v>-237.30999999999995</v>
      </c>
      <c r="G410" s="38">
        <v>-237.30999999999995</v>
      </c>
      <c r="H410" s="46">
        <v>48</v>
      </c>
    </row>
    <row r="411" spans="5:8" x14ac:dyDescent="0.2">
      <c r="E411" s="46">
        <v>-237.30999999999995</v>
      </c>
      <c r="F411" s="51">
        <v>-231.02000000000044</v>
      </c>
      <c r="G411" s="38">
        <v>-231.02000000000044</v>
      </c>
      <c r="H411" s="46">
        <v>47.670000000000073</v>
      </c>
    </row>
    <row r="412" spans="5:8" x14ac:dyDescent="0.2">
      <c r="E412" s="46">
        <v>-231.02000000000044</v>
      </c>
      <c r="F412" s="51">
        <v>-186.81000000000131</v>
      </c>
      <c r="G412" s="38">
        <v>-186.81000000000131</v>
      </c>
      <c r="H412" s="46">
        <v>36.420000000000016</v>
      </c>
    </row>
    <row r="413" spans="5:8" x14ac:dyDescent="0.2">
      <c r="E413" s="46">
        <v>-186.81000000000131</v>
      </c>
      <c r="F413" s="51">
        <v>-181.33999999999833</v>
      </c>
      <c r="G413" s="38">
        <v>-181.33999999999833</v>
      </c>
      <c r="H413" s="46">
        <v>34.28</v>
      </c>
    </row>
    <row r="414" spans="5:8" x14ac:dyDescent="0.2">
      <c r="E414" s="46">
        <v>-181.33999999999833</v>
      </c>
      <c r="F414" s="51">
        <v>-179.21999999999935</v>
      </c>
      <c r="G414" s="38">
        <v>-179.21999999999935</v>
      </c>
      <c r="H414" s="46">
        <v>30.339999999999996</v>
      </c>
    </row>
    <row r="415" spans="5:8" x14ac:dyDescent="0.2">
      <c r="E415" s="46">
        <v>-179.21999999999935</v>
      </c>
      <c r="F415" s="51">
        <v>-171.99000000000004</v>
      </c>
      <c r="G415" s="38">
        <v>-171.99000000000004</v>
      </c>
      <c r="H415" s="46">
        <v>24.170000000000016</v>
      </c>
    </row>
    <row r="416" spans="5:8" x14ac:dyDescent="0.2">
      <c r="E416" s="46">
        <v>-171.99000000000004</v>
      </c>
      <c r="F416" s="51">
        <v>-163.24</v>
      </c>
      <c r="G416" s="38">
        <v>-163.24</v>
      </c>
      <c r="H416" s="46">
        <v>23.420000000000073</v>
      </c>
    </row>
    <row r="417" spans="5:8" x14ac:dyDescent="0.2">
      <c r="E417" s="46">
        <v>-163.24</v>
      </c>
      <c r="F417" s="51">
        <v>-152.3900000000001</v>
      </c>
      <c r="G417" s="38">
        <v>-152.3900000000001</v>
      </c>
      <c r="H417" s="46">
        <v>21</v>
      </c>
    </row>
    <row r="418" spans="5:8" x14ac:dyDescent="0.2">
      <c r="E418" s="46">
        <v>-152.3900000000001</v>
      </c>
      <c r="F418" s="51">
        <v>-135</v>
      </c>
      <c r="G418" s="38">
        <v>-135</v>
      </c>
      <c r="H418" s="46">
        <v>15.800000000000011</v>
      </c>
    </row>
    <row r="419" spans="5:8" x14ac:dyDescent="0.2">
      <c r="E419" s="46">
        <v>-135</v>
      </c>
      <c r="F419" s="51">
        <v>-122.14999999999964</v>
      </c>
      <c r="G419" s="38">
        <v>-122.14999999999964</v>
      </c>
      <c r="H419" s="46">
        <v>11.899999999999977</v>
      </c>
    </row>
    <row r="420" spans="5:8" x14ac:dyDescent="0.2">
      <c r="E420" s="46">
        <v>-122.14999999999964</v>
      </c>
      <c r="F420" s="51">
        <v>-94.799999999999955</v>
      </c>
      <c r="G420" s="38">
        <v>-94.799999999999955</v>
      </c>
      <c r="H420" s="46">
        <v>11.419999999999987</v>
      </c>
    </row>
    <row r="421" spans="5:8" x14ac:dyDescent="0.2">
      <c r="E421" s="46">
        <v>-94.799999999999955</v>
      </c>
      <c r="F421" s="51">
        <v>-87</v>
      </c>
      <c r="G421" s="38">
        <v>-87</v>
      </c>
      <c r="H421" s="46">
        <v>10.489999999999995</v>
      </c>
    </row>
    <row r="422" spans="5:8" x14ac:dyDescent="0.2">
      <c r="E422" s="46">
        <v>-87</v>
      </c>
      <c r="F422" s="51">
        <v>-83</v>
      </c>
      <c r="G422" s="38">
        <v>-83</v>
      </c>
      <c r="H422" s="46">
        <v>8</v>
      </c>
    </row>
    <row r="423" spans="5:8" x14ac:dyDescent="0.2">
      <c r="E423" s="46">
        <v>-83</v>
      </c>
      <c r="F423" s="51">
        <v>-42</v>
      </c>
      <c r="G423" s="38">
        <v>-42</v>
      </c>
      <c r="H423" s="46">
        <v>6.8899999999999864</v>
      </c>
    </row>
    <row r="424" spans="5:8" x14ac:dyDescent="0.2">
      <c r="E424" s="46">
        <v>-42</v>
      </c>
      <c r="F424" s="51">
        <v>-41</v>
      </c>
      <c r="G424" s="38">
        <v>-41</v>
      </c>
      <c r="H424" s="46">
        <v>5.0300000000000011</v>
      </c>
    </row>
    <row r="425" spans="5:8" x14ac:dyDescent="0.2">
      <c r="E425" s="46">
        <v>-41</v>
      </c>
      <c r="F425" s="51">
        <v>-36.929999999999836</v>
      </c>
      <c r="G425" s="38">
        <v>-36.929999999999836</v>
      </c>
      <c r="H425" s="46">
        <v>4.4499999999999957</v>
      </c>
    </row>
    <row r="426" spans="5:8" x14ac:dyDescent="0.2">
      <c r="E426" s="46">
        <v>-36.929999999999836</v>
      </c>
      <c r="F426" s="51">
        <v>-35.620000000000005</v>
      </c>
      <c r="G426" s="38">
        <v>-35.620000000000005</v>
      </c>
      <c r="H426" s="46">
        <v>4</v>
      </c>
    </row>
    <row r="427" spans="5:8" x14ac:dyDescent="0.2">
      <c r="E427" s="46">
        <v>-35.620000000000005</v>
      </c>
      <c r="F427" s="51">
        <v>-33</v>
      </c>
      <c r="G427" s="38">
        <v>-33</v>
      </c>
      <c r="H427" s="46">
        <v>3.6300000000000239</v>
      </c>
    </row>
    <row r="428" spans="5:8" x14ac:dyDescent="0.2">
      <c r="E428" s="46">
        <v>-33</v>
      </c>
      <c r="F428" s="51">
        <v>-22.090000000000146</v>
      </c>
      <c r="G428" s="38">
        <v>-22.090000000000146</v>
      </c>
      <c r="H428" s="46">
        <v>3.259999999999998</v>
      </c>
    </row>
    <row r="429" spans="5:8" x14ac:dyDescent="0.2">
      <c r="E429" s="46">
        <v>-22.090000000000146</v>
      </c>
      <c r="F429" s="51">
        <v>-21.940000000000055</v>
      </c>
      <c r="G429" s="38">
        <v>-21.940000000000055</v>
      </c>
      <c r="H429" s="46">
        <v>3.1599999999999682</v>
      </c>
    </row>
    <row r="430" spans="5:8" x14ac:dyDescent="0.2">
      <c r="E430" s="46">
        <v>-21.940000000000055</v>
      </c>
      <c r="F430" s="51">
        <v>-15</v>
      </c>
      <c r="G430" s="38">
        <v>-15</v>
      </c>
      <c r="H430" s="46">
        <v>2.9000000000000057</v>
      </c>
    </row>
    <row r="431" spans="5:8" x14ac:dyDescent="0.2">
      <c r="E431" s="46">
        <v>-15</v>
      </c>
      <c r="F431" s="51">
        <v>-14.460000000000008</v>
      </c>
      <c r="G431" s="38">
        <v>-14.460000000000008</v>
      </c>
      <c r="H431" s="46">
        <v>2.8</v>
      </c>
    </row>
    <row r="432" spans="5:8" x14ac:dyDescent="0.2">
      <c r="E432" s="46">
        <v>-14.460000000000008</v>
      </c>
      <c r="F432" s="51">
        <v>-13.870000000000005</v>
      </c>
      <c r="G432" s="38">
        <v>-13.870000000000005</v>
      </c>
      <c r="H432" s="46">
        <v>1.1699999999999946</v>
      </c>
    </row>
    <row r="433" spans="5:9" x14ac:dyDescent="0.2">
      <c r="E433" s="46">
        <v>-13.870000000000005</v>
      </c>
      <c r="F433" s="51">
        <v>-13.14</v>
      </c>
      <c r="G433" s="38">
        <v>-13.14</v>
      </c>
      <c r="H433" s="46">
        <v>1.0600000000000005</v>
      </c>
    </row>
    <row r="434" spans="5:9" x14ac:dyDescent="0.2">
      <c r="E434" s="46">
        <v>-13.14</v>
      </c>
      <c r="F434" s="51">
        <v>-9.25</v>
      </c>
      <c r="G434" s="38">
        <v>-9.25</v>
      </c>
      <c r="H434" s="46">
        <v>1</v>
      </c>
    </row>
    <row r="435" spans="5:9" x14ac:dyDescent="0.2">
      <c r="E435" s="46">
        <v>-9.25</v>
      </c>
      <c r="F435" s="51">
        <v>-6.7199999999999989</v>
      </c>
      <c r="G435" s="38">
        <v>-6.7199999999999989</v>
      </c>
      <c r="H435" s="46">
        <v>0.84000000000000341</v>
      </c>
    </row>
    <row r="436" spans="5:9" x14ac:dyDescent="0.2">
      <c r="E436" s="46">
        <v>-6.7199999999999989</v>
      </c>
      <c r="F436" s="51">
        <v>-6.2599999999999909</v>
      </c>
      <c r="G436" s="38">
        <v>-6.2599999999999909</v>
      </c>
      <c r="H436" s="46">
        <v>0.74000000000000021</v>
      </c>
    </row>
    <row r="437" spans="5:9" x14ac:dyDescent="0.2">
      <c r="E437" s="46">
        <v>-6.2599999999999909</v>
      </c>
      <c r="F437" s="51">
        <v>-5.2100000000000009</v>
      </c>
      <c r="G437" s="38">
        <v>-5.2100000000000009</v>
      </c>
      <c r="H437" s="46">
        <v>0.67999999999999972</v>
      </c>
    </row>
    <row r="438" spans="5:9" x14ac:dyDescent="0.2">
      <c r="E438" s="46">
        <v>-5.2100000000000009</v>
      </c>
      <c r="F438" s="51">
        <v>-4.629999999999999</v>
      </c>
      <c r="G438" s="38">
        <v>-4.629999999999999</v>
      </c>
      <c r="H438" s="46">
        <v>0.48</v>
      </c>
    </row>
    <row r="439" spans="5:9" x14ac:dyDescent="0.2">
      <c r="E439" s="46">
        <v>-4.629999999999999</v>
      </c>
      <c r="F439" s="51">
        <v>-2.4400000000000048</v>
      </c>
      <c r="G439" s="38">
        <v>-2.4400000000000048</v>
      </c>
      <c r="H439" s="46">
        <v>0.20000000000000018</v>
      </c>
    </row>
    <row r="440" spans="5:9" x14ac:dyDescent="0.2">
      <c r="E440" s="46">
        <v>-2.4400000000000048</v>
      </c>
      <c r="F440" s="51">
        <v>-2.2999999999999972</v>
      </c>
      <c r="G440" s="38">
        <v>-2.2999999999999972</v>
      </c>
      <c r="H440" s="46">
        <v>0.20000000000000018</v>
      </c>
    </row>
    <row r="441" spans="5:9" x14ac:dyDescent="0.2">
      <c r="E441" s="46">
        <v>-2.2999999999999972</v>
      </c>
      <c r="F441" s="51">
        <v>-1.9900000000000002</v>
      </c>
      <c r="G441" s="38">
        <v>-1.9900000000000002</v>
      </c>
      <c r="H441" s="46">
        <v>0.18999999999999997</v>
      </c>
    </row>
    <row r="442" spans="5:9" x14ac:dyDescent="0.2">
      <c r="E442" s="46">
        <v>-1.9900000000000002</v>
      </c>
      <c r="F442" s="51">
        <v>-1.25</v>
      </c>
      <c r="G442" s="38">
        <v>-1.25</v>
      </c>
      <c r="H442" s="46">
        <v>0.11000000000000004</v>
      </c>
    </row>
    <row r="443" spans="5:9" x14ac:dyDescent="0.2">
      <c r="E443" s="46">
        <v>-1.25</v>
      </c>
      <c r="F443" s="51">
        <v>-1</v>
      </c>
      <c r="G443" s="38">
        <v>-1</v>
      </c>
      <c r="H443" s="46">
        <v>0.10000000000002274</v>
      </c>
    </row>
    <row r="444" spans="5:9" x14ac:dyDescent="0.2">
      <c r="E444" s="46">
        <v>-1</v>
      </c>
      <c r="F444" s="51">
        <v>-0.94000000000000128</v>
      </c>
      <c r="G444" s="38">
        <v>-0.94000000000000128</v>
      </c>
      <c r="H444" s="46">
        <v>3.0000000000000249E-2</v>
      </c>
    </row>
    <row r="445" spans="5:9" x14ac:dyDescent="0.2">
      <c r="E445" s="46">
        <v>-0.94000000000000128</v>
      </c>
      <c r="F445" s="51">
        <v>-0.67999999999999994</v>
      </c>
      <c r="G445" s="38">
        <v>-0.67999999999999994</v>
      </c>
      <c r="H445" s="141">
        <f>MEDIAN($H$355:$H$444)*1000/10^6</f>
        <v>0.11730499999999995</v>
      </c>
      <c r="I445" s="54" t="s">
        <v>397</v>
      </c>
    </row>
    <row r="446" spans="5:9" x14ac:dyDescent="0.2">
      <c r="E446" s="46">
        <v>-0.67999999999999994</v>
      </c>
      <c r="F446" s="51">
        <v>-0.5</v>
      </c>
      <c r="G446" s="38">
        <v>-0.5</v>
      </c>
      <c r="H446" s="141">
        <f>AVERAGE($H$355:$H$444)*1000/10^6</f>
        <v>0.65907566666666595</v>
      </c>
      <c r="I446" s="54" t="s">
        <v>398</v>
      </c>
    </row>
    <row r="447" spans="5:9" x14ac:dyDescent="0.2">
      <c r="E447" s="46">
        <v>-0.5</v>
      </c>
      <c r="F447" s="51">
        <v>-0.5</v>
      </c>
      <c r="G447" s="38">
        <v>-0.5</v>
      </c>
      <c r="H447" s="143">
        <v>62838</v>
      </c>
      <c r="I447" s="54" t="s">
        <v>402</v>
      </c>
    </row>
    <row r="448" spans="5:9" x14ac:dyDescent="0.2">
      <c r="E448" s="46">
        <v>-0.5</v>
      </c>
      <c r="F448" s="51">
        <v>-0.41000000000000014</v>
      </c>
      <c r="G448" s="38">
        <v>-0.41000000000000014</v>
      </c>
      <c r="H448" s="141">
        <f>STDEVA($H$355:$H$444)/10^3</f>
        <v>1.5399292199756902</v>
      </c>
      <c r="I448" s="54" t="s">
        <v>403</v>
      </c>
    </row>
    <row r="449" spans="5:9" x14ac:dyDescent="0.2">
      <c r="E449" s="46">
        <v>-0.41000000000000014</v>
      </c>
      <c r="F449" s="51">
        <v>-8.9999999999999858E-2</v>
      </c>
      <c r="G449" s="38">
        <v>-8.9999999999999858E-2</v>
      </c>
      <c r="H449" s="144">
        <f>COUNT($H$355:$H$444)</f>
        <v>90</v>
      </c>
      <c r="I449" s="54" t="s">
        <v>404</v>
      </c>
    </row>
    <row r="450" spans="5:9" x14ac:dyDescent="0.2">
      <c r="E450" s="46">
        <v>-8.9999999999999858E-2</v>
      </c>
      <c r="F450" s="51">
        <v>-5.9999999999998721E-2</v>
      </c>
      <c r="G450" s="38">
        <v>-5.9999999999998721E-2</v>
      </c>
    </row>
    <row r="451" spans="5:9" x14ac:dyDescent="0.2">
      <c r="E451" s="46">
        <v>-5.9999999999998721E-2</v>
      </c>
      <c r="F451" s="51">
        <v>-2.9999999999972715E-2</v>
      </c>
      <c r="G451" s="38">
        <v>-2.9999999999972715E-2</v>
      </c>
    </row>
    <row r="452" spans="5:9" x14ac:dyDescent="0.2">
      <c r="E452" s="46">
        <v>-2.9999999999972715E-2</v>
      </c>
      <c r="F452" s="139">
        <f>STDEVA(F354:F451)</f>
        <v>4281.6346257836303</v>
      </c>
      <c r="G452" s="140">
        <f>MEDIAN(G354:G451)*1000/10^6</f>
        <v>-0.46873999999999888</v>
      </c>
      <c r="H452" s="46" t="s">
        <v>397</v>
      </c>
    </row>
    <row r="453" spans="5:9" x14ac:dyDescent="0.2">
      <c r="F453" s="141">
        <f>F452/10^3</f>
        <v>4.2816346257836306</v>
      </c>
      <c r="G453" s="140">
        <f>AVERAGE(G354:G451)*1000/10^6</f>
        <v>-2.1161082653061221</v>
      </c>
      <c r="H453" s="46" t="s">
        <v>398</v>
      </c>
    </row>
    <row r="454" spans="5:9" x14ac:dyDescent="0.2">
      <c r="G454" s="38">
        <v>-92278</v>
      </c>
      <c r="H454" s="46" t="s">
        <v>399</v>
      </c>
    </row>
    <row r="455" spans="5:9" x14ac:dyDescent="0.2">
      <c r="G455" s="46">
        <f>LOG10(ABS(G454)) -LOG10(ABS(G453))</f>
        <v>4.6395602897035513</v>
      </c>
      <c r="H455" s="46" t="s">
        <v>400</v>
      </c>
    </row>
    <row r="456" spans="5:9" x14ac:dyDescent="0.2">
      <c r="G456" s="46">
        <f>LOG10(ABS(G453))</f>
        <v>0.3255378835059673</v>
      </c>
      <c r="H456" s="46" t="s">
        <v>401</v>
      </c>
    </row>
  </sheetData>
  <sortState xmlns:xlrd2="http://schemas.microsoft.com/office/spreadsheetml/2017/richdata2" ref="A11:AG245">
    <sortCondition descending="1" ref="U9:U249"/>
  </sortState>
  <phoneticPr fontId="35" type="noConversion"/>
  <conditionalFormatting sqref="X11:AC246">
    <cfRule type="cellIs" dxfId="67" priority="1" operator="lessThan">
      <formula>0</formula>
    </cfRule>
  </conditionalFormatting>
  <pageMargins left="0.7" right="0.7" top="0.75" bottom="0.75" header="0.3" footer="0.3"/>
  <pageSetup scale="51" orientation="landscape" horizontalDpi="0" verticalDpi="0"/>
  <drawing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591E9DCB-187A-FA46-92D1-C83D0997B8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data!AH11:AH77</xm:f>
              <xm:sqref>AH11</xm:sqref>
            </x14:sparkline>
            <x14:sparkline>
              <xm:f>data!AH30:AH96</xm:f>
              <xm:sqref>AH30</xm:sqref>
            </x14:sparkline>
            <x14:sparkline>
              <xm:f>data!AH31:AH97</xm:f>
              <xm:sqref>AH31</xm:sqref>
            </x14:sparkline>
            <x14:sparkline>
              <xm:f>data!AH36:AH102</xm:f>
              <xm:sqref>AH36</xm:sqref>
            </x14:sparkline>
            <x14:sparkline>
              <xm:f>data!AH39:AH105</xm:f>
              <xm:sqref>AH39</xm:sqref>
            </x14:sparkline>
            <x14:sparkline>
              <xm:f>data!AH46:AH112</xm:f>
              <xm:sqref>AH46</xm:sqref>
            </x14:sparkline>
            <x14:sparkline>
              <xm:f>data!AH52:AH118</xm:f>
              <xm:sqref>AH52</xm:sqref>
            </x14:sparkline>
            <x14:sparkline>
              <xm:f>data!AH56:AH122</xm:f>
              <xm:sqref>AH56</xm:sqref>
            </x14:sparkline>
            <x14:sparkline>
              <xm:f>data!AH57:AH123</xm:f>
              <xm:sqref>AH57</xm:sqref>
            </x14:sparkline>
            <x14:sparkline>
              <xm:f>data!AH58:AH124</xm:f>
              <xm:sqref>AH58</xm:sqref>
            </x14:sparkline>
            <x14:sparkline>
              <xm:f>data!AH61:AH127</xm:f>
              <xm:sqref>AH61</xm:sqref>
            </x14:sparkline>
            <x14:sparkline>
              <xm:f>data!AH63:AH129</xm:f>
              <xm:sqref>AH63</xm:sqref>
            </x14:sparkline>
            <x14:sparkline>
              <xm:f>data!AH64:AH130</xm:f>
              <xm:sqref>AH64</xm:sqref>
            </x14:sparkline>
            <x14:sparkline>
              <xm:f>data!AH65:AH131</xm:f>
              <xm:sqref>AH65</xm:sqref>
            </x14:sparkline>
            <x14:sparkline>
              <xm:f>data!AH66:AH132</xm:f>
              <xm:sqref>AH66</xm:sqref>
            </x14:sparkline>
            <x14:sparkline>
              <xm:f>data!AH70:AH137</xm:f>
              <xm:sqref>AH70</xm:sqref>
            </x14:sparkline>
            <x14:sparkline>
              <xm:f>data!AH71:AH138</xm:f>
              <xm:sqref>AH71</xm:sqref>
            </x14:sparkline>
            <x14:sparkline>
              <xm:f>data!AH73:AH140</xm:f>
              <xm:sqref>AH73</xm:sqref>
            </x14:sparkline>
            <x14:sparkline>
              <xm:f>data!AH74:AH141</xm:f>
              <xm:sqref>AH74</xm:sqref>
            </x14:sparkline>
            <x14:sparkline>
              <xm:f>data!AH77:AH144</xm:f>
              <xm:sqref>AH77</xm:sqref>
            </x14:sparkline>
            <x14:sparkline>
              <xm:f>data!AH82:AH149</xm:f>
              <xm:sqref>AH82</xm:sqref>
            </x14:sparkline>
            <x14:sparkline>
              <xm:f>data!AH83:AH150</xm:f>
              <xm:sqref>AH83</xm:sqref>
            </x14:sparkline>
            <x14:sparkline>
              <xm:f>data!AH84:AH151</xm:f>
              <xm:sqref>AH84</xm:sqref>
            </x14:sparkline>
            <x14:sparkline>
              <xm:f>data!AH85:AH152</xm:f>
              <xm:sqref>AH85</xm:sqref>
            </x14:sparkline>
            <x14:sparkline>
              <xm:f>data!AH87:AH154</xm:f>
              <xm:sqref>AH87</xm:sqref>
            </x14:sparkline>
            <x14:sparkline>
              <xm:f>data!AH90:AH157</xm:f>
              <xm:sqref>AH90</xm:sqref>
            </x14:sparkline>
            <x14:sparkline>
              <xm:f>data!AH91:AH158</xm:f>
              <xm:sqref>AH91</xm:sqref>
            </x14:sparkline>
            <x14:sparkline>
              <xm:f>data!AH93:AH160</xm:f>
              <xm:sqref>AH93</xm:sqref>
            </x14:sparkline>
            <x14:sparkline>
              <xm:f>data!AH94:AH161</xm:f>
              <xm:sqref>AH94</xm:sqref>
            </x14:sparkline>
            <x14:sparkline>
              <xm:f>data!AH96:AH163</xm:f>
              <xm:sqref>AH96</xm:sqref>
            </x14:sparkline>
            <x14:sparkline>
              <xm:f>data!AH102:AH169</xm:f>
              <xm:sqref>AH102</xm:sqref>
            </x14:sparkline>
            <x14:sparkline>
              <xm:f>data!AH103:AH170</xm:f>
              <xm:sqref>AH103</xm:sqref>
            </x14:sparkline>
            <x14:sparkline>
              <xm:f>data!AH104:AH171</xm:f>
              <xm:sqref>AH104</xm:sqref>
            </x14:sparkline>
            <x14:sparkline>
              <xm:f>data!AH105:AH172</xm:f>
              <xm:sqref>AH105</xm:sqref>
            </x14:sparkline>
            <x14:sparkline>
              <xm:f>data!AH106:AH173</xm:f>
              <xm:sqref>AH106</xm:sqref>
            </x14:sparkline>
            <x14:sparkline>
              <xm:f>data!AH108:AH175</xm:f>
              <xm:sqref>AH108</xm:sqref>
            </x14:sparkline>
            <x14:sparkline>
              <xm:f>data!AH109:AH176</xm:f>
              <xm:sqref>AH109</xm:sqref>
            </x14:sparkline>
            <x14:sparkline>
              <xm:f>data!AH111:AH178</xm:f>
              <xm:sqref>AH111</xm:sqref>
            </x14:sparkline>
            <x14:sparkline>
              <xm:f>data!AH115:AH182</xm:f>
              <xm:sqref>AH115</xm:sqref>
            </x14:sparkline>
            <x14:sparkline>
              <xm:f>data!AH116:AH183</xm:f>
              <xm:sqref>AH116</xm:sqref>
            </x14:sparkline>
            <x14:sparkline>
              <xm:f>data!AH117:AH184</xm:f>
              <xm:sqref>AH117</xm:sqref>
            </x14:sparkline>
            <x14:sparkline>
              <xm:f>data!AH118:AH185</xm:f>
              <xm:sqref>AH118</xm:sqref>
            </x14:sparkline>
            <x14:sparkline>
              <xm:f>data!AH120:AH187</xm:f>
              <xm:sqref>AH120</xm:sqref>
            </x14:sparkline>
            <x14:sparkline>
              <xm:f>data!AH121:AH188</xm:f>
              <xm:sqref>AH121</xm:sqref>
            </x14:sparkline>
            <x14:sparkline>
              <xm:f>data!AH123:AH190</xm:f>
              <xm:sqref>AH123</xm:sqref>
            </x14:sparkline>
            <x14:sparkline>
              <xm:f>data!AH125:AH192</xm:f>
              <xm:sqref>AH125</xm:sqref>
            </x14:sparkline>
            <x14:sparkline>
              <xm:f>data!AH126:AH193</xm:f>
              <xm:sqref>AH126</xm:sqref>
            </x14:sparkline>
            <x14:sparkline>
              <xm:f>data!AH128:AH195</xm:f>
              <xm:sqref>AH128</xm:sqref>
            </x14:sparkline>
            <x14:sparkline>
              <xm:f>data!AH129:AH196</xm:f>
              <xm:sqref>AH129</xm:sqref>
            </x14:sparkline>
            <x14:sparkline>
              <xm:f>data!AH130:AH197</xm:f>
              <xm:sqref>AH130</xm:sqref>
            </x14:sparkline>
            <x14:sparkline>
              <xm:f>data!AH131:AH198</xm:f>
              <xm:sqref>AH131</xm:sqref>
            </x14:sparkline>
            <x14:sparkline>
              <xm:f>data!AH132:AH199</xm:f>
              <xm:sqref>AH132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0766-6C3B-7A4D-8C34-3F273D3BDDD9}">
  <dimension ref="A1:AH143"/>
  <sheetViews>
    <sheetView tabSelected="1" topLeftCell="B1" zoomScale="150" zoomScaleNormal="150" workbookViewId="0">
      <selection activeCell="E18" sqref="E18"/>
    </sheetView>
  </sheetViews>
  <sheetFormatPr baseColWidth="10" defaultRowHeight="16" x14ac:dyDescent="0.2"/>
  <cols>
    <col min="2" max="2" width="12.5" customWidth="1"/>
    <col min="3" max="3" width="13.1640625" customWidth="1"/>
    <col min="11" max="11" width="14.6640625" customWidth="1"/>
    <col min="14" max="14" width="12.6640625" bestFit="1" customWidth="1"/>
    <col min="19" max="19" width="13.33203125" customWidth="1"/>
    <col min="27" max="27" width="14.83203125" customWidth="1"/>
    <col min="28" max="28" width="18.1640625" customWidth="1"/>
  </cols>
  <sheetData>
    <row r="1" spans="1:34" x14ac:dyDescent="0.2">
      <c r="A1" s="173" t="s">
        <v>414</v>
      </c>
      <c r="B1" s="173"/>
      <c r="C1" s="173"/>
      <c r="D1" s="173"/>
      <c r="E1" s="173"/>
      <c r="F1" s="173"/>
      <c r="G1" s="173"/>
      <c r="I1" s="172" t="s">
        <v>415</v>
      </c>
      <c r="J1" s="172"/>
      <c r="K1" s="172"/>
      <c r="L1" s="172"/>
      <c r="M1" s="172"/>
      <c r="N1" s="172"/>
      <c r="Q1" s="173" t="s">
        <v>417</v>
      </c>
      <c r="R1" s="173"/>
      <c r="S1" s="173"/>
      <c r="T1" s="173"/>
      <c r="U1" s="173"/>
      <c r="V1" s="173"/>
      <c r="Y1" s="172" t="s">
        <v>418</v>
      </c>
      <c r="Z1" s="172"/>
      <c r="AA1" s="172"/>
      <c r="AB1" s="172"/>
      <c r="AC1" s="172"/>
      <c r="AD1" s="172"/>
      <c r="AE1" s="164"/>
      <c r="AF1" s="174" t="s">
        <v>444</v>
      </c>
      <c r="AG1" s="174"/>
      <c r="AH1" s="174"/>
    </row>
    <row r="2" spans="1:34" x14ac:dyDescent="0.2">
      <c r="Q2" t="s">
        <v>419</v>
      </c>
      <c r="Y2" t="s">
        <v>420</v>
      </c>
    </row>
    <row r="3" spans="1:34" x14ac:dyDescent="0.2">
      <c r="A3" s="58" t="s">
        <v>408</v>
      </c>
      <c r="B3" s="58" t="s">
        <v>413</v>
      </c>
      <c r="C3" s="58" t="s">
        <v>434</v>
      </c>
      <c r="E3" t="s">
        <v>410</v>
      </c>
      <c r="F3" t="s">
        <v>411</v>
      </c>
      <c r="I3" s="58" t="s">
        <v>408</v>
      </c>
      <c r="J3" s="58" t="s">
        <v>412</v>
      </c>
      <c r="K3" s="58" t="s">
        <v>435</v>
      </c>
      <c r="M3" t="s">
        <v>416</v>
      </c>
      <c r="N3" t="s">
        <v>423</v>
      </c>
      <c r="Q3" t="s">
        <v>421</v>
      </c>
      <c r="Y3" t="s">
        <v>422</v>
      </c>
      <c r="AF3" s="145" t="s">
        <v>424</v>
      </c>
      <c r="AG3" s="147" t="s">
        <v>425</v>
      </c>
      <c r="AH3" s="156">
        <f>U10/AC10</f>
        <v>-0.50447317517580181</v>
      </c>
    </row>
    <row r="4" spans="1:34" ht="16" customHeight="1" x14ac:dyDescent="0.2">
      <c r="A4" s="28" t="s">
        <v>32</v>
      </c>
      <c r="B4" s="143">
        <v>62837.59</v>
      </c>
      <c r="C4" s="157">
        <v>6.6673305251095522E-2</v>
      </c>
      <c r="D4" s="145" t="s">
        <v>392</v>
      </c>
      <c r="E4">
        <f>SUBTOTAL(2,GAIN_nations[Δ NFA])</f>
        <v>137</v>
      </c>
      <c r="F4">
        <f>SUBTOTAL(102,All_gain_nations_minus_China)</f>
        <v>136</v>
      </c>
      <c r="I4" s="28" t="s">
        <v>20</v>
      </c>
      <c r="J4" s="149">
        <v>-92278.400000000023</v>
      </c>
      <c r="K4" s="149"/>
      <c r="L4" s="145" t="s">
        <v>392</v>
      </c>
      <c r="M4">
        <f>SUBTOTAL(2,NFA_Loss_All[])</f>
        <v>99</v>
      </c>
      <c r="N4">
        <f>SUBTOTAL(2,NFALOSS_except_Brazil)</f>
        <v>98</v>
      </c>
      <c r="AF4" s="145" t="s">
        <v>426</v>
      </c>
      <c r="AG4" s="159" t="s">
        <v>425</v>
      </c>
      <c r="AH4" s="160">
        <f>V10/AD10</f>
        <v>-0.38378042548730978</v>
      </c>
    </row>
    <row r="5" spans="1:34" x14ac:dyDescent="0.2">
      <c r="A5" s="28" t="s">
        <v>75</v>
      </c>
      <c r="B5" s="143">
        <v>8222</v>
      </c>
      <c r="C5" s="157">
        <v>2.7653799454458006E-2</v>
      </c>
      <c r="D5" s="145" t="s">
        <v>405</v>
      </c>
      <c r="E5" s="146">
        <f>SUBTOTAL(1,GAIN_nations[Δ NFA])/10^3</f>
        <v>0.89163795620437925</v>
      </c>
      <c r="F5" s="146">
        <f>SUBTOTAL(1,All_gain_nations_minus_China)/10^3</f>
        <v>0.43615301470588186</v>
      </c>
      <c r="G5" s="146"/>
      <c r="I5" s="28" t="s">
        <v>76</v>
      </c>
      <c r="J5" s="149">
        <v>-26411.800000000003</v>
      </c>
      <c r="K5" s="149"/>
      <c r="L5" s="145" t="s">
        <v>405</v>
      </c>
      <c r="M5" s="146">
        <f>SUBTOTAL(1,NFA_Loss_All[])/10^3</f>
        <v>-3.0268384848484864</v>
      </c>
      <c r="N5" s="146">
        <f>SUBTOTAL(1,NFALOSS_except_Brazil)/10^3</f>
        <v>-2.1161082653061221</v>
      </c>
      <c r="P5" s="146"/>
      <c r="Q5" s="151" t="s">
        <v>408</v>
      </c>
      <c r="R5" s="152" t="s">
        <v>412</v>
      </c>
      <c r="S5" s="161" t="s">
        <v>436</v>
      </c>
      <c r="U5" t="s">
        <v>410</v>
      </c>
      <c r="V5" t="s">
        <v>411</v>
      </c>
      <c r="Y5" s="151" t="s">
        <v>408</v>
      </c>
      <c r="Z5" s="152" t="s">
        <v>412</v>
      </c>
      <c r="AA5" s="161" t="s">
        <v>435</v>
      </c>
      <c r="AC5" t="s">
        <v>416</v>
      </c>
      <c r="AD5" t="s">
        <v>423</v>
      </c>
      <c r="AF5" s="158"/>
      <c r="AG5" s="159"/>
      <c r="AH5" s="160"/>
    </row>
    <row r="6" spans="1:34" x14ac:dyDescent="0.2">
      <c r="A6" s="28" t="s">
        <v>177</v>
      </c>
      <c r="B6" s="143">
        <v>7345</v>
      </c>
      <c r="C6" s="157">
        <v>8.0295864844950326E-3</v>
      </c>
      <c r="D6" s="145" t="s">
        <v>406</v>
      </c>
      <c r="E6" s="146">
        <f>MEDIAN(GAIN_nations[])/10^3</f>
        <v>1.8071428997459783E-5</v>
      </c>
      <c r="F6" s="146">
        <f>MEDIAN(All_gain_nations_minus_China)/10^3</f>
        <v>7.4449999999999933E-3</v>
      </c>
      <c r="G6" s="146"/>
      <c r="I6" s="28" t="s">
        <v>42</v>
      </c>
      <c r="J6" s="149">
        <v>-24473.759999999995</v>
      </c>
      <c r="K6" s="149"/>
      <c r="L6" s="145" t="s">
        <v>406</v>
      </c>
      <c r="M6" s="146">
        <f>MEDIAN(NFA_Loss_All[])/10^3</f>
        <v>-0.54391999999999829</v>
      </c>
      <c r="N6" s="146">
        <f>MEDIAN(NFALOSS_except_Brazil)/10^3</f>
        <v>-0.46873999999999888</v>
      </c>
      <c r="P6" s="146"/>
      <c r="Q6" t="s">
        <v>32</v>
      </c>
      <c r="R6" s="142">
        <v>62837.59</v>
      </c>
      <c r="S6" s="162">
        <v>6.6673305251095522E-2</v>
      </c>
      <c r="T6" s="145" t="s">
        <v>392</v>
      </c>
      <c r="U6">
        <f>SUBTOTAL(2,SEL_NFA_GAIN[])</f>
        <v>46</v>
      </c>
      <c r="V6">
        <f>SUBTOTAL(102,SEL_GAIN_EXCEPT_CHINA)</f>
        <v>22</v>
      </c>
      <c r="Y6" t="s">
        <v>20</v>
      </c>
      <c r="Z6" s="142">
        <v>-92278.400000000023</v>
      </c>
      <c r="AA6" s="162">
        <v>8.92</v>
      </c>
      <c r="AB6" s="145" t="s">
        <v>392</v>
      </c>
      <c r="AC6">
        <f>SUBTOTAL(2,SEL_LOSS[])</f>
        <v>28</v>
      </c>
      <c r="AD6">
        <f>SUBTOTAL(2,SEL_LOSS_EXCEPT_BRAZIL)</f>
        <v>13</v>
      </c>
      <c r="AF6" s="178" t="s">
        <v>452</v>
      </c>
      <c r="AG6" s="154" t="s">
        <v>425</v>
      </c>
      <c r="AH6" s="155">
        <f>F8/N8</f>
        <v>-0.28603147643819171</v>
      </c>
    </row>
    <row r="7" spans="1:34" x14ac:dyDescent="0.2">
      <c r="A7" s="28" t="s">
        <v>138</v>
      </c>
      <c r="B7" s="143">
        <v>6361.6999999999534</v>
      </c>
      <c r="C7" s="157">
        <v>3.8845640223070799E-3</v>
      </c>
      <c r="D7" s="145" t="s">
        <v>409</v>
      </c>
      <c r="E7" s="146">
        <f>SUBTOTAL(7,GAIN_nations[Δ NFA])/10^3</f>
        <v>5.4837946298560842</v>
      </c>
      <c r="F7" s="146">
        <f>SUBTOTAL(107,All_gain_nations_minus_China)/10^3</f>
        <v>1.2889158775430969</v>
      </c>
      <c r="G7" s="146"/>
      <c r="I7" s="28" t="s">
        <v>4</v>
      </c>
      <c r="J7" s="149">
        <v>-12655.399999999994</v>
      </c>
      <c r="K7" s="149"/>
      <c r="L7" s="145" t="s">
        <v>409</v>
      </c>
      <c r="M7" s="146">
        <f>SUBTOTAL(7,NFA_Loss_All[])/10^3</f>
        <v>10.012934313121528</v>
      </c>
      <c r="N7" s="146">
        <f>SUBTOTAL(7,NFALOSS_except_Brazil)/10^3</f>
        <v>4.2816346257836306</v>
      </c>
      <c r="P7" s="146"/>
      <c r="Q7" t="s">
        <v>75</v>
      </c>
      <c r="R7" s="142">
        <v>8222</v>
      </c>
      <c r="S7" s="162">
        <v>2.7653799454458006E-2</v>
      </c>
      <c r="T7" s="145" t="s">
        <v>405</v>
      </c>
      <c r="U7" s="146">
        <f>SUBTOTAL(1,SEL_NFA_GAIN[])/10^3</f>
        <v>2.5121994253822377</v>
      </c>
      <c r="V7" s="146">
        <f>SUBTOTAL(1,SEL_GAIN_EXCEPT_CHINA)/10^3</f>
        <v>2.3964749999999979</v>
      </c>
      <c r="Y7" t="s">
        <v>76</v>
      </c>
      <c r="Z7" s="142">
        <v>-26411.800000000003</v>
      </c>
      <c r="AA7" s="162">
        <v>9.84</v>
      </c>
      <c r="AB7" s="145" t="s">
        <v>405</v>
      </c>
      <c r="AC7" s="148">
        <f>SUBTOTAL(1,SEL_LOSS[])/10^3</f>
        <v>-8.1811778571428562</v>
      </c>
      <c r="AD7" s="153">
        <f>SUBTOTAL(1,SEL_LOSS_EXCEPT_BRAZIL)/10^3</f>
        <v>-10.567430769230766</v>
      </c>
      <c r="AF7" s="178"/>
      <c r="AG7" s="154"/>
      <c r="AH7" s="155"/>
    </row>
    <row r="8" spans="1:34" ht="17" x14ac:dyDescent="0.2">
      <c r="A8" s="28" t="s">
        <v>182</v>
      </c>
      <c r="B8" s="143">
        <v>5267.130000000001</v>
      </c>
      <c r="C8" s="157">
        <v>0.16986906182474931</v>
      </c>
      <c r="D8" s="145" t="s">
        <v>407</v>
      </c>
      <c r="E8" s="146">
        <f>SUBTOTAL(9,GAIN_nations[])/10^3</f>
        <v>122.1572099152045</v>
      </c>
      <c r="F8" s="146">
        <f>SUBTOTAL(9,All_gain_nations_minus_China)/10^3</f>
        <v>59.316809999999933</v>
      </c>
      <c r="G8" s="146"/>
      <c r="I8" s="28" t="s">
        <v>175</v>
      </c>
      <c r="J8" s="149">
        <v>-11645.010000000002</v>
      </c>
      <c r="K8" s="149"/>
      <c r="L8" s="145" t="s">
        <v>407</v>
      </c>
      <c r="M8" s="146">
        <f>SUBTOTAL(9,NFA_Loss_All[])/10^3</f>
        <v>-299.65701000000018</v>
      </c>
      <c r="N8" s="146">
        <f>SUBTOTAL(9,NFALOSS_except_Brazil)/10^3</f>
        <v>-207.37860999999995</v>
      </c>
      <c r="P8" s="146"/>
      <c r="Q8" t="s">
        <v>177</v>
      </c>
      <c r="R8" s="142">
        <v>7345</v>
      </c>
      <c r="S8" s="162">
        <v>8.0295864844950326E-3</v>
      </c>
      <c r="T8" s="145" t="s">
        <v>406</v>
      </c>
      <c r="U8" s="146">
        <f>MEDIAN(SEL_NFA_GAIN[])/10^3</f>
        <v>0.25608493453091241</v>
      </c>
      <c r="V8" s="146">
        <f>MEDIAN(SEL_GAIN_EXCEPT_CHINA)/10^3</f>
        <v>1.2084999999999999</v>
      </c>
      <c r="Y8" t="s">
        <v>42</v>
      </c>
      <c r="Z8" s="142">
        <v>-24473.759999999995</v>
      </c>
      <c r="AA8" s="162">
        <v>52.41</v>
      </c>
      <c r="AB8" s="145" t="s">
        <v>406</v>
      </c>
      <c r="AC8" s="146">
        <f>MEDIAN(SEL_LOSS[])/10^3</f>
        <v>-2.5026149999999996</v>
      </c>
      <c r="AD8" s="153">
        <f>MEDIAN(SEL_LOSS_EXCEPT_BRAZIL)/10^3</f>
        <v>-6.9709599999999989</v>
      </c>
      <c r="AF8" s="177" t="s">
        <v>427</v>
      </c>
      <c r="AG8" s="147" t="s">
        <v>425</v>
      </c>
      <c r="AH8" s="156">
        <f>E8/M8</f>
        <v>-0.40765677370672698</v>
      </c>
    </row>
    <row r="9" spans="1:34" x14ac:dyDescent="0.2">
      <c r="A9" s="28" t="s">
        <v>155</v>
      </c>
      <c r="B9" s="143">
        <v>4667.5099999999984</v>
      </c>
      <c r="C9" s="157">
        <v>9.3413534376307117E-2</v>
      </c>
      <c r="D9" s="145"/>
      <c r="E9" s="145" t="s">
        <v>428</v>
      </c>
      <c r="F9" s="91">
        <f>F8/E8</f>
        <v>0.48557764245904705</v>
      </c>
      <c r="G9" s="91"/>
      <c r="I9" t="s">
        <v>113</v>
      </c>
      <c r="J9" s="150">
        <v>-10674.590000000004</v>
      </c>
      <c r="K9" s="150"/>
      <c r="M9" s="145" t="s">
        <v>431</v>
      </c>
      <c r="N9" s="91">
        <f>N8/M8</f>
        <v>0.69205325782300176</v>
      </c>
      <c r="P9" s="91"/>
      <c r="Q9" t="s">
        <v>138</v>
      </c>
      <c r="R9" s="142">
        <v>6361.6999999999534</v>
      </c>
      <c r="S9" s="162">
        <v>3.8845640223070799E-3</v>
      </c>
      <c r="T9" s="145" t="s">
        <v>409</v>
      </c>
      <c r="U9" s="146">
        <f>SUBTOTAL(7,SEL_NFA_GAIN[])/10^3</f>
        <v>9.3176669070909028</v>
      </c>
      <c r="V9" s="146">
        <f>SUBTOTAL(107,SEL_GAIN_EXCEPT_CHINA)/10^3</f>
        <v>2.4127953555708506</v>
      </c>
      <c r="Y9" t="s">
        <v>4</v>
      </c>
      <c r="Z9" s="142">
        <v>-12655.399999999994</v>
      </c>
      <c r="AA9" s="162">
        <v>53.31</v>
      </c>
      <c r="AB9" s="145" t="s">
        <v>409</v>
      </c>
      <c r="AC9" s="146">
        <f>SUBTOTAL(7,SEL_LOSS[])/10^3</f>
        <v>17.943295118392516</v>
      </c>
      <c r="AD9" s="153">
        <f>SUBTOTAL(7,SEL_LOSS_EXCEPT_BRAZIL)/10^3</f>
        <v>7.0711106964399679</v>
      </c>
    </row>
    <row r="10" spans="1:34" x14ac:dyDescent="0.2">
      <c r="A10" s="28" t="s">
        <v>31</v>
      </c>
      <c r="B10" s="143">
        <v>2964.6500000000015</v>
      </c>
      <c r="C10" s="157">
        <v>3.9872634594434686E-2</v>
      </c>
      <c r="D10" s="145"/>
      <c r="E10" s="145" t="s">
        <v>429</v>
      </c>
      <c r="F10" s="91">
        <f>B4*10^-3/E8</f>
        <v>0.51439935509020507</v>
      </c>
      <c r="G10" s="91"/>
      <c r="I10" t="s">
        <v>129</v>
      </c>
      <c r="J10" s="150">
        <v>-9443.6</v>
      </c>
      <c r="K10" s="150"/>
      <c r="M10" s="145" t="s">
        <v>432</v>
      </c>
      <c r="N10" s="91">
        <f>J4*10^-3/M8</f>
        <v>0.30794674217699752</v>
      </c>
      <c r="P10" s="91"/>
      <c r="Q10" t="s">
        <v>182</v>
      </c>
      <c r="R10" s="142">
        <v>5267.130000000001</v>
      </c>
      <c r="S10" s="162">
        <v>0.16986906182474931</v>
      </c>
      <c r="T10" s="145" t="s">
        <v>407</v>
      </c>
      <c r="U10" s="146">
        <f>SUBTOTAL(9,SEL_NFA_GAIN[])/10^3</f>
        <v>115.56117356758294</v>
      </c>
      <c r="V10" s="146">
        <f>SUBTOTAL(9,SEL_GAIN_EXCEPT_CHINA)/10^3</f>
        <v>52.722449999999952</v>
      </c>
      <c r="Y10" t="s">
        <v>175</v>
      </c>
      <c r="Z10" s="142">
        <v>-11645.010000000002</v>
      </c>
      <c r="AA10" s="162">
        <v>10.44</v>
      </c>
      <c r="AB10" s="145" t="s">
        <v>407</v>
      </c>
      <c r="AC10" s="91">
        <f>SUBTOTAL(9,SEL_LOSS[])/10^3</f>
        <v>-229.07297999999997</v>
      </c>
      <c r="AD10" s="153">
        <f>SUBTOTAL(9,SEL_LOSS_EXCEPT_BRAZIL)/10^3</f>
        <v>-137.37659999999997</v>
      </c>
    </row>
    <row r="11" spans="1:34" x14ac:dyDescent="0.2">
      <c r="A11" s="28" t="s">
        <v>57</v>
      </c>
      <c r="B11" s="143">
        <v>2817</v>
      </c>
      <c r="C11" s="157">
        <v>5.1446416831032238E-2</v>
      </c>
      <c r="D11" s="145"/>
      <c r="I11" t="s">
        <v>18</v>
      </c>
      <c r="J11" s="150">
        <v>-6970.9599999999991</v>
      </c>
      <c r="K11" s="150"/>
      <c r="Q11" t="s">
        <v>155</v>
      </c>
      <c r="R11" s="142">
        <v>4667.5099999999984</v>
      </c>
      <c r="S11" s="162">
        <v>9.3413534376307117E-2</v>
      </c>
      <c r="U11" s="145" t="s">
        <v>428</v>
      </c>
      <c r="V11" s="91">
        <f>V10/U10</f>
        <v>0.45622979044225959</v>
      </c>
      <c r="Y11" t="s">
        <v>113</v>
      </c>
      <c r="Z11" s="142">
        <v>-10674.590000000004</v>
      </c>
      <c r="AA11" s="162">
        <v>46.73</v>
      </c>
      <c r="AC11" s="145" t="s">
        <v>431</v>
      </c>
      <c r="AD11" s="91">
        <f>AD10/AC10</f>
        <v>0.59970669609309657</v>
      </c>
    </row>
    <row r="12" spans="1:34" x14ac:dyDescent="0.2">
      <c r="A12" s="28" t="s">
        <v>170</v>
      </c>
      <c r="B12" s="143">
        <v>2436.880000000001</v>
      </c>
      <c r="C12" s="157">
        <v>3.1663006899419199E-2</v>
      </c>
      <c r="D12" s="167"/>
      <c r="E12" s="167"/>
      <c r="F12" s="167" t="s">
        <v>442</v>
      </c>
      <c r="G12" s="167" t="s">
        <v>443</v>
      </c>
      <c r="I12" t="s">
        <v>112</v>
      </c>
      <c r="J12" s="150">
        <v>-6634.239999999998</v>
      </c>
      <c r="K12" s="150"/>
      <c r="Q12" t="s">
        <v>31</v>
      </c>
      <c r="R12" s="142">
        <v>2964.6500000000015</v>
      </c>
      <c r="S12" s="162">
        <v>3.9872634594434686E-2</v>
      </c>
      <c r="U12" s="145" t="s">
        <v>430</v>
      </c>
      <c r="V12" s="91">
        <f>R6/10^3/U10</f>
        <v>0.54376040031517225</v>
      </c>
      <c r="Y12" t="s">
        <v>129</v>
      </c>
      <c r="Z12" s="142">
        <v>-9443.6</v>
      </c>
      <c r="AA12" s="162">
        <v>46.92</v>
      </c>
      <c r="AC12" s="145" t="s">
        <v>433</v>
      </c>
      <c r="AD12" s="91">
        <f>Z6/10^3/AC10</f>
        <v>0.40283406624386703</v>
      </c>
    </row>
    <row r="13" spans="1:34" x14ac:dyDescent="0.2">
      <c r="A13" s="28" t="s">
        <v>81</v>
      </c>
      <c r="B13" s="143">
        <v>1976.3799999999992</v>
      </c>
      <c r="C13" s="157">
        <v>6.7191813422179891E-2</v>
      </c>
      <c r="D13" s="167"/>
      <c r="E13" s="165" t="s">
        <v>439</v>
      </c>
      <c r="F13" s="170">
        <f>SUBTOTAL(1,GAIN_nations[Rate of gain])</f>
        <v>2.0510329959650159E-2</v>
      </c>
      <c r="G13" s="171">
        <v>1.6949709684752262E-2</v>
      </c>
      <c r="I13" t="s">
        <v>5</v>
      </c>
      <c r="J13" s="150">
        <v>-6631</v>
      </c>
      <c r="K13" s="150"/>
      <c r="L13" s="167"/>
      <c r="M13" s="167"/>
      <c r="N13" s="167" t="s">
        <v>442</v>
      </c>
      <c r="O13" s="167" t="s">
        <v>443</v>
      </c>
      <c r="Q13" t="s">
        <v>57</v>
      </c>
      <c r="R13" s="142">
        <v>2817</v>
      </c>
      <c r="S13" s="162">
        <v>5.1446416831032238E-2</v>
      </c>
      <c r="Y13" t="s">
        <v>18</v>
      </c>
      <c r="Z13" s="142">
        <v>-6970.9599999999991</v>
      </c>
      <c r="AA13" s="162">
        <v>40.53</v>
      </c>
    </row>
    <row r="14" spans="1:34" x14ac:dyDescent="0.2">
      <c r="A14" s="28" t="s">
        <v>77</v>
      </c>
      <c r="B14" s="143">
        <v>1675.8100000000013</v>
      </c>
      <c r="C14" s="157">
        <v>1.0288870060659643E-2</v>
      </c>
      <c r="D14" s="167"/>
      <c r="E14" s="166" t="s">
        <v>440</v>
      </c>
      <c r="F14" s="170">
        <f>SUBTOTAL(1,C5:C140)</f>
        <v>2.0170896317801296E-2</v>
      </c>
      <c r="G14" s="171">
        <v>9.4688692347287412E-3</v>
      </c>
      <c r="I14" t="s">
        <v>33</v>
      </c>
      <c r="J14" s="150">
        <v>-5816.2299999999959</v>
      </c>
      <c r="K14" s="150"/>
      <c r="L14" s="167"/>
      <c r="M14" s="165" t="s">
        <v>445</v>
      </c>
      <c r="N14" s="170"/>
      <c r="O14" s="171"/>
      <c r="Q14" t="s">
        <v>170</v>
      </c>
      <c r="R14" s="142">
        <v>2436.880000000001</v>
      </c>
      <c r="S14" s="162">
        <v>3.1663006899419199E-2</v>
      </c>
      <c r="Y14" t="s">
        <v>112</v>
      </c>
      <c r="Z14" s="142">
        <v>-6634.239999999998</v>
      </c>
      <c r="AA14" s="162">
        <v>43.71</v>
      </c>
    </row>
    <row r="15" spans="1:34" x14ac:dyDescent="0.2">
      <c r="A15" s="28" t="s">
        <v>178</v>
      </c>
      <c r="B15" s="143">
        <v>1233</v>
      </c>
      <c r="C15" s="157">
        <v>7.0449091532396299E-2</v>
      </c>
      <c r="E15" s="145"/>
      <c r="I15" t="s">
        <v>181</v>
      </c>
      <c r="J15" s="150">
        <v>-5795.0999999999985</v>
      </c>
      <c r="K15" s="150"/>
      <c r="L15" s="167"/>
      <c r="M15" s="166" t="s">
        <v>446</v>
      </c>
      <c r="N15" s="170"/>
      <c r="O15" s="171"/>
      <c r="Q15" t="s">
        <v>81</v>
      </c>
      <c r="R15" s="142">
        <v>1976.3799999999992</v>
      </c>
      <c r="S15" s="162">
        <v>6.7191813422179891E-2</v>
      </c>
      <c r="T15" s="167"/>
      <c r="U15" s="167"/>
      <c r="V15" s="167" t="s">
        <v>442</v>
      </c>
      <c r="W15" s="167" t="s">
        <v>443</v>
      </c>
      <c r="X15" s="167"/>
      <c r="Y15" t="s">
        <v>5</v>
      </c>
      <c r="Z15" s="142">
        <v>-6631</v>
      </c>
      <c r="AA15" s="162">
        <v>51.64</v>
      </c>
    </row>
    <row r="16" spans="1:34" x14ac:dyDescent="0.2">
      <c r="A16" s="28" t="s">
        <v>39</v>
      </c>
      <c r="B16" s="143">
        <v>1184</v>
      </c>
      <c r="C16" s="157">
        <v>0.11382426456450681</v>
      </c>
      <c r="E16" s="145"/>
      <c r="I16" t="s">
        <v>157</v>
      </c>
      <c r="J16" s="150">
        <v>-5210.760000000002</v>
      </c>
      <c r="K16" s="150"/>
      <c r="Q16" t="s">
        <v>77</v>
      </c>
      <c r="R16" s="142">
        <v>1675.8100000000013</v>
      </c>
      <c r="S16" s="162">
        <v>1.0288870060659643E-2</v>
      </c>
      <c r="T16" s="167"/>
      <c r="U16" s="165" t="s">
        <v>439</v>
      </c>
      <c r="V16" s="170">
        <f>AVERAGE(SEL_NFA_GAIN[Rate of Gain])</f>
        <v>4.9285547084605419E-2</v>
      </c>
      <c r="W16" s="138">
        <v>2.5384923816368487E-2</v>
      </c>
      <c r="X16" s="171"/>
      <c r="Y16" t="s">
        <v>33</v>
      </c>
      <c r="Z16" s="142">
        <v>-5816.2299999999959</v>
      </c>
      <c r="AA16" s="162">
        <v>53.43</v>
      </c>
    </row>
    <row r="17" spans="1:27" x14ac:dyDescent="0.2">
      <c r="A17" s="28" t="s">
        <v>179</v>
      </c>
      <c r="B17" s="143">
        <v>1140.29</v>
      </c>
      <c r="C17" s="157">
        <v>2.680512458862247E-2</v>
      </c>
      <c r="F17">
        <f>0.436153014705882 * 10^6</f>
        <v>436153.014705882</v>
      </c>
      <c r="I17" t="s">
        <v>200</v>
      </c>
      <c r="J17" s="150">
        <v>-5014.1499999999996</v>
      </c>
      <c r="K17" s="150"/>
      <c r="M17" t="s">
        <v>453</v>
      </c>
      <c r="N17" s="179">
        <f>J4/10^3/N5</f>
        <v>43.6075986814648</v>
      </c>
      <c r="Q17" t="s">
        <v>178</v>
      </c>
      <c r="R17" s="142">
        <v>1233</v>
      </c>
      <c r="S17" s="162">
        <v>7.0449091532396299E-2</v>
      </c>
      <c r="T17" s="167"/>
      <c r="U17" s="166" t="s">
        <v>440</v>
      </c>
      <c r="V17" s="170">
        <f>AVERAGE(S7:S28)</f>
        <v>4.8495194440674065E-2</v>
      </c>
      <c r="W17" s="138">
        <v>1.4605204513363612E-2</v>
      </c>
      <c r="X17" s="171"/>
      <c r="Y17" t="s">
        <v>181</v>
      </c>
      <c r="Z17" s="142">
        <v>-5795.0999999999985</v>
      </c>
      <c r="AA17" s="162">
        <v>55.65</v>
      </c>
    </row>
    <row r="18" spans="1:27" x14ac:dyDescent="0.2">
      <c r="A18" s="28" t="s">
        <v>13</v>
      </c>
      <c r="B18" s="143">
        <v>987.60000000000036</v>
      </c>
      <c r="C18" s="157">
        <v>4.8655519317364504E-2</v>
      </c>
      <c r="F18">
        <f>10^3</f>
        <v>1000</v>
      </c>
      <c r="I18" t="s">
        <v>107</v>
      </c>
      <c r="J18" s="150">
        <v>-4899.5699999999924</v>
      </c>
      <c r="K18" s="150"/>
      <c r="Q18" t="s">
        <v>39</v>
      </c>
      <c r="R18" s="142">
        <v>1184</v>
      </c>
      <c r="S18" s="162">
        <v>0.11382426456450681</v>
      </c>
      <c r="Y18" t="s">
        <v>157</v>
      </c>
      <c r="Z18" s="142">
        <v>-5210.760000000002</v>
      </c>
      <c r="AA18" s="162">
        <v>49.07</v>
      </c>
    </row>
    <row r="19" spans="1:27" x14ac:dyDescent="0.2">
      <c r="A19" s="28" t="s">
        <v>63</v>
      </c>
      <c r="B19" s="143">
        <v>603.25</v>
      </c>
      <c r="C19" s="157">
        <v>4.6799844840962002E-2</v>
      </c>
      <c r="I19" t="s">
        <v>120</v>
      </c>
      <c r="J19" s="150">
        <v>-4899.1399999999994</v>
      </c>
      <c r="K19" s="150"/>
      <c r="M19">
        <v>1.6949709684752262E-2</v>
      </c>
      <c r="Q19" t="s">
        <v>179</v>
      </c>
      <c r="R19" s="142">
        <v>1140.29</v>
      </c>
      <c r="S19" s="162">
        <v>2.680512458862247E-2</v>
      </c>
      <c r="Y19" t="s">
        <v>200</v>
      </c>
      <c r="Z19" s="142">
        <v>-5014.1499999999996</v>
      </c>
      <c r="AA19" s="162">
        <v>59.42</v>
      </c>
    </row>
    <row r="20" spans="1:27" x14ac:dyDescent="0.2">
      <c r="A20" s="28" t="s">
        <v>132</v>
      </c>
      <c r="B20" s="143">
        <v>601</v>
      </c>
      <c r="C20" s="157">
        <v>1.9628335347333381E-2</v>
      </c>
      <c r="E20">
        <f>E8/M8</f>
        <v>-0.40765677370672698</v>
      </c>
      <c r="I20" t="s">
        <v>130</v>
      </c>
      <c r="J20" s="150">
        <v>-4118.1699999999983</v>
      </c>
      <c r="K20" s="150"/>
      <c r="M20">
        <v>9.4688692347287412E-3</v>
      </c>
      <c r="Q20" t="s">
        <v>13</v>
      </c>
      <c r="R20" s="142">
        <v>987.60000000000036</v>
      </c>
      <c r="S20" s="162">
        <v>4.8655519317364504E-2</v>
      </c>
    </row>
    <row r="21" spans="1:27" x14ac:dyDescent="0.2">
      <c r="A21" s="28" t="s">
        <v>22</v>
      </c>
      <c r="B21" s="143">
        <v>566</v>
      </c>
      <c r="C21" s="157">
        <v>5.2137067059690456E-2</v>
      </c>
      <c r="I21" t="s">
        <v>19</v>
      </c>
      <c r="J21" s="150">
        <v>-3549</v>
      </c>
      <c r="K21" s="150"/>
      <c r="Q21" t="s">
        <v>63</v>
      </c>
      <c r="R21" s="142">
        <v>603.25</v>
      </c>
      <c r="S21" s="162">
        <v>4.6799844840962002E-2</v>
      </c>
    </row>
    <row r="22" spans="1:27" x14ac:dyDescent="0.2">
      <c r="A22" s="28" t="s">
        <v>137</v>
      </c>
      <c r="B22" s="143">
        <v>558.05000000000018</v>
      </c>
      <c r="C22" s="157">
        <v>2.4254607093184999E-2</v>
      </c>
      <c r="I22" t="s">
        <v>118</v>
      </c>
      <c r="J22" s="150">
        <v>-2991.7899999999995</v>
      </c>
      <c r="K22" s="150"/>
      <c r="Q22" t="s">
        <v>132</v>
      </c>
      <c r="R22" s="142">
        <v>601</v>
      </c>
      <c r="S22" s="162">
        <v>1.9628335347333381E-2</v>
      </c>
    </row>
    <row r="23" spans="1:27" x14ac:dyDescent="0.2">
      <c r="A23" s="28" t="s">
        <v>46</v>
      </c>
      <c r="B23" s="143">
        <v>549.20999999999981</v>
      </c>
      <c r="C23" s="157">
        <v>0.11368453736286477</v>
      </c>
      <c r="I23" t="s">
        <v>26</v>
      </c>
      <c r="J23" s="150">
        <v>-2936.420000000001</v>
      </c>
      <c r="K23" s="150"/>
      <c r="Q23" t="s">
        <v>22</v>
      </c>
      <c r="R23" s="142">
        <v>566</v>
      </c>
      <c r="S23" s="162">
        <v>5.2137067059690456E-2</v>
      </c>
    </row>
    <row r="24" spans="1:27" x14ac:dyDescent="0.2">
      <c r="A24" s="28" t="s">
        <v>56</v>
      </c>
      <c r="B24" s="143">
        <v>533.66999999999825</v>
      </c>
      <c r="C24" s="157">
        <v>1.756013293409231E-2</v>
      </c>
      <c r="I24" t="s">
        <v>184</v>
      </c>
      <c r="J24" s="150">
        <v>-2597.9700000000012</v>
      </c>
      <c r="K24" s="150"/>
      <c r="Q24" t="s">
        <v>137</v>
      </c>
      <c r="R24" s="142">
        <v>558.05000000000018</v>
      </c>
      <c r="S24" s="162">
        <v>2.4254607093184999E-2</v>
      </c>
    </row>
    <row r="25" spans="1:27" x14ac:dyDescent="0.2">
      <c r="A25" s="28" t="s">
        <v>117</v>
      </c>
      <c r="B25" s="143">
        <v>520.31999999999971</v>
      </c>
      <c r="C25" s="157">
        <v>1.9760738293266467E-2</v>
      </c>
      <c r="I25" t="s">
        <v>30</v>
      </c>
      <c r="J25" s="150">
        <v>-2417</v>
      </c>
      <c r="K25" s="150"/>
      <c r="Q25" t="s">
        <v>46</v>
      </c>
      <c r="R25" s="142">
        <v>549.20999999999981</v>
      </c>
      <c r="S25" s="162">
        <v>0.11368453736286477</v>
      </c>
    </row>
    <row r="26" spans="1:27" x14ac:dyDescent="0.2">
      <c r="A26" s="28" t="s">
        <v>164</v>
      </c>
      <c r="B26" s="143">
        <v>512</v>
      </c>
      <c r="C26" s="157">
        <v>1.0021726790502838E-2</v>
      </c>
      <c r="I26" t="s">
        <v>152</v>
      </c>
      <c r="J26" s="150">
        <v>-2302.5</v>
      </c>
      <c r="K26" s="150"/>
      <c r="Q26" t="s">
        <v>56</v>
      </c>
      <c r="R26" s="142">
        <v>533.66999999999825</v>
      </c>
      <c r="S26" s="162">
        <v>1.756013293409231E-2</v>
      </c>
    </row>
    <row r="27" spans="1:27" x14ac:dyDescent="0.2">
      <c r="A27" s="28" t="s">
        <v>173</v>
      </c>
      <c r="B27" s="143">
        <v>416</v>
      </c>
      <c r="C27" s="157">
        <v>7.1812045780179357E-3</v>
      </c>
      <c r="I27" t="s">
        <v>54</v>
      </c>
      <c r="J27" s="150">
        <v>-2190</v>
      </c>
      <c r="K27" s="150"/>
      <c r="Q27" t="s">
        <v>117</v>
      </c>
      <c r="R27" s="142">
        <v>520.31999999999971</v>
      </c>
      <c r="S27" s="162">
        <v>1.9760738293266467E-2</v>
      </c>
    </row>
    <row r="28" spans="1:27" x14ac:dyDescent="0.2">
      <c r="A28" s="28" t="s">
        <v>174</v>
      </c>
      <c r="B28" s="143">
        <v>412</v>
      </c>
      <c r="C28" s="157">
        <v>1.7029719340305033E-2</v>
      </c>
      <c r="I28" t="s">
        <v>27</v>
      </c>
      <c r="J28" s="150">
        <v>-2159.5200000000004</v>
      </c>
      <c r="K28" s="150"/>
      <c r="Q28" t="s">
        <v>164</v>
      </c>
      <c r="R28" s="142">
        <v>512</v>
      </c>
      <c r="S28" s="162">
        <v>1.0021726790502838E-2</v>
      </c>
    </row>
    <row r="29" spans="1:27" x14ac:dyDescent="0.2">
      <c r="A29" s="28" t="s">
        <v>145</v>
      </c>
      <c r="B29" s="143">
        <v>409.65000000000009</v>
      </c>
      <c r="C29" s="157">
        <v>4.6838554767893892E-2</v>
      </c>
      <c r="I29" t="s">
        <v>47</v>
      </c>
      <c r="J29" s="150">
        <v>-2134.3799999999992</v>
      </c>
      <c r="K29" s="150"/>
    </row>
    <row r="30" spans="1:27" x14ac:dyDescent="0.2">
      <c r="A30" s="28" t="s">
        <v>79</v>
      </c>
      <c r="B30" s="143">
        <v>320.38</v>
      </c>
      <c r="C30" s="157">
        <v>4.6506024096385531E-2</v>
      </c>
      <c r="I30" t="s">
        <v>114</v>
      </c>
      <c r="J30" s="150">
        <v>-2130.2700000000004</v>
      </c>
      <c r="K30" s="150"/>
    </row>
    <row r="31" spans="1:27" x14ac:dyDescent="0.2">
      <c r="A31" s="28" t="s">
        <v>85</v>
      </c>
      <c r="B31" s="143">
        <v>292.44000000000005</v>
      </c>
      <c r="C31" s="157">
        <v>1.0832314701633514E-3</v>
      </c>
      <c r="I31" t="s">
        <v>62</v>
      </c>
      <c r="J31" s="150">
        <v>-1938.5500000000002</v>
      </c>
      <c r="K31" s="150"/>
    </row>
    <row r="32" spans="1:27" x14ac:dyDescent="0.2">
      <c r="A32" s="28" t="s">
        <v>115</v>
      </c>
      <c r="B32" s="143">
        <v>290.02999999999975</v>
      </c>
      <c r="C32" s="157">
        <v>2.0232298569933693E-2</v>
      </c>
      <c r="I32" t="s">
        <v>16</v>
      </c>
      <c r="J32" s="150">
        <v>-1699.9999999999995</v>
      </c>
      <c r="K32" s="150"/>
    </row>
    <row r="33" spans="1:11" x14ac:dyDescent="0.2">
      <c r="A33" s="28" t="s">
        <v>1</v>
      </c>
      <c r="B33" s="143">
        <v>282</v>
      </c>
      <c r="C33" s="157">
        <v>1.1840083300444218E-3</v>
      </c>
      <c r="I33" t="s">
        <v>98</v>
      </c>
      <c r="J33" s="150">
        <v>-1504.4599999999991</v>
      </c>
      <c r="K33" s="150"/>
    </row>
    <row r="34" spans="1:11" x14ac:dyDescent="0.2">
      <c r="A34" s="28" t="s">
        <v>111</v>
      </c>
      <c r="B34" s="143">
        <v>257.19999999999982</v>
      </c>
      <c r="C34" s="157">
        <v>5.7629397266412558E-3</v>
      </c>
      <c r="I34" t="s">
        <v>23</v>
      </c>
      <c r="J34" s="150">
        <v>-1500.2000000000007</v>
      </c>
      <c r="K34" s="150"/>
    </row>
    <row r="35" spans="1:11" x14ac:dyDescent="0.2">
      <c r="A35" s="28" t="s">
        <v>94</v>
      </c>
      <c r="B35" s="143">
        <v>256</v>
      </c>
      <c r="C35" s="157">
        <v>4.0861931364724657E-2</v>
      </c>
      <c r="I35" t="s">
        <v>185</v>
      </c>
      <c r="J35" s="150">
        <v>-1382.0999999999985</v>
      </c>
      <c r="K35" s="150"/>
    </row>
    <row r="36" spans="1:11" x14ac:dyDescent="0.2">
      <c r="A36" s="28" t="s">
        <v>73</v>
      </c>
      <c r="B36" s="143">
        <v>239.11000000000013</v>
      </c>
      <c r="C36" s="157">
        <v>2.6412239036783386E-2</v>
      </c>
      <c r="I36" t="s">
        <v>28</v>
      </c>
      <c r="J36" s="150">
        <v>-1344.8300000000163</v>
      </c>
      <c r="K36" s="150"/>
    </row>
    <row r="37" spans="1:11" x14ac:dyDescent="0.2">
      <c r="A37" s="28" t="s">
        <v>89</v>
      </c>
      <c r="B37" s="143">
        <v>237.78999999999996</v>
      </c>
      <c r="C37" s="157">
        <v>3.8242200064329324E-2</v>
      </c>
      <c r="I37" t="s">
        <v>96</v>
      </c>
      <c r="J37" s="150">
        <v>-1263.6400000000012</v>
      </c>
      <c r="K37" s="150"/>
    </row>
    <row r="38" spans="1:11" x14ac:dyDescent="0.2">
      <c r="A38" s="28" t="s">
        <v>52</v>
      </c>
      <c r="B38" s="143">
        <v>232.5</v>
      </c>
      <c r="C38" s="157">
        <v>5.3485162180814338E-2</v>
      </c>
      <c r="I38" t="s">
        <v>125</v>
      </c>
      <c r="J38" s="150">
        <v>-1260.8899999999999</v>
      </c>
      <c r="K38" s="150"/>
    </row>
    <row r="39" spans="1:11" x14ac:dyDescent="0.2">
      <c r="A39" s="28" t="s">
        <v>17</v>
      </c>
      <c r="B39" s="143">
        <v>218.36000000000013</v>
      </c>
      <c r="C39" s="157">
        <v>5.7282266526757608E-2</v>
      </c>
      <c r="I39" t="s">
        <v>97</v>
      </c>
      <c r="J39" s="150">
        <v>-1260</v>
      </c>
      <c r="K39" s="150"/>
    </row>
    <row r="40" spans="1:11" x14ac:dyDescent="0.2">
      <c r="A40" s="28" t="s">
        <v>110</v>
      </c>
      <c r="B40" s="143">
        <v>201</v>
      </c>
      <c r="C40" s="157">
        <v>0.14944237918215614</v>
      </c>
      <c r="I40" t="s">
        <v>68</v>
      </c>
      <c r="J40" s="150">
        <v>-1253.3999999999996</v>
      </c>
      <c r="K40" s="150"/>
    </row>
    <row r="41" spans="1:11" x14ac:dyDescent="0.2">
      <c r="A41" s="28" t="s">
        <v>55</v>
      </c>
      <c r="B41" s="143">
        <v>200.32999999999993</v>
      </c>
      <c r="C41" s="157">
        <v>0.10964969896004373</v>
      </c>
      <c r="I41" t="s">
        <v>88</v>
      </c>
      <c r="J41" s="150">
        <v>-1247.5</v>
      </c>
      <c r="K41" s="150"/>
    </row>
    <row r="42" spans="1:11" x14ac:dyDescent="0.2">
      <c r="A42" s="28" t="s">
        <v>9</v>
      </c>
      <c r="B42" s="143">
        <v>187.02999999999997</v>
      </c>
      <c r="C42" s="157">
        <v>2.2626421485603676E-2</v>
      </c>
      <c r="I42" t="s">
        <v>172</v>
      </c>
      <c r="J42" s="150">
        <v>-1237.5699999999997</v>
      </c>
      <c r="K42" s="150"/>
    </row>
    <row r="43" spans="1:11" x14ac:dyDescent="0.2">
      <c r="A43" s="28" t="s">
        <v>87</v>
      </c>
      <c r="B43" s="143">
        <v>178.96000000000004</v>
      </c>
      <c r="C43" s="157">
        <v>9.3305526590198168E-3</v>
      </c>
      <c r="I43" t="s">
        <v>144</v>
      </c>
      <c r="J43" s="150">
        <v>-1235</v>
      </c>
      <c r="K43" s="150"/>
    </row>
    <row r="44" spans="1:11" x14ac:dyDescent="0.2">
      <c r="A44" s="28" t="s">
        <v>134</v>
      </c>
      <c r="B44" s="143">
        <v>176</v>
      </c>
      <c r="C44" s="157">
        <v>0.1984216459977452</v>
      </c>
      <c r="I44" t="s">
        <v>153</v>
      </c>
      <c r="J44" s="150">
        <v>-1092</v>
      </c>
      <c r="K44" s="150"/>
    </row>
    <row r="45" spans="1:11" x14ac:dyDescent="0.2">
      <c r="A45" s="28" t="s">
        <v>162</v>
      </c>
      <c r="B45" s="143">
        <v>150.00000000000006</v>
      </c>
      <c r="C45" s="157">
        <v>8.1685999019768044E-3</v>
      </c>
      <c r="I45" t="s">
        <v>69</v>
      </c>
      <c r="J45" s="150">
        <v>-1087</v>
      </c>
      <c r="K45" s="150"/>
    </row>
    <row r="46" spans="1:11" x14ac:dyDescent="0.2">
      <c r="A46" s="28" t="s">
        <v>37</v>
      </c>
      <c r="B46" s="143">
        <v>127.4699999999998</v>
      </c>
      <c r="C46" s="157">
        <v>2.4964747356051586E-2</v>
      </c>
      <c r="I46" t="s">
        <v>92</v>
      </c>
      <c r="J46" s="150">
        <v>-907.80000000000018</v>
      </c>
      <c r="K46" s="150"/>
    </row>
    <row r="47" spans="1:11" x14ac:dyDescent="0.2">
      <c r="A47" s="28" t="s">
        <v>8</v>
      </c>
      <c r="B47" s="143">
        <v>123.48000000000002</v>
      </c>
      <c r="C47" s="157">
        <v>1.4963645176926832E-2</v>
      </c>
      <c r="I47" t="s">
        <v>29</v>
      </c>
      <c r="J47" s="150">
        <v>-900</v>
      </c>
      <c r="K47" s="150"/>
    </row>
    <row r="48" spans="1:11" x14ac:dyDescent="0.2">
      <c r="A48" s="36" t="s">
        <v>7</v>
      </c>
      <c r="B48" s="143">
        <v>122.89999999999418</v>
      </c>
      <c r="C48" s="157">
        <v>1.5997813154913776E-4</v>
      </c>
      <c r="I48" t="s">
        <v>221</v>
      </c>
      <c r="J48" s="150">
        <v>-881.9399999999996</v>
      </c>
      <c r="K48" s="150"/>
    </row>
    <row r="49" spans="1:11" x14ac:dyDescent="0.2">
      <c r="A49" s="28" t="s">
        <v>61</v>
      </c>
      <c r="B49" s="143">
        <v>119</v>
      </c>
      <c r="C49" s="157">
        <v>3.4111104741156861E-3</v>
      </c>
      <c r="I49" t="s">
        <v>119</v>
      </c>
      <c r="J49" s="150">
        <v>-865.3</v>
      </c>
      <c r="K49" s="150"/>
    </row>
    <row r="50" spans="1:11" x14ac:dyDescent="0.2">
      <c r="A50" s="28" t="s">
        <v>161</v>
      </c>
      <c r="B50" s="143">
        <v>115.6099999999999</v>
      </c>
      <c r="C50" s="157">
        <v>2.9253542510121411E-2</v>
      </c>
      <c r="I50" t="s">
        <v>72</v>
      </c>
      <c r="J50" s="150">
        <v>-628.51999999999953</v>
      </c>
      <c r="K50" s="150"/>
    </row>
    <row r="51" spans="1:11" x14ac:dyDescent="0.2">
      <c r="A51" s="28" t="s">
        <v>43</v>
      </c>
      <c r="B51" s="143">
        <v>97</v>
      </c>
      <c r="C51" s="157">
        <v>2.3100738271016913E-2</v>
      </c>
      <c r="I51" t="s">
        <v>147</v>
      </c>
      <c r="J51" s="150">
        <v>-591.81999999999971</v>
      </c>
      <c r="K51" s="150"/>
    </row>
    <row r="52" spans="1:11" x14ac:dyDescent="0.2">
      <c r="A52" s="28" t="s">
        <v>236</v>
      </c>
      <c r="B52" s="143">
        <v>89.490000000000009</v>
      </c>
      <c r="C52" s="157">
        <v>3.5483743061062667E-2</v>
      </c>
      <c r="I52" t="s">
        <v>131</v>
      </c>
      <c r="J52" s="150">
        <v>-590.22000000000025</v>
      </c>
      <c r="K52" s="150"/>
    </row>
    <row r="53" spans="1:11" x14ac:dyDescent="0.2">
      <c r="A53" s="28" t="s">
        <v>38</v>
      </c>
      <c r="B53" s="143">
        <v>89.1099999999999</v>
      </c>
      <c r="C53" s="157">
        <v>1.5923874195854171E-2</v>
      </c>
      <c r="I53" t="s">
        <v>128</v>
      </c>
      <c r="J53" s="150">
        <v>-543.91999999999825</v>
      </c>
      <c r="K53" s="150"/>
    </row>
    <row r="54" spans="1:11" x14ac:dyDescent="0.2">
      <c r="A54" s="28" t="s">
        <v>82</v>
      </c>
      <c r="B54" s="143">
        <v>75.610000000000014</v>
      </c>
      <c r="C54" s="157">
        <v>6.9815327793167126E-2</v>
      </c>
      <c r="I54" t="s">
        <v>127</v>
      </c>
      <c r="J54" s="150">
        <v>-393.55999999999949</v>
      </c>
      <c r="K54" s="150"/>
    </row>
    <row r="55" spans="1:11" x14ac:dyDescent="0.2">
      <c r="A55" s="28" t="s">
        <v>227</v>
      </c>
      <c r="B55" s="143">
        <v>72.300000000000011</v>
      </c>
      <c r="C55" s="157">
        <v>1.018023092086736E-2</v>
      </c>
      <c r="I55" t="s">
        <v>35</v>
      </c>
      <c r="J55" s="150">
        <v>-369</v>
      </c>
      <c r="K55" s="150"/>
    </row>
    <row r="56" spans="1:11" x14ac:dyDescent="0.2">
      <c r="A56" s="28" t="s">
        <v>60</v>
      </c>
      <c r="B56" s="143">
        <v>70.099999999999909</v>
      </c>
      <c r="C56" s="157">
        <v>1.0087782414735902E-2</v>
      </c>
      <c r="I56" t="s">
        <v>15</v>
      </c>
      <c r="J56" s="150">
        <v>-322.98</v>
      </c>
      <c r="K56" s="150"/>
    </row>
    <row r="57" spans="1:11" x14ac:dyDescent="0.2">
      <c r="A57" s="28" t="s">
        <v>136</v>
      </c>
      <c r="B57" s="143">
        <v>61.100000000000023</v>
      </c>
      <c r="C57" s="157">
        <v>1.8582725060827254E-2</v>
      </c>
      <c r="I57" t="s">
        <v>135</v>
      </c>
      <c r="J57" s="150">
        <v>-264</v>
      </c>
      <c r="K57" s="150"/>
    </row>
    <row r="58" spans="1:11" x14ac:dyDescent="0.2">
      <c r="A58" s="28" t="s">
        <v>169</v>
      </c>
      <c r="B58" s="143">
        <v>58.75</v>
      </c>
      <c r="C58" s="157">
        <v>3.781539649845525E-3</v>
      </c>
      <c r="I58" t="s">
        <v>201</v>
      </c>
      <c r="J58" s="150">
        <v>-253.31999999999994</v>
      </c>
      <c r="K58" s="150"/>
    </row>
    <row r="59" spans="1:11" x14ac:dyDescent="0.2">
      <c r="A59" s="28" t="s">
        <v>150</v>
      </c>
      <c r="B59" s="143">
        <v>49.829999999999927</v>
      </c>
      <c r="C59" s="157">
        <v>2.4741807348560019E-2</v>
      </c>
      <c r="I59" t="s">
        <v>50</v>
      </c>
      <c r="J59" s="150">
        <v>-250.73000000000002</v>
      </c>
      <c r="K59" s="150"/>
    </row>
    <row r="60" spans="1:11" x14ac:dyDescent="0.2">
      <c r="A60" s="28" t="s">
        <v>123</v>
      </c>
      <c r="B60" s="143">
        <v>48</v>
      </c>
      <c r="C60" s="157">
        <v>1.5782724492815481E-3</v>
      </c>
      <c r="I60" t="s">
        <v>86</v>
      </c>
      <c r="J60" s="150">
        <v>-247.44999999999982</v>
      </c>
      <c r="K60" s="150"/>
    </row>
    <row r="61" spans="1:11" x14ac:dyDescent="0.2">
      <c r="A61" s="28" t="s">
        <v>41</v>
      </c>
      <c r="B61" s="143">
        <v>47.670000000000073</v>
      </c>
      <c r="C61" s="157">
        <v>6.1740707162284969E-3</v>
      </c>
      <c r="I61" t="s">
        <v>156</v>
      </c>
      <c r="J61" s="150">
        <v>-237.30999999999995</v>
      </c>
      <c r="K61" s="150"/>
    </row>
    <row r="62" spans="1:11" x14ac:dyDescent="0.2">
      <c r="A62" s="28" t="s">
        <v>53</v>
      </c>
      <c r="B62" s="143">
        <v>36.420000000000016</v>
      </c>
      <c r="C62" s="157">
        <v>2.1174418604651191E-2</v>
      </c>
      <c r="I62" t="s">
        <v>58</v>
      </c>
      <c r="J62" s="150">
        <v>-231.02000000000044</v>
      </c>
      <c r="K62" s="150"/>
    </row>
    <row r="63" spans="1:11" x14ac:dyDescent="0.2">
      <c r="A63" s="28" t="s">
        <v>74</v>
      </c>
      <c r="B63" s="143">
        <v>34.28</v>
      </c>
      <c r="C63" s="157">
        <v>3.4194513715710721E-3</v>
      </c>
      <c r="I63" t="s">
        <v>70</v>
      </c>
      <c r="J63" s="150">
        <v>-186.81000000000131</v>
      </c>
      <c r="K63" s="150"/>
    </row>
    <row r="64" spans="1:11" x14ac:dyDescent="0.2">
      <c r="A64" s="28" t="s">
        <v>25</v>
      </c>
      <c r="B64" s="143">
        <v>30.339999999999996</v>
      </c>
      <c r="C64" s="157">
        <v>7.5285359801488816E-2</v>
      </c>
      <c r="I64" t="s">
        <v>158</v>
      </c>
      <c r="J64" s="150">
        <v>-181.33999999999833</v>
      </c>
      <c r="K64" s="150"/>
    </row>
    <row r="65" spans="1:11" x14ac:dyDescent="0.2">
      <c r="A65" s="28" t="s">
        <v>116</v>
      </c>
      <c r="B65" s="143">
        <v>24.170000000000016</v>
      </c>
      <c r="C65" s="157">
        <v>7.1742356782428102E-3</v>
      </c>
      <c r="I65" t="s">
        <v>109</v>
      </c>
      <c r="J65" s="150">
        <v>-179.21999999999935</v>
      </c>
      <c r="K65" s="150"/>
    </row>
    <row r="66" spans="1:11" x14ac:dyDescent="0.2">
      <c r="A66" s="28" t="s">
        <v>149</v>
      </c>
      <c r="B66" s="143">
        <v>23.420000000000073</v>
      </c>
      <c r="C66" s="157">
        <v>4.8710482529118471E-3</v>
      </c>
      <c r="I66" t="s">
        <v>59</v>
      </c>
      <c r="J66" s="150">
        <v>-171.99000000000004</v>
      </c>
      <c r="K66" s="150"/>
    </row>
    <row r="67" spans="1:11" x14ac:dyDescent="0.2">
      <c r="A67" s="28" t="s">
        <v>78</v>
      </c>
      <c r="B67" s="143">
        <v>21</v>
      </c>
      <c r="C67" s="157">
        <v>4.8372830133048411E-4</v>
      </c>
      <c r="I67" t="s">
        <v>104</v>
      </c>
      <c r="J67" s="150">
        <v>-163.24</v>
      </c>
      <c r="K67" s="150"/>
    </row>
    <row r="68" spans="1:11" x14ac:dyDescent="0.2">
      <c r="A68" s="28" t="s">
        <v>163</v>
      </c>
      <c r="B68" s="143">
        <v>15.800000000000011</v>
      </c>
      <c r="C68" s="157">
        <v>1.1384105483103965E-3</v>
      </c>
      <c r="I68" t="s">
        <v>166</v>
      </c>
      <c r="J68" s="150">
        <v>-152.3900000000001</v>
      </c>
      <c r="K68" s="150"/>
    </row>
    <row r="69" spans="1:11" x14ac:dyDescent="0.2">
      <c r="A69" s="28" t="s">
        <v>14</v>
      </c>
      <c r="B69" s="143">
        <v>11.899999999999977</v>
      </c>
      <c r="C69" s="157">
        <v>3.9299867899603713E-3</v>
      </c>
      <c r="I69" t="s">
        <v>49</v>
      </c>
      <c r="J69" s="150">
        <v>-135</v>
      </c>
      <c r="K69" s="150"/>
    </row>
    <row r="70" spans="1:11" x14ac:dyDescent="0.2">
      <c r="A70" s="28" t="s">
        <v>40</v>
      </c>
      <c r="B70" s="143">
        <v>11.419999999999987</v>
      </c>
      <c r="C70" s="157">
        <v>1.2359307359307348E-2</v>
      </c>
      <c r="I70" t="s">
        <v>217</v>
      </c>
      <c r="J70" s="150">
        <v>-122.14999999999964</v>
      </c>
      <c r="K70" s="150"/>
    </row>
    <row r="71" spans="1:11" x14ac:dyDescent="0.2">
      <c r="A71" s="28" t="s">
        <v>139</v>
      </c>
      <c r="B71" s="143">
        <v>10.489999999999995</v>
      </c>
      <c r="C71" s="157">
        <v>4.1792828685258965E-2</v>
      </c>
      <c r="I71" t="s">
        <v>51</v>
      </c>
      <c r="J71" s="150">
        <v>-94.799999999999955</v>
      </c>
      <c r="K71" s="150"/>
    </row>
    <row r="72" spans="1:11" x14ac:dyDescent="0.2">
      <c r="A72" s="28" t="s">
        <v>80</v>
      </c>
      <c r="B72" s="143">
        <v>8</v>
      </c>
      <c r="C72" s="157">
        <v>3.6968576709796655E-3</v>
      </c>
      <c r="I72" t="s">
        <v>133</v>
      </c>
      <c r="J72" s="150">
        <v>-87</v>
      </c>
      <c r="K72" s="150"/>
    </row>
    <row r="73" spans="1:11" x14ac:dyDescent="0.2">
      <c r="A73" s="28" t="s">
        <v>240</v>
      </c>
      <c r="B73" s="143">
        <v>6.8899999999999864</v>
      </c>
      <c r="C73" s="157">
        <v>3.7691466083151215E-3</v>
      </c>
      <c r="I73" t="s">
        <v>160</v>
      </c>
      <c r="J73" s="150">
        <v>-83</v>
      </c>
      <c r="K73" s="150"/>
    </row>
    <row r="74" spans="1:11" x14ac:dyDescent="0.2">
      <c r="A74" s="28" t="s">
        <v>243</v>
      </c>
      <c r="B74" s="143">
        <v>5.0300000000000011</v>
      </c>
      <c r="C74" s="157">
        <v>1.3743169398907074E-2</v>
      </c>
      <c r="I74" t="s">
        <v>165</v>
      </c>
      <c r="J74" s="150">
        <v>-42</v>
      </c>
      <c r="K74" s="150"/>
    </row>
    <row r="75" spans="1:11" x14ac:dyDescent="0.2">
      <c r="A75" s="28" t="s">
        <v>103</v>
      </c>
      <c r="B75" s="143">
        <v>4.4499999999999957</v>
      </c>
      <c r="C75" s="157">
        <v>4.1981132075471661E-2</v>
      </c>
      <c r="I75" t="s">
        <v>199</v>
      </c>
      <c r="J75" s="150">
        <v>-41</v>
      </c>
      <c r="K75" s="150"/>
    </row>
    <row r="76" spans="1:11" x14ac:dyDescent="0.2">
      <c r="A76" s="28" t="s">
        <v>67</v>
      </c>
      <c r="B76" s="143">
        <v>4</v>
      </c>
      <c r="C76" s="157">
        <v>7.407407407407407E-2</v>
      </c>
      <c r="I76" t="s">
        <v>11</v>
      </c>
      <c r="J76" s="150">
        <v>-36.929999999999836</v>
      </c>
      <c r="K76" s="150"/>
    </row>
    <row r="77" spans="1:11" x14ac:dyDescent="0.2">
      <c r="A77" s="28" t="s">
        <v>90</v>
      </c>
      <c r="B77" s="143">
        <v>3.6300000000000239</v>
      </c>
      <c r="C77" s="157">
        <v>3.5483870967742137E-3</v>
      </c>
      <c r="I77" t="s">
        <v>71</v>
      </c>
      <c r="J77" s="150">
        <v>-35.620000000000005</v>
      </c>
      <c r="K77" s="150"/>
    </row>
    <row r="78" spans="1:11" x14ac:dyDescent="0.2">
      <c r="A78" s="28" t="s">
        <v>126</v>
      </c>
      <c r="B78" s="143">
        <v>3.259999999999998</v>
      </c>
      <c r="C78" s="157">
        <v>7.0869565217391295E-2</v>
      </c>
      <c r="I78" t="s">
        <v>21</v>
      </c>
      <c r="J78" s="150">
        <v>-33</v>
      </c>
      <c r="K78" s="150"/>
    </row>
    <row r="79" spans="1:11" x14ac:dyDescent="0.2">
      <c r="A79" s="28" t="s">
        <v>24</v>
      </c>
      <c r="B79" s="143">
        <v>3.1599999999999682</v>
      </c>
      <c r="C79" s="157">
        <v>1.2305295950155726E-3</v>
      </c>
      <c r="I79" t="s">
        <v>233</v>
      </c>
      <c r="J79" s="150">
        <v>-22.090000000000146</v>
      </c>
      <c r="K79" s="150"/>
    </row>
    <row r="80" spans="1:11" x14ac:dyDescent="0.2">
      <c r="A80" s="28" t="s">
        <v>95</v>
      </c>
      <c r="B80" s="143">
        <v>2.9000000000000057</v>
      </c>
      <c r="C80" s="157">
        <v>1.1934156378600846E-2</v>
      </c>
      <c r="I80" t="s">
        <v>151</v>
      </c>
      <c r="J80" s="150">
        <v>-21.940000000000055</v>
      </c>
      <c r="K80" s="150"/>
    </row>
    <row r="81" spans="1:11" x14ac:dyDescent="0.2">
      <c r="A81" s="28" t="s">
        <v>223</v>
      </c>
      <c r="B81" s="143">
        <v>2.8</v>
      </c>
      <c r="C81" s="157">
        <v>1.5712682379349046E-3</v>
      </c>
      <c r="I81" t="s">
        <v>83</v>
      </c>
      <c r="J81" s="150">
        <v>-15</v>
      </c>
      <c r="K81" s="150"/>
    </row>
    <row r="82" spans="1:11" x14ac:dyDescent="0.2">
      <c r="A82" s="28" t="s">
        <v>48</v>
      </c>
      <c r="B82" s="143">
        <v>1.1699999999999946</v>
      </c>
      <c r="C82" s="157">
        <v>1.1753478326385046E-5</v>
      </c>
      <c r="I82" t="s">
        <v>142</v>
      </c>
      <c r="J82" s="150">
        <v>-14.460000000000008</v>
      </c>
      <c r="K82" s="150"/>
    </row>
    <row r="83" spans="1:11" x14ac:dyDescent="0.2">
      <c r="A83" s="28" t="s">
        <v>226</v>
      </c>
      <c r="B83" s="143">
        <v>1.0600000000000005</v>
      </c>
      <c r="C83" s="157">
        <v>1.7607973421926923E-3</v>
      </c>
      <c r="I83" t="s">
        <v>168</v>
      </c>
      <c r="J83" s="150">
        <v>-13.870000000000005</v>
      </c>
      <c r="K83" s="150"/>
    </row>
    <row r="84" spans="1:11" x14ac:dyDescent="0.2">
      <c r="A84" s="28" t="s">
        <v>141</v>
      </c>
      <c r="B84" s="143">
        <v>1</v>
      </c>
      <c r="C84" s="157">
        <v>2.5641025641025661E-2</v>
      </c>
      <c r="I84" t="s">
        <v>34</v>
      </c>
      <c r="J84" s="150">
        <v>-13.14</v>
      </c>
      <c r="K84" s="150"/>
    </row>
    <row r="85" spans="1:11" x14ac:dyDescent="0.2">
      <c r="A85" s="28" t="s">
        <v>108</v>
      </c>
      <c r="B85" s="143">
        <v>0.84000000000000341</v>
      </c>
      <c r="C85" s="157">
        <v>1.2000000000000011E-2</v>
      </c>
      <c r="I85" t="s">
        <v>122</v>
      </c>
      <c r="J85" s="150">
        <v>-9.25</v>
      </c>
      <c r="K85" s="150"/>
    </row>
    <row r="86" spans="1:11" x14ac:dyDescent="0.2">
      <c r="A86" s="28" t="s">
        <v>148</v>
      </c>
      <c r="B86" s="143">
        <v>0.74000000000000021</v>
      </c>
      <c r="C86" s="157">
        <v>1.0422535211267597E-2</v>
      </c>
      <c r="I86" t="s">
        <v>143</v>
      </c>
      <c r="J86" s="150">
        <v>-6.7199999999999989</v>
      </c>
      <c r="K86" s="150"/>
    </row>
    <row r="87" spans="1:11" x14ac:dyDescent="0.2">
      <c r="A87" s="28" t="s">
        <v>36</v>
      </c>
      <c r="B87" s="143">
        <v>0.67999999999999972</v>
      </c>
      <c r="C87" s="157">
        <v>2.8333333333333321E-2</v>
      </c>
      <c r="I87" t="s">
        <v>6</v>
      </c>
      <c r="J87" s="150">
        <v>-6.2599999999999909</v>
      </c>
      <c r="K87" s="150"/>
    </row>
    <row r="88" spans="1:11" x14ac:dyDescent="0.2">
      <c r="A88" s="28" t="s">
        <v>222</v>
      </c>
      <c r="B88" s="143">
        <v>0.48</v>
      </c>
      <c r="C88" s="157">
        <v>6.2337662337662338E-3</v>
      </c>
      <c r="I88" t="s">
        <v>106</v>
      </c>
      <c r="J88" s="150">
        <v>-5.2100000000000009</v>
      </c>
      <c r="K88" s="150"/>
    </row>
    <row r="89" spans="1:11" x14ac:dyDescent="0.2">
      <c r="A89" s="28" t="s">
        <v>93</v>
      </c>
      <c r="B89" s="168">
        <v>0.20000000000000018</v>
      </c>
      <c r="C89" s="169">
        <v>1.2500000000000011E-2</v>
      </c>
      <c r="I89" t="s">
        <v>176</v>
      </c>
      <c r="J89" s="150">
        <v>-4.629999999999999</v>
      </c>
      <c r="K89" s="150"/>
    </row>
    <row r="90" spans="1:11" x14ac:dyDescent="0.2">
      <c r="A90" s="28" t="s">
        <v>44</v>
      </c>
      <c r="B90" s="168">
        <v>0.20000000000000018</v>
      </c>
      <c r="C90" s="169">
        <v>8.6281276962899348E-5</v>
      </c>
      <c r="I90" t="s">
        <v>45</v>
      </c>
      <c r="J90" s="150">
        <v>-2.4400000000000048</v>
      </c>
      <c r="K90" s="150"/>
    </row>
    <row r="91" spans="1:11" x14ac:dyDescent="0.2">
      <c r="A91" s="28" t="s">
        <v>228</v>
      </c>
      <c r="B91" s="168">
        <v>0.18999999999999997</v>
      </c>
      <c r="C91" s="169">
        <v>2.3749999999999997E-2</v>
      </c>
      <c r="I91" t="s">
        <v>105</v>
      </c>
      <c r="J91" s="150">
        <v>-2.2999999999999972</v>
      </c>
      <c r="K91" s="150"/>
    </row>
    <row r="92" spans="1:11" x14ac:dyDescent="0.2">
      <c r="A92" s="28" t="s">
        <v>101</v>
      </c>
      <c r="B92" s="168">
        <v>0.11000000000000004</v>
      </c>
      <c r="C92" s="169">
        <v>3.4375000000000013E-3</v>
      </c>
      <c r="I92" t="s">
        <v>204</v>
      </c>
      <c r="J92" s="150">
        <v>-1.9900000000000002</v>
      </c>
      <c r="K92" s="150"/>
    </row>
    <row r="93" spans="1:11" x14ac:dyDescent="0.2">
      <c r="A93" s="28" t="s">
        <v>232</v>
      </c>
      <c r="B93" s="168">
        <v>0.10000000000002274</v>
      </c>
      <c r="C93" s="169">
        <v>3.6496350365011754E-5</v>
      </c>
      <c r="I93" t="s">
        <v>66</v>
      </c>
      <c r="J93" s="150">
        <v>-1.25</v>
      </c>
      <c r="K93" s="150"/>
    </row>
    <row r="94" spans="1:11" x14ac:dyDescent="0.2">
      <c r="A94" s="28" t="s">
        <v>246</v>
      </c>
      <c r="B94" s="168">
        <v>3.0000000000000249E-2</v>
      </c>
      <c r="C94" s="169">
        <v>2.1428571428571686E-3</v>
      </c>
      <c r="I94" t="s">
        <v>210</v>
      </c>
      <c r="J94" s="150">
        <v>-1</v>
      </c>
      <c r="K94" s="150"/>
    </row>
    <row r="95" spans="1:11" x14ac:dyDescent="0.2">
      <c r="A95" s="28" t="s">
        <v>212</v>
      </c>
      <c r="B95" s="168">
        <v>0</v>
      </c>
      <c r="C95" s="169">
        <v>0</v>
      </c>
      <c r="I95" t="s">
        <v>2</v>
      </c>
      <c r="J95" s="150">
        <v>-0.94000000000000128</v>
      </c>
      <c r="K95" s="150"/>
    </row>
    <row r="96" spans="1:11" x14ac:dyDescent="0.2">
      <c r="A96" s="28" t="s">
        <v>180</v>
      </c>
      <c r="B96" s="168">
        <v>0</v>
      </c>
      <c r="C96" s="169">
        <v>0</v>
      </c>
      <c r="I96" t="s">
        <v>219</v>
      </c>
      <c r="J96" s="150">
        <v>-0.67999999999999994</v>
      </c>
      <c r="K96" s="150"/>
    </row>
    <row r="97" spans="1:11" x14ac:dyDescent="0.2">
      <c r="A97" s="28" t="s">
        <v>3</v>
      </c>
      <c r="B97" s="168">
        <v>0</v>
      </c>
      <c r="C97" s="169">
        <v>0</v>
      </c>
      <c r="I97" t="s">
        <v>124</v>
      </c>
      <c r="J97" s="150">
        <v>-0.5</v>
      </c>
      <c r="K97" s="150"/>
    </row>
    <row r="98" spans="1:11" x14ac:dyDescent="0.2">
      <c r="A98" s="28" t="s">
        <v>171</v>
      </c>
      <c r="B98" s="168">
        <v>0</v>
      </c>
      <c r="C98" s="169">
        <v>0</v>
      </c>
      <c r="I98" t="s">
        <v>140</v>
      </c>
      <c r="J98" s="150">
        <v>-0.5</v>
      </c>
      <c r="K98" s="150"/>
    </row>
    <row r="99" spans="1:11" x14ac:dyDescent="0.2">
      <c r="A99" s="28" t="s">
        <v>213</v>
      </c>
      <c r="B99" s="168">
        <v>0</v>
      </c>
      <c r="C99" s="169">
        <v>0</v>
      </c>
      <c r="I99" t="s">
        <v>208</v>
      </c>
      <c r="J99" s="150">
        <v>-0.41000000000000014</v>
      </c>
      <c r="K99" s="150"/>
    </row>
    <row r="100" spans="1:11" x14ac:dyDescent="0.2">
      <c r="A100" s="28" t="s">
        <v>218</v>
      </c>
      <c r="B100" s="168">
        <v>0</v>
      </c>
      <c r="C100" s="169">
        <v>0</v>
      </c>
      <c r="I100" t="s">
        <v>207</v>
      </c>
      <c r="J100" s="150">
        <v>-8.9999999999999858E-2</v>
      </c>
      <c r="K100" s="150"/>
    </row>
    <row r="101" spans="1:11" x14ac:dyDescent="0.2">
      <c r="A101" s="28" t="s">
        <v>237</v>
      </c>
      <c r="B101" s="168">
        <v>0</v>
      </c>
      <c r="C101" s="169">
        <v>0</v>
      </c>
      <c r="I101" t="s">
        <v>121</v>
      </c>
      <c r="J101" s="150">
        <v>-5.9999999999998721E-2</v>
      </c>
      <c r="K101" s="150"/>
    </row>
    <row r="102" spans="1:11" x14ac:dyDescent="0.2">
      <c r="A102" s="28" t="s">
        <v>12</v>
      </c>
      <c r="B102" s="168">
        <v>0</v>
      </c>
      <c r="C102" s="169">
        <v>0</v>
      </c>
      <c r="I102" t="s">
        <v>198</v>
      </c>
      <c r="J102" s="150">
        <v>-2.9999999999972715E-2</v>
      </c>
      <c r="K102" s="150"/>
    </row>
    <row r="103" spans="1:11" ht="17" thickBot="1" x14ac:dyDescent="0.25">
      <c r="A103" s="28" t="s">
        <v>167</v>
      </c>
      <c r="B103" s="168">
        <v>0</v>
      </c>
      <c r="C103" s="169">
        <v>0</v>
      </c>
      <c r="J103" s="165" t="s">
        <v>437</v>
      </c>
      <c r="K103" s="149">
        <f>SUBTOTAL(1,SEL_NFA_GAIN[])</f>
        <v>2512.1994253822377</v>
      </c>
    </row>
    <row r="104" spans="1:11" ht="17" thickTop="1" x14ac:dyDescent="0.2">
      <c r="A104" s="28" t="s">
        <v>239</v>
      </c>
      <c r="B104" s="168">
        <v>0</v>
      </c>
      <c r="C104" s="169">
        <v>0</v>
      </c>
      <c r="J104" s="166" t="s">
        <v>438</v>
      </c>
      <c r="K104" s="163">
        <f>SUBTOTAL(1,SEL_GAIN_EXCEPT_CHINA)</f>
        <v>2396.4749999999981</v>
      </c>
    </row>
    <row r="105" spans="1:11" x14ac:dyDescent="0.2">
      <c r="A105" s="28" t="s">
        <v>154</v>
      </c>
      <c r="B105" s="168">
        <v>0</v>
      </c>
      <c r="C105" s="169">
        <v>0</v>
      </c>
    </row>
    <row r="106" spans="1:11" x14ac:dyDescent="0.2">
      <c r="A106" s="28" t="s">
        <v>215</v>
      </c>
      <c r="B106" s="168">
        <v>0</v>
      </c>
      <c r="C106" s="169">
        <v>0</v>
      </c>
    </row>
    <row r="107" spans="1:11" x14ac:dyDescent="0.2">
      <c r="A107" s="28" t="s">
        <v>10</v>
      </c>
      <c r="B107" s="168">
        <v>0</v>
      </c>
      <c r="C107" s="169">
        <v>0</v>
      </c>
    </row>
    <row r="108" spans="1:11" x14ac:dyDescent="0.2">
      <c r="A108" s="28" t="s">
        <v>65</v>
      </c>
      <c r="B108" s="168">
        <v>0</v>
      </c>
      <c r="C108" s="169">
        <v>0</v>
      </c>
    </row>
    <row r="109" spans="1:11" x14ac:dyDescent="0.2">
      <c r="A109" s="28" t="s">
        <v>102</v>
      </c>
      <c r="B109" s="168">
        <v>0</v>
      </c>
      <c r="C109" s="169">
        <v>0</v>
      </c>
    </row>
    <row r="110" spans="1:11" x14ac:dyDescent="0.2">
      <c r="A110" s="28" t="s">
        <v>203</v>
      </c>
      <c r="B110" s="168">
        <v>0</v>
      </c>
      <c r="C110" s="169">
        <v>0</v>
      </c>
    </row>
    <row r="111" spans="1:11" x14ac:dyDescent="0.2">
      <c r="A111" s="28" t="s">
        <v>244</v>
      </c>
      <c r="B111" s="168">
        <v>0</v>
      </c>
      <c r="C111" s="169">
        <v>0</v>
      </c>
    </row>
    <row r="112" spans="1:11" x14ac:dyDescent="0.2">
      <c r="A112" s="28" t="s">
        <v>146</v>
      </c>
      <c r="B112" s="168">
        <v>0</v>
      </c>
      <c r="C112" s="169">
        <v>0</v>
      </c>
    </row>
    <row r="113" spans="1:3" x14ac:dyDescent="0.2">
      <c r="A113" s="28" t="s">
        <v>100</v>
      </c>
      <c r="B113" s="168">
        <v>0</v>
      </c>
      <c r="C113" s="169">
        <v>0</v>
      </c>
    </row>
    <row r="114" spans="1:3" x14ac:dyDescent="0.2">
      <c r="A114" s="28" t="s">
        <v>214</v>
      </c>
      <c r="B114" s="168">
        <v>0</v>
      </c>
      <c r="C114" s="169">
        <v>0</v>
      </c>
    </row>
    <row r="115" spans="1:3" x14ac:dyDescent="0.2">
      <c r="A115" s="28" t="s">
        <v>220</v>
      </c>
      <c r="B115" s="168">
        <v>0</v>
      </c>
      <c r="C115" s="169">
        <v>0</v>
      </c>
    </row>
    <row r="116" spans="1:3" x14ac:dyDescent="0.2">
      <c r="A116" s="28" t="s">
        <v>211</v>
      </c>
      <c r="B116" s="168">
        <v>0</v>
      </c>
      <c r="C116" s="169">
        <v>0</v>
      </c>
    </row>
    <row r="117" spans="1:3" x14ac:dyDescent="0.2">
      <c r="A117" s="28" t="s">
        <v>231</v>
      </c>
      <c r="B117" s="168">
        <v>0</v>
      </c>
      <c r="C117" s="169">
        <v>0</v>
      </c>
    </row>
    <row r="118" spans="1:3" x14ac:dyDescent="0.2">
      <c r="A118" s="28" t="s">
        <v>206</v>
      </c>
      <c r="B118" s="168">
        <v>0</v>
      </c>
      <c r="C118" s="169">
        <v>0</v>
      </c>
    </row>
    <row r="119" spans="1:3" x14ac:dyDescent="0.2">
      <c r="A119" s="28" t="s">
        <v>202</v>
      </c>
      <c r="B119" s="168">
        <v>0</v>
      </c>
      <c r="C119" s="169">
        <v>0</v>
      </c>
    </row>
    <row r="120" spans="1:3" x14ac:dyDescent="0.2">
      <c r="A120" s="28" t="s">
        <v>229</v>
      </c>
      <c r="B120" s="168">
        <v>0</v>
      </c>
      <c r="C120" s="169">
        <v>0</v>
      </c>
    </row>
    <row r="121" spans="1:3" x14ac:dyDescent="0.2">
      <c r="A121" s="28" t="s">
        <v>99</v>
      </c>
      <c r="B121" s="168">
        <v>0</v>
      </c>
      <c r="C121" s="169">
        <v>0</v>
      </c>
    </row>
    <row r="122" spans="1:3" x14ac:dyDescent="0.2">
      <c r="A122" s="28" t="s">
        <v>205</v>
      </c>
      <c r="B122" s="168">
        <v>0</v>
      </c>
      <c r="C122" s="169">
        <v>0</v>
      </c>
    </row>
    <row r="123" spans="1:3" x14ac:dyDescent="0.2">
      <c r="A123" s="28" t="s">
        <v>0</v>
      </c>
      <c r="B123" s="168">
        <v>0</v>
      </c>
      <c r="C123" s="169">
        <v>0</v>
      </c>
    </row>
    <row r="124" spans="1:3" x14ac:dyDescent="0.2">
      <c r="A124" s="28" t="s">
        <v>241</v>
      </c>
      <c r="B124" s="168">
        <v>0</v>
      </c>
      <c r="C124" s="169">
        <v>0</v>
      </c>
    </row>
    <row r="125" spans="1:3" x14ac:dyDescent="0.2">
      <c r="A125" s="28" t="s">
        <v>91</v>
      </c>
      <c r="B125" s="168">
        <v>0</v>
      </c>
      <c r="C125" s="169">
        <v>0</v>
      </c>
    </row>
    <row r="126" spans="1:3" x14ac:dyDescent="0.2">
      <c r="A126" s="28" t="s">
        <v>84</v>
      </c>
      <c r="B126" s="168">
        <v>0</v>
      </c>
      <c r="C126" s="169">
        <v>0</v>
      </c>
    </row>
    <row r="127" spans="1:3" x14ac:dyDescent="0.2">
      <c r="A127" s="28" t="s">
        <v>183</v>
      </c>
      <c r="B127" s="168">
        <v>0</v>
      </c>
      <c r="C127" s="169">
        <v>0</v>
      </c>
    </row>
    <row r="128" spans="1:3" x14ac:dyDescent="0.2">
      <c r="A128" s="28" t="s">
        <v>225</v>
      </c>
      <c r="B128" s="168">
        <v>0</v>
      </c>
      <c r="C128" s="169">
        <v>0</v>
      </c>
    </row>
    <row r="129" spans="1:4" x14ac:dyDescent="0.2">
      <c r="A129" s="28" t="s">
        <v>209</v>
      </c>
      <c r="B129" s="168">
        <v>0</v>
      </c>
      <c r="C129" s="169">
        <v>0</v>
      </c>
    </row>
    <row r="130" spans="1:4" x14ac:dyDescent="0.2">
      <c r="A130" s="28" t="s">
        <v>197</v>
      </c>
      <c r="B130" s="168">
        <v>0</v>
      </c>
      <c r="C130" s="169">
        <v>0</v>
      </c>
    </row>
    <row r="131" spans="1:4" x14ac:dyDescent="0.2">
      <c r="A131" s="31" t="s">
        <v>230</v>
      </c>
      <c r="B131" s="168">
        <v>0</v>
      </c>
      <c r="C131" s="169">
        <v>0</v>
      </c>
    </row>
    <row r="132" spans="1:4" x14ac:dyDescent="0.2">
      <c r="A132" s="28" t="s">
        <v>64</v>
      </c>
      <c r="B132" s="168">
        <v>0</v>
      </c>
      <c r="C132" s="169">
        <v>0</v>
      </c>
    </row>
    <row r="133" spans="1:4" x14ac:dyDescent="0.2">
      <c r="A133" s="28" t="s">
        <v>159</v>
      </c>
      <c r="B133" s="168">
        <v>0</v>
      </c>
      <c r="C133" s="169">
        <v>0</v>
      </c>
    </row>
    <row r="134" spans="1:4" x14ac:dyDescent="0.2">
      <c r="A134" s="28" t="s">
        <v>216</v>
      </c>
      <c r="B134" s="168">
        <v>0</v>
      </c>
      <c r="C134" s="169">
        <v>0</v>
      </c>
    </row>
    <row r="135" spans="1:4" x14ac:dyDescent="0.2">
      <c r="A135" s="28" t="s">
        <v>234</v>
      </c>
      <c r="B135" s="168">
        <v>0</v>
      </c>
      <c r="C135" s="169">
        <v>0</v>
      </c>
    </row>
    <row r="136" spans="1:4" x14ac:dyDescent="0.2">
      <c r="A136" s="28" t="s">
        <v>242</v>
      </c>
      <c r="B136" s="168">
        <v>0</v>
      </c>
      <c r="C136" s="169">
        <v>0</v>
      </c>
    </row>
    <row r="137" spans="1:4" x14ac:dyDescent="0.2">
      <c r="A137" s="28" t="s">
        <v>224</v>
      </c>
      <c r="B137" s="168">
        <v>0</v>
      </c>
      <c r="C137" s="169">
        <v>0</v>
      </c>
    </row>
    <row r="138" spans="1:4" x14ac:dyDescent="0.2">
      <c r="A138" s="28" t="s">
        <v>245</v>
      </c>
      <c r="B138" s="168">
        <v>0</v>
      </c>
      <c r="C138" s="169">
        <v>0</v>
      </c>
    </row>
    <row r="139" spans="1:4" x14ac:dyDescent="0.2">
      <c r="A139" s="28" t="s">
        <v>235</v>
      </c>
      <c r="B139" s="168">
        <v>0</v>
      </c>
      <c r="C139" s="169">
        <v>0</v>
      </c>
    </row>
    <row r="140" spans="1:4" x14ac:dyDescent="0.2">
      <c r="A140" s="28" t="s">
        <v>238</v>
      </c>
      <c r="B140" s="168">
        <v>0</v>
      </c>
      <c r="C140" s="169">
        <v>0</v>
      </c>
    </row>
    <row r="141" spans="1:4" x14ac:dyDescent="0.2">
      <c r="A141" s="167"/>
      <c r="B141" s="167"/>
      <c r="C141" s="167" t="s">
        <v>442</v>
      </c>
      <c r="D141" s="167" t="s">
        <v>443</v>
      </c>
    </row>
    <row r="142" spans="1:4" x14ac:dyDescent="0.2">
      <c r="A142" s="167"/>
      <c r="B142" s="165" t="s">
        <v>439</v>
      </c>
      <c r="C142" s="170">
        <f>SUBTOTAL(1,GAIN_nations[Rate of gain])</f>
        <v>2.0510329959650159E-2</v>
      </c>
      <c r="D142" s="171">
        <v>2.5384923816368477E-2</v>
      </c>
    </row>
    <row r="143" spans="1:4" x14ac:dyDescent="0.2">
      <c r="A143" s="167"/>
      <c r="B143" s="166" t="s">
        <v>440</v>
      </c>
      <c r="C143" s="170">
        <f>SUBTOTAL(1,C5:C140)</f>
        <v>2.0170896317801296E-2</v>
      </c>
      <c r="D143" s="171">
        <v>1.4605204513363595E-2</v>
      </c>
    </row>
  </sheetData>
  <mergeCells count="8">
    <mergeCell ref="AF6:AF7"/>
    <mergeCell ref="AG6:AG7"/>
    <mergeCell ref="AH6:AH7"/>
    <mergeCell ref="Q1:V1"/>
    <mergeCell ref="Y1:AD1"/>
    <mergeCell ref="AF1:AH1"/>
    <mergeCell ref="I1:N1"/>
    <mergeCell ref="A1:G1"/>
  </mergeCell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95B9-A790-594D-877F-883DE797D57F}">
  <dimension ref="A1:D9"/>
  <sheetViews>
    <sheetView zoomScale="150" zoomScaleNormal="150" workbookViewId="0">
      <selection sqref="A1:C5"/>
    </sheetView>
  </sheetViews>
  <sheetFormatPr baseColWidth="10" defaultRowHeight="16" x14ac:dyDescent="0.2"/>
  <cols>
    <col min="1" max="1" width="30.1640625" customWidth="1"/>
  </cols>
  <sheetData>
    <row r="1" spans="1:4" s="107" customFormat="1" ht="43" customHeight="1" x14ac:dyDescent="0.2">
      <c r="A1" s="108"/>
      <c r="B1" s="108" t="s">
        <v>359</v>
      </c>
      <c r="C1" s="108" t="s">
        <v>362</v>
      </c>
      <c r="D1" s="108"/>
    </row>
    <row r="2" spans="1:4" s="111" customFormat="1" ht="23" customHeight="1" x14ac:dyDescent="0.2">
      <c r="A2" s="110" t="s">
        <v>360</v>
      </c>
      <c r="B2" s="110" t="s">
        <v>361</v>
      </c>
      <c r="C2" s="110" t="s">
        <v>361</v>
      </c>
      <c r="D2" s="110"/>
    </row>
    <row r="3" spans="1:4" x14ac:dyDescent="0.2">
      <c r="A3" s="76" t="s">
        <v>357</v>
      </c>
      <c r="B3" s="112">
        <f>data!H250</f>
        <v>13038546.750002002</v>
      </c>
      <c r="C3" s="76"/>
      <c r="D3" s="76"/>
    </row>
    <row r="4" spans="1:4" ht="32" x14ac:dyDescent="0.2">
      <c r="A4" s="109" t="s">
        <v>358</v>
      </c>
      <c r="B4" s="76"/>
      <c r="C4" s="76"/>
      <c r="D4" s="76"/>
    </row>
    <row r="5" spans="1:4" ht="32" x14ac:dyDescent="0.2">
      <c r="A5" s="109" t="s">
        <v>358</v>
      </c>
      <c r="B5" s="76"/>
      <c r="C5" s="76"/>
      <c r="D5" s="76"/>
    </row>
    <row r="6" spans="1:4" x14ac:dyDescent="0.2">
      <c r="A6" s="76"/>
      <c r="B6" s="76"/>
      <c r="C6" s="76"/>
      <c r="D6" s="76"/>
    </row>
    <row r="7" spans="1:4" x14ac:dyDescent="0.2">
      <c r="A7" s="76"/>
      <c r="B7" s="76"/>
      <c r="C7" s="76"/>
      <c r="D7" s="76"/>
    </row>
    <row r="8" spans="1:4" x14ac:dyDescent="0.2">
      <c r="A8" s="76"/>
      <c r="B8" s="76"/>
      <c r="C8" s="76"/>
      <c r="D8" s="76"/>
    </row>
    <row r="9" spans="1:4" x14ac:dyDescent="0.2">
      <c r="A9" s="76"/>
      <c r="B9" s="76"/>
      <c r="C9" s="76"/>
      <c r="D9" s="76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02A3-194B-524D-9FD8-EFD2478E7DF1}">
  <sheetPr codeName="Sheet4">
    <pageSetUpPr fitToPage="1"/>
  </sheetPr>
  <dimension ref="A1:BD266"/>
  <sheetViews>
    <sheetView zoomScale="150" zoomScaleNormal="13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:B17"/>
    </sheetView>
  </sheetViews>
  <sheetFormatPr baseColWidth="10" defaultColWidth="10.6640625" defaultRowHeight="16" x14ac:dyDescent="0.2"/>
  <cols>
    <col min="1" max="1" width="12.33203125" style="28" customWidth="1"/>
    <col min="2" max="2" width="27.6640625" style="28" customWidth="1"/>
    <col min="3" max="7" width="19.33203125" style="46" customWidth="1"/>
    <col min="8" max="8" width="23" style="46" customWidth="1"/>
    <col min="9" max="13" width="14.1640625" style="54" customWidth="1"/>
    <col min="14" max="15" width="11.33203125" style="51" customWidth="1"/>
    <col min="16" max="16" width="11.83203125" style="54" customWidth="1"/>
    <col min="17" max="17" width="10.1640625" style="54" customWidth="1"/>
    <col min="18" max="19" width="12.33203125" style="54" customWidth="1"/>
    <col min="20" max="20" width="12.33203125" style="62" customWidth="1"/>
    <col min="21" max="21" width="13.83203125" style="43" customWidth="1"/>
    <col min="22" max="22" width="13.83203125" style="30" customWidth="1"/>
    <col min="23" max="23" width="13.83203125" style="38" customWidth="1"/>
    <col min="24" max="25" width="15.83203125" style="38" customWidth="1"/>
    <col min="26" max="27" width="15.83203125" style="38" hidden="1" customWidth="1"/>
    <col min="28" max="28" width="15.83203125" style="38" customWidth="1"/>
    <col min="29" max="32" width="14.33203125" style="45" customWidth="1"/>
    <col min="33" max="16384" width="10.6640625" style="28"/>
  </cols>
  <sheetData>
    <row r="1" spans="1:47" ht="101" customHeight="1" x14ac:dyDescent="0.2">
      <c r="A1" s="27" t="s">
        <v>194</v>
      </c>
      <c r="B1" s="27" t="s">
        <v>256</v>
      </c>
      <c r="C1" s="59" t="s">
        <v>186</v>
      </c>
      <c r="D1" s="59" t="s">
        <v>188</v>
      </c>
      <c r="E1" s="59" t="s">
        <v>187</v>
      </c>
      <c r="F1" s="59" t="s">
        <v>189</v>
      </c>
      <c r="G1" s="59" t="s">
        <v>190</v>
      </c>
      <c r="H1" s="59" t="s">
        <v>196</v>
      </c>
      <c r="I1" s="52" t="s">
        <v>278</v>
      </c>
      <c r="J1" s="52" t="s">
        <v>277</v>
      </c>
      <c r="K1" s="52" t="s">
        <v>276</v>
      </c>
      <c r="L1" s="52" t="s">
        <v>275</v>
      </c>
      <c r="M1" s="52" t="s">
        <v>274</v>
      </c>
      <c r="N1" s="72" t="s">
        <v>325</v>
      </c>
      <c r="O1" s="72" t="s">
        <v>326</v>
      </c>
      <c r="P1" s="52" t="s">
        <v>322</v>
      </c>
      <c r="Q1" s="52" t="s">
        <v>279</v>
      </c>
      <c r="R1" s="52" t="s">
        <v>286</v>
      </c>
      <c r="S1" s="52" t="s">
        <v>287</v>
      </c>
      <c r="T1" s="42" t="s">
        <v>292</v>
      </c>
      <c r="U1" s="42" t="s">
        <v>273</v>
      </c>
      <c r="V1" s="41" t="s">
        <v>248</v>
      </c>
      <c r="W1" s="40" t="s">
        <v>249</v>
      </c>
      <c r="X1" s="56" t="s">
        <v>282</v>
      </c>
      <c r="Y1" s="56" t="s">
        <v>283</v>
      </c>
      <c r="Z1" s="56" t="s">
        <v>284</v>
      </c>
      <c r="AA1" s="56" t="s">
        <v>285</v>
      </c>
      <c r="AB1" s="56" t="s">
        <v>321</v>
      </c>
      <c r="AC1" s="44" t="s">
        <v>288</v>
      </c>
      <c r="AD1" s="44" t="s">
        <v>289</v>
      </c>
      <c r="AE1" s="44" t="s">
        <v>290</v>
      </c>
      <c r="AF1" s="44" t="s">
        <v>291</v>
      </c>
    </row>
    <row r="2" spans="1:47" ht="24" customHeight="1" x14ac:dyDescent="0.2">
      <c r="A2" s="64"/>
      <c r="B2" s="64" t="s">
        <v>195</v>
      </c>
      <c r="C2" s="65" t="s">
        <v>191</v>
      </c>
      <c r="D2" s="65" t="s">
        <v>191</v>
      </c>
      <c r="E2" s="65" t="s">
        <v>191</v>
      </c>
      <c r="F2" s="65" t="s">
        <v>191</v>
      </c>
      <c r="G2" s="65" t="s">
        <v>191</v>
      </c>
      <c r="H2" s="65" t="s">
        <v>191</v>
      </c>
      <c r="I2" s="66" t="s">
        <v>193</v>
      </c>
      <c r="J2" s="66" t="s">
        <v>193</v>
      </c>
      <c r="K2" s="53" t="s">
        <v>193</v>
      </c>
      <c r="L2" s="53" t="s">
        <v>193</v>
      </c>
      <c r="M2" s="53" t="s">
        <v>193</v>
      </c>
      <c r="N2" s="73" t="s">
        <v>191</v>
      </c>
      <c r="O2" s="73" t="s">
        <v>191</v>
      </c>
      <c r="P2" s="53" t="s">
        <v>193</v>
      </c>
      <c r="Q2" s="53" t="s">
        <v>280</v>
      </c>
      <c r="R2" s="53" t="s">
        <v>191</v>
      </c>
      <c r="S2" s="53"/>
      <c r="T2" s="47" t="s">
        <v>281</v>
      </c>
      <c r="U2" s="47" t="s">
        <v>193</v>
      </c>
      <c r="V2" s="29" t="s">
        <v>192</v>
      </c>
      <c r="W2" s="29" t="s">
        <v>191</v>
      </c>
      <c r="X2" s="57" t="s">
        <v>191</v>
      </c>
      <c r="Y2" s="57" t="s">
        <v>191</v>
      </c>
      <c r="Z2" s="57" t="s">
        <v>191</v>
      </c>
      <c r="AA2" s="57" t="s">
        <v>191</v>
      </c>
      <c r="AB2" s="57" t="s">
        <v>191</v>
      </c>
      <c r="AC2" s="57" t="s">
        <v>191</v>
      </c>
      <c r="AD2" s="57" t="s">
        <v>191</v>
      </c>
      <c r="AE2" s="57" t="s">
        <v>191</v>
      </c>
      <c r="AF2" s="57" t="s">
        <v>191</v>
      </c>
    </row>
    <row r="3" spans="1:47" ht="24" customHeight="1" x14ac:dyDescent="0.2">
      <c r="A3" s="67" t="s">
        <v>293</v>
      </c>
      <c r="B3" s="67" t="s">
        <v>294</v>
      </c>
      <c r="C3" s="68" t="s">
        <v>295</v>
      </c>
      <c r="D3" s="68" t="s">
        <v>296</v>
      </c>
      <c r="E3" s="68" t="s">
        <v>297</v>
      </c>
      <c r="F3" s="68" t="s">
        <v>298</v>
      </c>
      <c r="G3" s="68" t="s">
        <v>299</v>
      </c>
      <c r="H3" s="68" t="s">
        <v>300</v>
      </c>
      <c r="I3" s="69" t="s">
        <v>301</v>
      </c>
      <c r="J3" s="69" t="s">
        <v>302</v>
      </c>
      <c r="K3" s="69" t="s">
        <v>303</v>
      </c>
      <c r="L3" s="69" t="s">
        <v>304</v>
      </c>
      <c r="M3" s="69" t="s">
        <v>305</v>
      </c>
      <c r="N3" s="74" t="s">
        <v>324</v>
      </c>
      <c r="O3" s="74" t="s">
        <v>327</v>
      </c>
      <c r="P3" s="60" t="s">
        <v>323</v>
      </c>
      <c r="Q3" s="60" t="s">
        <v>306</v>
      </c>
      <c r="R3" s="60" t="s">
        <v>307</v>
      </c>
      <c r="S3" s="60" t="s">
        <v>308</v>
      </c>
      <c r="T3" s="61" t="s">
        <v>292</v>
      </c>
      <c r="U3" s="61" t="s">
        <v>309</v>
      </c>
      <c r="V3" s="55" t="s">
        <v>310</v>
      </c>
      <c r="W3" s="55" t="s">
        <v>311</v>
      </c>
      <c r="X3" s="57" t="s">
        <v>328</v>
      </c>
      <c r="Y3" s="57" t="s">
        <v>329</v>
      </c>
      <c r="Z3" s="57" t="s">
        <v>312</v>
      </c>
      <c r="AA3" s="57" t="s">
        <v>313</v>
      </c>
      <c r="AB3" s="57" t="s">
        <v>330</v>
      </c>
      <c r="AC3" s="28" t="s">
        <v>317</v>
      </c>
      <c r="AD3" s="28" t="s">
        <v>318</v>
      </c>
      <c r="AE3" s="28" t="s">
        <v>319</v>
      </c>
      <c r="AF3" s="28" t="s">
        <v>320</v>
      </c>
    </row>
    <row r="4" spans="1:47" ht="24" customHeight="1" x14ac:dyDescent="0.2">
      <c r="A4" s="28">
        <v>704</v>
      </c>
      <c r="B4" s="28" t="s">
        <v>182</v>
      </c>
      <c r="C4" s="38">
        <v>9375.9599999999991</v>
      </c>
      <c r="D4" s="38">
        <v>11784.1</v>
      </c>
      <c r="E4" s="38">
        <v>13388.06</v>
      </c>
      <c r="F4" s="38">
        <v>14061.86</v>
      </c>
      <c r="G4" s="38">
        <v>14643.09</v>
      </c>
      <c r="H4" s="38">
        <v>31007</v>
      </c>
      <c r="I4" s="54">
        <f t="shared" ref="I4:M54" si="0">C4/$H4</f>
        <v>0.30238204276453701</v>
      </c>
      <c r="J4" s="54">
        <f t="shared" si="0"/>
        <v>0.38004644112619734</v>
      </c>
      <c r="K4" s="54">
        <f t="shared" si="0"/>
        <v>0.43177540555358468</v>
      </c>
      <c r="L4" s="54">
        <f t="shared" si="0"/>
        <v>0.45350598252007612</v>
      </c>
      <c r="M4" s="54">
        <f t="shared" si="0"/>
        <v>0.47225110458928632</v>
      </c>
      <c r="N4" s="51">
        <f>FORESTS2[[#This Row],[Area_2020]]-FORESTS2[[#This Row],[Area_1990]]</f>
        <v>5267.130000000001</v>
      </c>
      <c r="O4" s="51">
        <f>ABS(FORESTS2[[#This Row],[Area_Delta]])</f>
        <v>5267.130000000001</v>
      </c>
      <c r="P4" s="54">
        <f>FORESTS2[[#This Row],[Area_2020_%]]-FORESTS2[[#This Row],[Area_1990_%]]</f>
        <v>0.16986906182474931</v>
      </c>
      <c r="Q4" s="48" t="b">
        <f t="shared" ref="Q4:Q67" si="1">IF(G4&gt;C4, TRUE, FALSE)</f>
        <v>1</v>
      </c>
      <c r="R4" s="51">
        <f t="shared" ref="R4:R67" si="2">IF(Q4=TRUE,G4-C4,0)</f>
        <v>5267.130000000001</v>
      </c>
      <c r="S4" s="51">
        <f t="shared" ref="S4:S67" si="3">IF(Q4=TRUE,0,C4-G4)</f>
        <v>0</v>
      </c>
      <c r="T4" s="62">
        <f t="shared" ref="T4:T67" si="4">IF(J4&lt;I4,1,0)+IF(K4&lt;J4,1,0)+IF(L4&lt;K4,1,0)+IF(M4&lt;L4,1,0)</f>
        <v>0</v>
      </c>
      <c r="U4" s="43">
        <v>47.23</v>
      </c>
      <c r="V4" s="30">
        <v>1.59</v>
      </c>
      <c r="W4" s="38" t="s">
        <v>247</v>
      </c>
      <c r="X4" s="38">
        <f t="shared" ref="X4:AA67" si="5">D4-C4</f>
        <v>2408.1400000000012</v>
      </c>
      <c r="Y4" s="38">
        <f t="shared" si="5"/>
        <v>1603.9599999999991</v>
      </c>
      <c r="Z4" s="38">
        <f t="shared" si="5"/>
        <v>673.80000000000109</v>
      </c>
      <c r="AA4" s="38">
        <f t="shared" si="5"/>
        <v>581.22999999999956</v>
      </c>
      <c r="AB4" s="38">
        <f>FORESTS2[[#This Row],[Column7]]+FORESTS2[[#This Row],[Column8]]</f>
        <v>1255.0300000000007</v>
      </c>
      <c r="AC4" s="63">
        <f t="shared" ref="AC4:AD67" si="6">(D4-C4)/10</f>
        <v>240.81400000000014</v>
      </c>
      <c r="AD4" s="63">
        <f t="shared" si="6"/>
        <v>160.3959999999999</v>
      </c>
      <c r="AE4" s="63">
        <f t="shared" ref="AE4:AF67" si="7">(F4-E4)/5</f>
        <v>134.76000000000022</v>
      </c>
      <c r="AF4" s="63">
        <f t="shared" si="7"/>
        <v>116.24599999999991</v>
      </c>
      <c r="AG4" s="28">
        <v>1</v>
      </c>
      <c r="AI4" s="28">
        <v>1</v>
      </c>
    </row>
    <row r="5" spans="1:47" hidden="1" x14ac:dyDescent="0.2">
      <c r="A5" s="28">
        <v>474</v>
      </c>
      <c r="B5" s="28" t="s">
        <v>103</v>
      </c>
      <c r="C5" s="30">
        <v>47.84</v>
      </c>
      <c r="D5" s="30">
        <v>48.74</v>
      </c>
      <c r="E5" s="30">
        <v>50.29</v>
      </c>
      <c r="F5" s="30">
        <v>51.29</v>
      </c>
      <c r="G5" s="30">
        <v>52.29</v>
      </c>
      <c r="H5" s="30">
        <v>106</v>
      </c>
      <c r="I5" s="54">
        <f t="shared" si="0"/>
        <v>0.45132075471698119</v>
      </c>
      <c r="J5" s="54">
        <f t="shared" si="0"/>
        <v>0.45981132075471698</v>
      </c>
      <c r="K5" s="54">
        <f t="shared" si="0"/>
        <v>0.47443396226415091</v>
      </c>
      <c r="L5" s="54">
        <f t="shared" si="0"/>
        <v>0.48386792452830185</v>
      </c>
      <c r="M5" s="54">
        <f t="shared" si="0"/>
        <v>0.49330188679245285</v>
      </c>
      <c r="N5" s="51">
        <f>FORESTS2[[#This Row],[Area_2020]]-FORESTS2[[#This Row],[Area_1990]]</f>
        <v>4.4499999999999957</v>
      </c>
      <c r="O5" s="51">
        <f>ABS(FORESTS2[[#This Row],[Area_Delta]])</f>
        <v>4.4499999999999957</v>
      </c>
      <c r="P5" s="54">
        <f>FORESTS2[[#This Row],[Area_2020_%]]-FORESTS2[[#This Row],[Area_1990_%]]</f>
        <v>4.1981132075471661E-2</v>
      </c>
      <c r="Q5" s="54" t="b">
        <f t="shared" si="1"/>
        <v>1</v>
      </c>
      <c r="R5" s="51">
        <f t="shared" si="2"/>
        <v>4.4499999999999957</v>
      </c>
      <c r="S5" s="51">
        <f t="shared" si="3"/>
        <v>0</v>
      </c>
      <c r="T5" s="48">
        <f t="shared" si="4"/>
        <v>0</v>
      </c>
      <c r="U5" s="48">
        <v>49.33</v>
      </c>
      <c r="V5" s="30">
        <v>0.16</v>
      </c>
      <c r="W5" s="30" t="s">
        <v>247</v>
      </c>
      <c r="X5" s="38">
        <f t="shared" si="5"/>
        <v>0.89999999999999858</v>
      </c>
      <c r="Y5" s="38">
        <f t="shared" si="5"/>
        <v>1.5499999999999972</v>
      </c>
      <c r="Z5" s="38">
        <f t="shared" si="5"/>
        <v>1</v>
      </c>
      <c r="AA5" s="38">
        <f t="shared" si="5"/>
        <v>1</v>
      </c>
      <c r="AB5" s="38">
        <f>FORESTS2[[#This Row],[Column7]]+FORESTS2[[#This Row],[Column8]]</f>
        <v>2</v>
      </c>
      <c r="AC5" s="63">
        <f t="shared" si="6"/>
        <v>8.9999999999999858E-2</v>
      </c>
      <c r="AD5" s="63">
        <f t="shared" si="6"/>
        <v>0.15499999999999972</v>
      </c>
      <c r="AE5" s="63">
        <f t="shared" si="7"/>
        <v>0.2</v>
      </c>
      <c r="AF5" s="63">
        <f t="shared" si="7"/>
        <v>0.2</v>
      </c>
    </row>
    <row r="6" spans="1:47" x14ac:dyDescent="0.2">
      <c r="A6" s="28">
        <v>192</v>
      </c>
      <c r="B6" s="28" t="s">
        <v>39</v>
      </c>
      <c r="C6" s="38">
        <v>2058</v>
      </c>
      <c r="D6" s="38">
        <v>2435</v>
      </c>
      <c r="E6" s="38">
        <v>2932</v>
      </c>
      <c r="F6" s="38">
        <v>3184</v>
      </c>
      <c r="G6" s="38">
        <v>3242</v>
      </c>
      <c r="H6" s="38">
        <v>10402</v>
      </c>
      <c r="I6" s="54">
        <f t="shared" si="0"/>
        <v>0.19784656796769853</v>
      </c>
      <c r="J6" s="54">
        <f t="shared" si="0"/>
        <v>0.23408959815420111</v>
      </c>
      <c r="K6" s="54">
        <f t="shared" si="0"/>
        <v>0.28186887137089023</v>
      </c>
      <c r="L6" s="54">
        <f t="shared" si="0"/>
        <v>0.30609498173428185</v>
      </c>
      <c r="M6" s="54">
        <f t="shared" si="0"/>
        <v>0.31167083253220534</v>
      </c>
      <c r="N6" s="51">
        <f>FORESTS2[[#This Row],[Area_2020]]-FORESTS2[[#This Row],[Area_1990]]</f>
        <v>1184</v>
      </c>
      <c r="O6" s="51">
        <f>ABS(FORESTS2[[#This Row],[Area_Delta]])</f>
        <v>1184</v>
      </c>
      <c r="P6" s="54">
        <f>FORESTS2[[#This Row],[Area_2020_%]]-FORESTS2[[#This Row],[Area_1990_%]]</f>
        <v>0.11382426456450681</v>
      </c>
      <c r="Q6" s="48" t="b">
        <f t="shared" si="1"/>
        <v>1</v>
      </c>
      <c r="R6" s="51">
        <f t="shared" si="2"/>
        <v>1184</v>
      </c>
      <c r="S6" s="51">
        <f t="shared" si="3"/>
        <v>0</v>
      </c>
      <c r="T6" s="48">
        <f t="shared" si="4"/>
        <v>0</v>
      </c>
      <c r="U6" s="43">
        <v>31.17</v>
      </c>
      <c r="V6" s="30">
        <v>0</v>
      </c>
      <c r="W6" s="38">
        <v>8.39</v>
      </c>
      <c r="X6" s="38">
        <f t="shared" si="5"/>
        <v>377</v>
      </c>
      <c r="Y6" s="38">
        <f t="shared" si="5"/>
        <v>497</v>
      </c>
      <c r="Z6" s="38">
        <f t="shared" si="5"/>
        <v>252</v>
      </c>
      <c r="AA6" s="38">
        <f t="shared" si="5"/>
        <v>58</v>
      </c>
      <c r="AB6" s="38">
        <f>FORESTS2[[#This Row],[Column7]]+FORESTS2[[#This Row],[Column8]]</f>
        <v>310</v>
      </c>
      <c r="AC6" s="63">
        <f t="shared" si="6"/>
        <v>37.700000000000003</v>
      </c>
      <c r="AD6" s="63">
        <f t="shared" si="6"/>
        <v>49.7</v>
      </c>
      <c r="AE6" s="63">
        <f t="shared" si="7"/>
        <v>50.4</v>
      </c>
      <c r="AF6" s="63">
        <f t="shared" si="7"/>
        <v>11.6</v>
      </c>
      <c r="AI6" s="28">
        <v>2</v>
      </c>
      <c r="AK6" s="28">
        <f>SUMSQ(AI4:AI9)</f>
        <v>30</v>
      </c>
      <c r="AS6" s="28">
        <v>1</v>
      </c>
      <c r="AT6" s="28">
        <v>2</v>
      </c>
      <c r="AU6" s="28">
        <v>3</v>
      </c>
    </row>
    <row r="7" spans="1:47" hidden="1" x14ac:dyDescent="0.2">
      <c r="A7" s="28">
        <v>40</v>
      </c>
      <c r="B7" s="28" t="s">
        <v>8</v>
      </c>
      <c r="C7" s="38">
        <v>3775.67</v>
      </c>
      <c r="D7" s="38">
        <v>3838.14</v>
      </c>
      <c r="E7" s="38">
        <v>3863.2</v>
      </c>
      <c r="F7" s="38">
        <v>3881.19</v>
      </c>
      <c r="G7" s="38">
        <v>3899.15</v>
      </c>
      <c r="H7" s="38">
        <v>8252</v>
      </c>
      <c r="I7" s="54">
        <f t="shared" si="0"/>
        <v>0.45754604944255939</v>
      </c>
      <c r="J7" s="54">
        <f t="shared" si="0"/>
        <v>0.46511633543383418</v>
      </c>
      <c r="K7" s="54">
        <f t="shared" si="0"/>
        <v>0.46815317498788173</v>
      </c>
      <c r="L7" s="54">
        <f t="shared" si="0"/>
        <v>0.4703332525448376</v>
      </c>
      <c r="M7" s="54">
        <f t="shared" si="0"/>
        <v>0.47250969461948622</v>
      </c>
      <c r="N7" s="51">
        <f>FORESTS2[[#This Row],[Area_2020]]-FORESTS2[[#This Row],[Area_1990]]</f>
        <v>123.48000000000002</v>
      </c>
      <c r="O7" s="51">
        <f>ABS(FORESTS2[[#This Row],[Area_Delta]])</f>
        <v>123.48000000000002</v>
      </c>
      <c r="P7" s="54">
        <f>FORESTS2[[#This Row],[Area_2020_%]]-FORESTS2[[#This Row],[Area_1990_%]]</f>
        <v>1.4963645176926832E-2</v>
      </c>
      <c r="Q7" s="54" t="b">
        <f t="shared" si="1"/>
        <v>1</v>
      </c>
      <c r="R7" s="51">
        <f t="shared" si="2"/>
        <v>123.48000000000002</v>
      </c>
      <c r="S7" s="51">
        <f t="shared" si="3"/>
        <v>0</v>
      </c>
      <c r="T7" s="48">
        <f t="shared" si="4"/>
        <v>0</v>
      </c>
      <c r="U7" s="43">
        <v>47.25</v>
      </c>
      <c r="V7" s="30">
        <v>5.81</v>
      </c>
      <c r="W7" s="38">
        <v>0.09</v>
      </c>
      <c r="X7" s="38">
        <f t="shared" si="5"/>
        <v>62.4699999999998</v>
      </c>
      <c r="Y7" s="38">
        <f t="shared" si="5"/>
        <v>25.059999999999945</v>
      </c>
      <c r="Z7" s="38">
        <f t="shared" si="5"/>
        <v>17.990000000000236</v>
      </c>
      <c r="AA7" s="38">
        <f t="shared" si="5"/>
        <v>17.960000000000036</v>
      </c>
      <c r="AB7" s="38">
        <f>FORESTS2[[#This Row],[Column7]]+FORESTS2[[#This Row],[Column8]]</f>
        <v>35.950000000000273</v>
      </c>
      <c r="AC7" s="63">
        <f t="shared" si="6"/>
        <v>6.2469999999999803</v>
      </c>
      <c r="AD7" s="63">
        <f t="shared" si="6"/>
        <v>2.5059999999999945</v>
      </c>
      <c r="AE7" s="63">
        <f t="shared" si="7"/>
        <v>3.5980000000000474</v>
      </c>
      <c r="AF7" s="63">
        <f t="shared" si="7"/>
        <v>3.5920000000000072</v>
      </c>
    </row>
    <row r="8" spans="1:47" x14ac:dyDescent="0.2">
      <c r="A8" s="28">
        <v>214</v>
      </c>
      <c r="B8" s="28" t="s">
        <v>46</v>
      </c>
      <c r="C8" s="30">
        <v>1594.89</v>
      </c>
      <c r="D8" s="30">
        <v>1972.47</v>
      </c>
      <c r="E8" s="30">
        <v>2073.12</v>
      </c>
      <c r="F8" s="30">
        <v>2103.65</v>
      </c>
      <c r="G8" s="30">
        <v>2144.1</v>
      </c>
      <c r="H8" s="30">
        <v>4831</v>
      </c>
      <c r="I8" s="54">
        <f t="shared" si="0"/>
        <v>0.33013661767749952</v>
      </c>
      <c r="J8" s="54">
        <f t="shared" si="0"/>
        <v>0.40829434899606709</v>
      </c>
      <c r="K8" s="54">
        <f t="shared" si="0"/>
        <v>0.42912854481473811</v>
      </c>
      <c r="L8" s="54">
        <f t="shared" si="0"/>
        <v>0.43544814738149451</v>
      </c>
      <c r="M8" s="54">
        <f t="shared" si="0"/>
        <v>0.44382115504036429</v>
      </c>
      <c r="N8" s="51">
        <f>FORESTS2[[#This Row],[Area_2020]]-FORESTS2[[#This Row],[Area_1990]]</f>
        <v>549.20999999999981</v>
      </c>
      <c r="O8" s="51">
        <f>ABS(FORESTS2[[#This Row],[Area_Delta]])</f>
        <v>549.20999999999981</v>
      </c>
      <c r="P8" s="54">
        <f>FORESTS2[[#This Row],[Area_2020_%]]-FORESTS2[[#This Row],[Area_1990_%]]</f>
        <v>0.11368453736286477</v>
      </c>
      <c r="Q8" s="48" t="b">
        <f t="shared" si="1"/>
        <v>1</v>
      </c>
      <c r="R8" s="51">
        <f t="shared" si="2"/>
        <v>549.20999999999981</v>
      </c>
      <c r="S8" s="51">
        <f t="shared" si="3"/>
        <v>0</v>
      </c>
      <c r="T8" s="48">
        <f t="shared" si="4"/>
        <v>0</v>
      </c>
      <c r="U8" s="48">
        <v>44.38</v>
      </c>
      <c r="V8" s="30" t="s">
        <v>247</v>
      </c>
      <c r="W8" s="30">
        <v>11.6</v>
      </c>
      <c r="X8" s="38">
        <f t="shared" si="5"/>
        <v>377.57999999999993</v>
      </c>
      <c r="Y8" s="38">
        <f t="shared" si="5"/>
        <v>100.64999999999986</v>
      </c>
      <c r="Z8" s="38">
        <f t="shared" si="5"/>
        <v>30.5300000000002</v>
      </c>
      <c r="AA8" s="38">
        <f t="shared" si="5"/>
        <v>40.449999999999818</v>
      </c>
      <c r="AB8" s="38">
        <f>FORESTS2[[#This Row],[Column7]]+FORESTS2[[#This Row],[Column8]]</f>
        <v>70.980000000000018</v>
      </c>
      <c r="AC8" s="63">
        <f t="shared" si="6"/>
        <v>37.757999999999996</v>
      </c>
      <c r="AD8" s="63">
        <f t="shared" si="6"/>
        <v>10.064999999999987</v>
      </c>
      <c r="AE8" s="63">
        <f t="shared" si="7"/>
        <v>6.1060000000000398</v>
      </c>
      <c r="AF8" s="63">
        <f t="shared" si="7"/>
        <v>8.0899999999999643</v>
      </c>
      <c r="AI8" s="28">
        <v>3</v>
      </c>
      <c r="AS8" s="28">
        <v>4</v>
      </c>
      <c r="AT8" s="28">
        <v>5</v>
      </c>
      <c r="AU8" s="28">
        <v>6</v>
      </c>
    </row>
    <row r="9" spans="1:47" x14ac:dyDescent="0.2">
      <c r="A9" s="28">
        <v>724</v>
      </c>
      <c r="B9" s="28" t="s">
        <v>155</v>
      </c>
      <c r="C9" s="38">
        <v>13904.66</v>
      </c>
      <c r="D9" s="38">
        <v>17093.93</v>
      </c>
      <c r="E9" s="38">
        <v>18545.34</v>
      </c>
      <c r="F9" s="38">
        <v>18551.18</v>
      </c>
      <c r="G9" s="38">
        <v>18572.169999999998</v>
      </c>
      <c r="H9" s="38">
        <v>49966.1</v>
      </c>
      <c r="I9" s="54">
        <f t="shared" si="0"/>
        <v>0.27828187511132546</v>
      </c>
      <c r="J9" s="54">
        <f t="shared" si="0"/>
        <v>0.34211055095354653</v>
      </c>
      <c r="K9" s="54">
        <f t="shared" si="0"/>
        <v>0.37115844542599885</v>
      </c>
      <c r="L9" s="54">
        <f t="shared" si="0"/>
        <v>0.37127532467012636</v>
      </c>
      <c r="M9" s="54">
        <f t="shared" si="0"/>
        <v>0.37169540948763258</v>
      </c>
      <c r="N9" s="51">
        <f>FORESTS2[[#This Row],[Area_2020]]-FORESTS2[[#This Row],[Area_1990]]</f>
        <v>4667.5099999999984</v>
      </c>
      <c r="O9" s="51">
        <f>ABS(FORESTS2[[#This Row],[Area_Delta]])</f>
        <v>4667.5099999999984</v>
      </c>
      <c r="P9" s="54">
        <f>FORESTS2[[#This Row],[Area_2020_%]]-FORESTS2[[#This Row],[Area_1990_%]]</f>
        <v>9.3413534376307117E-2</v>
      </c>
      <c r="Q9" s="48" t="b">
        <f t="shared" si="1"/>
        <v>1</v>
      </c>
      <c r="R9" s="51">
        <f t="shared" si="2"/>
        <v>4667.5099999999984</v>
      </c>
      <c r="S9" s="51">
        <f t="shared" si="3"/>
        <v>0</v>
      </c>
      <c r="T9" s="62">
        <f t="shared" si="4"/>
        <v>0</v>
      </c>
      <c r="U9" s="43">
        <v>37.17</v>
      </c>
      <c r="V9" s="30">
        <v>3.74</v>
      </c>
      <c r="W9" s="38">
        <v>32.880000000000003</v>
      </c>
      <c r="X9" s="38">
        <f t="shared" si="5"/>
        <v>3189.2700000000004</v>
      </c>
      <c r="Y9" s="38">
        <f t="shared" si="5"/>
        <v>1451.4099999999999</v>
      </c>
      <c r="Z9" s="38">
        <f t="shared" si="5"/>
        <v>5.8400000000001455</v>
      </c>
      <c r="AA9" s="38">
        <f t="shared" si="5"/>
        <v>20.989999999997963</v>
      </c>
      <c r="AB9" s="38">
        <f>FORESTS2[[#This Row],[Column7]]+FORESTS2[[#This Row],[Column8]]</f>
        <v>26.829999999998108</v>
      </c>
      <c r="AC9" s="63">
        <f t="shared" si="6"/>
        <v>318.92700000000002</v>
      </c>
      <c r="AD9" s="63">
        <f t="shared" si="6"/>
        <v>145.14099999999999</v>
      </c>
      <c r="AE9" s="63">
        <f t="shared" si="7"/>
        <v>1.168000000000029</v>
      </c>
      <c r="AF9" s="63">
        <f t="shared" si="7"/>
        <v>4.1979999999995927</v>
      </c>
      <c r="AI9" s="28">
        <v>4</v>
      </c>
      <c r="AS9" s="28">
        <v>7</v>
      </c>
      <c r="AT9" s="28">
        <v>8</v>
      </c>
      <c r="AU9" s="28">
        <v>9</v>
      </c>
    </row>
    <row r="10" spans="1:47" x14ac:dyDescent="0.2">
      <c r="A10" s="28">
        <v>858</v>
      </c>
      <c r="B10" s="28" t="s">
        <v>178</v>
      </c>
      <c r="C10" s="38">
        <v>798</v>
      </c>
      <c r="D10" s="38">
        <v>1369</v>
      </c>
      <c r="E10" s="38">
        <v>1731.3</v>
      </c>
      <c r="F10" s="38">
        <v>1920</v>
      </c>
      <c r="G10" s="38">
        <v>2031</v>
      </c>
      <c r="H10" s="38">
        <v>17502</v>
      </c>
      <c r="I10" s="54">
        <f t="shared" si="0"/>
        <v>4.5594789166952351E-2</v>
      </c>
      <c r="J10" s="54">
        <f t="shared" si="0"/>
        <v>7.8219632042052331E-2</v>
      </c>
      <c r="K10" s="54">
        <f t="shared" si="0"/>
        <v>9.8920123414466918E-2</v>
      </c>
      <c r="L10" s="54">
        <f t="shared" si="0"/>
        <v>0.10970174837161467</v>
      </c>
      <c r="M10" s="54">
        <f t="shared" si="0"/>
        <v>0.11604388069934865</v>
      </c>
      <c r="N10" s="51">
        <f>FORESTS2[[#This Row],[Area_2020]]-FORESTS2[[#This Row],[Area_1990]]</f>
        <v>1233</v>
      </c>
      <c r="O10" s="51">
        <f>ABS(FORESTS2[[#This Row],[Area_Delta]])</f>
        <v>1233</v>
      </c>
      <c r="P10" s="54">
        <f>FORESTS2[[#This Row],[Area_2020_%]]-FORESTS2[[#This Row],[Area_1990_%]]</f>
        <v>7.0449091532396299E-2</v>
      </c>
      <c r="Q10" s="48" t="b">
        <f t="shared" si="1"/>
        <v>1</v>
      </c>
      <c r="R10" s="51">
        <f t="shared" si="2"/>
        <v>1233</v>
      </c>
      <c r="S10" s="51">
        <f t="shared" si="3"/>
        <v>0</v>
      </c>
      <c r="T10" s="48">
        <f t="shared" si="4"/>
        <v>0</v>
      </c>
      <c r="U10" s="43">
        <v>11.6</v>
      </c>
      <c r="V10" s="30" t="s">
        <v>247</v>
      </c>
      <c r="W10" s="38" t="s">
        <v>247</v>
      </c>
      <c r="X10" s="38">
        <f t="shared" si="5"/>
        <v>571</v>
      </c>
      <c r="Y10" s="38">
        <f t="shared" si="5"/>
        <v>362.29999999999995</v>
      </c>
      <c r="Z10" s="38">
        <f t="shared" si="5"/>
        <v>188.70000000000005</v>
      </c>
      <c r="AA10" s="38">
        <f t="shared" si="5"/>
        <v>111</v>
      </c>
      <c r="AB10" s="38">
        <f>FORESTS2[[#This Row],[Column7]]+FORESTS2[[#This Row],[Column8]]</f>
        <v>299.70000000000005</v>
      </c>
      <c r="AC10" s="63">
        <f t="shared" si="6"/>
        <v>57.1</v>
      </c>
      <c r="AD10" s="63">
        <f t="shared" si="6"/>
        <v>36.229999999999997</v>
      </c>
      <c r="AE10" s="63">
        <f t="shared" si="7"/>
        <v>37.740000000000009</v>
      </c>
      <c r="AF10" s="63">
        <f t="shared" si="7"/>
        <v>22.2</v>
      </c>
    </row>
    <row r="11" spans="1:47" hidden="1" x14ac:dyDescent="0.2">
      <c r="A11" s="28">
        <v>540</v>
      </c>
      <c r="B11" s="28" t="s">
        <v>240</v>
      </c>
      <c r="C11" s="30">
        <v>831.13</v>
      </c>
      <c r="D11" s="30">
        <v>837.85</v>
      </c>
      <c r="E11" s="30">
        <v>839.02</v>
      </c>
      <c r="F11" s="30">
        <v>838.52</v>
      </c>
      <c r="G11" s="30">
        <v>838.02</v>
      </c>
      <c r="H11" s="30">
        <v>1828</v>
      </c>
      <c r="I11" s="54">
        <f t="shared" si="0"/>
        <v>0.45466630196936542</v>
      </c>
      <c r="J11" s="54">
        <f t="shared" si="0"/>
        <v>0.45834245076586433</v>
      </c>
      <c r="K11" s="54">
        <f t="shared" si="0"/>
        <v>0.45898249452954049</v>
      </c>
      <c r="L11" s="54">
        <f t="shared" si="0"/>
        <v>0.45870897155361051</v>
      </c>
      <c r="M11" s="54">
        <f t="shared" si="0"/>
        <v>0.45843544857768054</v>
      </c>
      <c r="N11" s="51">
        <f>FORESTS2[[#This Row],[Area_2020]]-FORESTS2[[#This Row],[Area_1990]]</f>
        <v>6.8899999999999864</v>
      </c>
      <c r="O11" s="51">
        <f>ABS(FORESTS2[[#This Row],[Area_Delta]])</f>
        <v>6.8899999999999864</v>
      </c>
      <c r="P11" s="54">
        <f>FORESTS2[[#This Row],[Area_2020_%]]-FORESTS2[[#This Row],[Area_1990_%]]</f>
        <v>3.7691466083151215E-3</v>
      </c>
      <c r="Q11" s="54" t="b">
        <f t="shared" si="1"/>
        <v>1</v>
      </c>
      <c r="R11" s="51">
        <f t="shared" si="2"/>
        <v>6.8899999999999864</v>
      </c>
      <c r="S11" s="51">
        <f t="shared" si="3"/>
        <v>0</v>
      </c>
      <c r="T11" s="48">
        <f t="shared" si="4"/>
        <v>2</v>
      </c>
      <c r="U11" s="48">
        <v>45.84</v>
      </c>
      <c r="V11" s="30" t="s">
        <v>247</v>
      </c>
      <c r="W11" s="30" t="s">
        <v>247</v>
      </c>
      <c r="X11" s="38">
        <f t="shared" si="5"/>
        <v>6.7200000000000273</v>
      </c>
      <c r="Y11" s="38">
        <f t="shared" si="5"/>
        <v>1.1699999999999591</v>
      </c>
      <c r="Z11" s="38">
        <f t="shared" si="5"/>
        <v>-0.5</v>
      </c>
      <c r="AA11" s="38">
        <f t="shared" si="5"/>
        <v>-0.5</v>
      </c>
      <c r="AB11" s="38">
        <f>FORESTS2[[#This Row],[Column7]]+FORESTS2[[#This Row],[Column8]]</f>
        <v>-1</v>
      </c>
      <c r="AC11" s="63">
        <f t="shared" si="6"/>
        <v>0.67200000000000271</v>
      </c>
      <c r="AD11" s="63">
        <f t="shared" si="6"/>
        <v>0.11699999999999591</v>
      </c>
      <c r="AE11" s="63">
        <f t="shared" si="7"/>
        <v>-0.1</v>
      </c>
      <c r="AF11" s="63">
        <f t="shared" si="7"/>
        <v>-0.1</v>
      </c>
    </row>
    <row r="12" spans="1:47" hidden="1" x14ac:dyDescent="0.2">
      <c r="A12" s="28">
        <v>116</v>
      </c>
      <c r="B12" s="28" t="s">
        <v>26</v>
      </c>
      <c r="C12" s="46">
        <v>11004.79</v>
      </c>
      <c r="D12" s="46">
        <v>10781</v>
      </c>
      <c r="E12" s="46">
        <v>10589.23</v>
      </c>
      <c r="F12" s="46">
        <v>8846.82</v>
      </c>
      <c r="G12" s="46">
        <v>8068.37</v>
      </c>
      <c r="H12" s="46">
        <v>17652</v>
      </c>
      <c r="I12" s="54">
        <f t="shared" si="0"/>
        <v>0.62343020620892819</v>
      </c>
      <c r="J12" s="54">
        <f t="shared" si="0"/>
        <v>0.61075232268298207</v>
      </c>
      <c r="K12" s="54">
        <f t="shared" si="0"/>
        <v>0.59988839791525039</v>
      </c>
      <c r="L12" s="54">
        <f t="shared" si="0"/>
        <v>0.50117946974847039</v>
      </c>
      <c r="M12" s="54">
        <f t="shared" si="0"/>
        <v>0.45707965103104464</v>
      </c>
      <c r="N12" s="51">
        <f>FORESTS2[[#This Row],[Area_2020]]-FORESTS2[[#This Row],[Area_1990]]</f>
        <v>-2936.420000000001</v>
      </c>
      <c r="O12" s="51">
        <f>ABS(FORESTS2[[#This Row],[Area_Delta]])</f>
        <v>2936.420000000001</v>
      </c>
      <c r="P12" s="54">
        <f>FORESTS2[[#This Row],[Area_2020_%]]-FORESTS2[[#This Row],[Area_1990_%]]</f>
        <v>-0.16635055517788355</v>
      </c>
      <c r="Q12" s="54" t="b">
        <f t="shared" si="1"/>
        <v>0</v>
      </c>
      <c r="R12" s="51">
        <f t="shared" si="2"/>
        <v>0</v>
      </c>
      <c r="S12" s="51">
        <f t="shared" si="3"/>
        <v>2936.420000000001</v>
      </c>
      <c r="T12" s="48">
        <f t="shared" si="4"/>
        <v>4</v>
      </c>
      <c r="U12" s="43">
        <v>45.71</v>
      </c>
      <c r="V12" s="30" t="s">
        <v>247</v>
      </c>
      <c r="W12" s="38">
        <v>446</v>
      </c>
      <c r="X12" s="38">
        <f t="shared" si="5"/>
        <v>-223.79000000000087</v>
      </c>
      <c r="Y12" s="38">
        <f t="shared" si="5"/>
        <v>-191.77000000000044</v>
      </c>
      <c r="Z12" s="38">
        <f t="shared" si="5"/>
        <v>-1742.4099999999999</v>
      </c>
      <c r="AA12" s="38">
        <f t="shared" si="5"/>
        <v>-778.44999999999982</v>
      </c>
      <c r="AB12" s="38">
        <f>FORESTS2[[#This Row],[Column7]]+FORESTS2[[#This Row],[Column8]]</f>
        <v>-2520.8599999999997</v>
      </c>
      <c r="AC12" s="63">
        <f t="shared" si="6"/>
        <v>-22.379000000000087</v>
      </c>
      <c r="AD12" s="63">
        <f t="shared" si="6"/>
        <v>-19.177000000000042</v>
      </c>
      <c r="AE12" s="63">
        <f t="shared" si="7"/>
        <v>-348.48199999999997</v>
      </c>
      <c r="AF12" s="63">
        <f t="shared" si="7"/>
        <v>-155.68999999999997</v>
      </c>
    </row>
    <row r="13" spans="1:47" hidden="1" x14ac:dyDescent="0.2">
      <c r="A13" s="28">
        <v>716</v>
      </c>
      <c r="B13" s="28" t="s">
        <v>185</v>
      </c>
      <c r="C13" s="46">
        <v>18826.68</v>
      </c>
      <c r="D13" s="46">
        <v>18365.98</v>
      </c>
      <c r="E13" s="46">
        <v>17905.28</v>
      </c>
      <c r="F13" s="46">
        <v>17674.93</v>
      </c>
      <c r="G13" s="46">
        <v>17444.580000000002</v>
      </c>
      <c r="H13" s="46">
        <v>38685</v>
      </c>
      <c r="I13" s="54">
        <f t="shared" si="0"/>
        <v>0.48666614967041488</v>
      </c>
      <c r="J13" s="54">
        <f t="shared" si="0"/>
        <v>0.47475714101072763</v>
      </c>
      <c r="K13" s="54">
        <f t="shared" si="0"/>
        <v>0.46284813235104044</v>
      </c>
      <c r="L13" s="54">
        <f t="shared" si="0"/>
        <v>0.45689362802119687</v>
      </c>
      <c r="M13" s="54">
        <f t="shared" si="0"/>
        <v>0.45093912369135331</v>
      </c>
      <c r="N13" s="51">
        <f>FORESTS2[[#This Row],[Area_2020]]-FORESTS2[[#This Row],[Area_1990]]</f>
        <v>-1382.0999999999985</v>
      </c>
      <c r="O13" s="51">
        <f>ABS(FORESTS2[[#This Row],[Area_Delta]])</f>
        <v>1382.0999999999985</v>
      </c>
      <c r="P13" s="54">
        <f>FORESTS2[[#This Row],[Area_2020_%]]-FORESTS2[[#This Row],[Area_1990_%]]</f>
        <v>-3.5727025979061577E-2</v>
      </c>
      <c r="Q13" s="54" t="b">
        <f t="shared" si="1"/>
        <v>0</v>
      </c>
      <c r="R13" s="51">
        <f t="shared" si="2"/>
        <v>0</v>
      </c>
      <c r="S13" s="51">
        <f t="shared" si="3"/>
        <v>1382.0999999999985</v>
      </c>
      <c r="T13" s="62">
        <f t="shared" si="4"/>
        <v>4</v>
      </c>
      <c r="U13" s="43">
        <v>45.09</v>
      </c>
      <c r="V13" s="30">
        <v>46.07</v>
      </c>
      <c r="W13" s="38">
        <v>2830</v>
      </c>
      <c r="X13" s="38">
        <f t="shared" si="5"/>
        <v>-460.70000000000073</v>
      </c>
      <c r="Y13" s="38">
        <f t="shared" si="5"/>
        <v>-460.70000000000073</v>
      </c>
      <c r="Z13" s="38">
        <f t="shared" si="5"/>
        <v>-230.34999999999854</v>
      </c>
      <c r="AA13" s="38">
        <f t="shared" si="5"/>
        <v>-230.34999999999854</v>
      </c>
      <c r="AB13" s="38">
        <f>FORESTS2[[#This Row],[Column7]]+FORESTS2[[#This Row],[Column8]]</f>
        <v>-460.69999999999709</v>
      </c>
      <c r="AC13" s="63">
        <f t="shared" si="6"/>
        <v>-46.070000000000071</v>
      </c>
      <c r="AD13" s="63">
        <f t="shared" si="6"/>
        <v>-46.070000000000071</v>
      </c>
      <c r="AE13" s="63">
        <f t="shared" si="7"/>
        <v>-46.069999999999709</v>
      </c>
      <c r="AF13" s="63">
        <f t="shared" si="7"/>
        <v>-46.069999999999709</v>
      </c>
    </row>
    <row r="14" spans="1:47" hidden="1" x14ac:dyDescent="0.2">
      <c r="A14" s="28">
        <v>780</v>
      </c>
      <c r="B14" s="28" t="s">
        <v>168</v>
      </c>
      <c r="C14" s="46">
        <v>242.06</v>
      </c>
      <c r="D14" s="46">
        <v>236.65</v>
      </c>
      <c r="E14" s="46">
        <v>232.41</v>
      </c>
      <c r="F14" s="46">
        <v>230.29</v>
      </c>
      <c r="G14" s="46">
        <v>228.19</v>
      </c>
      <c r="H14" s="46">
        <v>513</v>
      </c>
      <c r="I14" s="54">
        <f t="shared" si="0"/>
        <v>0.47185185185185186</v>
      </c>
      <c r="J14" s="54">
        <f t="shared" si="0"/>
        <v>0.46130604288499027</v>
      </c>
      <c r="K14" s="54">
        <f t="shared" si="0"/>
        <v>0.45304093567251463</v>
      </c>
      <c r="L14" s="54">
        <f t="shared" si="0"/>
        <v>0.44890838206627681</v>
      </c>
      <c r="M14" s="54">
        <f t="shared" si="0"/>
        <v>0.44481481481481483</v>
      </c>
      <c r="N14" s="51">
        <f>FORESTS2[[#This Row],[Area_2020]]-FORESTS2[[#This Row],[Area_1990]]</f>
        <v>-13.870000000000005</v>
      </c>
      <c r="O14" s="51">
        <f>ABS(FORESTS2[[#This Row],[Area_Delta]])</f>
        <v>13.870000000000005</v>
      </c>
      <c r="P14" s="54">
        <f>FORESTS2[[#This Row],[Area_2020_%]]-FORESTS2[[#This Row],[Area_1990_%]]</f>
        <v>-2.7037037037037026E-2</v>
      </c>
      <c r="Q14" s="54" t="b">
        <f t="shared" si="1"/>
        <v>0</v>
      </c>
      <c r="R14" s="51">
        <f t="shared" si="2"/>
        <v>0</v>
      </c>
      <c r="S14" s="51">
        <f t="shared" si="3"/>
        <v>13.870000000000005</v>
      </c>
      <c r="T14" s="48">
        <f t="shared" si="4"/>
        <v>4</v>
      </c>
      <c r="U14" s="48">
        <v>44.48</v>
      </c>
      <c r="V14" s="30" t="s">
        <v>247</v>
      </c>
      <c r="W14" s="30">
        <v>1.5</v>
      </c>
      <c r="X14" s="38">
        <f t="shared" si="5"/>
        <v>-5.4099999999999966</v>
      </c>
      <c r="Y14" s="38">
        <f t="shared" si="5"/>
        <v>-4.2400000000000091</v>
      </c>
      <c r="Z14" s="38">
        <f t="shared" si="5"/>
        <v>-2.1200000000000045</v>
      </c>
      <c r="AA14" s="38">
        <f t="shared" si="5"/>
        <v>-2.0999999999999943</v>
      </c>
      <c r="AB14" s="38">
        <f>FORESTS2[[#This Row],[Column7]]+FORESTS2[[#This Row],[Column8]]</f>
        <v>-4.2199999999999989</v>
      </c>
      <c r="AC14" s="63">
        <f t="shared" si="6"/>
        <v>-0.5409999999999997</v>
      </c>
      <c r="AD14" s="63">
        <f t="shared" si="6"/>
        <v>-0.42400000000000093</v>
      </c>
      <c r="AE14" s="63">
        <f t="shared" si="7"/>
        <v>-0.42400000000000093</v>
      </c>
      <c r="AF14" s="63">
        <f t="shared" si="7"/>
        <v>-0.41999999999999887</v>
      </c>
    </row>
    <row r="15" spans="1:47" x14ac:dyDescent="0.2">
      <c r="A15" s="28">
        <v>380</v>
      </c>
      <c r="B15" s="28" t="s">
        <v>81</v>
      </c>
      <c r="C15" s="38">
        <v>7589.75</v>
      </c>
      <c r="D15" s="38">
        <v>8369.25</v>
      </c>
      <c r="E15" s="38">
        <v>9028.0400000000009</v>
      </c>
      <c r="F15" s="38">
        <v>9297.08</v>
      </c>
      <c r="G15" s="38">
        <v>9566.1299999999992</v>
      </c>
      <c r="H15" s="38">
        <v>29414</v>
      </c>
      <c r="I15" s="54">
        <f t="shared" si="0"/>
        <v>0.25803188957639217</v>
      </c>
      <c r="J15" s="54">
        <f t="shared" si="0"/>
        <v>0.28453287550146189</v>
      </c>
      <c r="K15" s="54">
        <f t="shared" si="0"/>
        <v>0.30693003331746788</v>
      </c>
      <c r="L15" s="54">
        <f t="shared" si="0"/>
        <v>0.31607669817093903</v>
      </c>
      <c r="M15" s="54">
        <f t="shared" si="0"/>
        <v>0.32522370299857206</v>
      </c>
      <c r="N15" s="51">
        <f>FORESTS2[[#This Row],[Area_2020]]-FORESTS2[[#This Row],[Area_1990]]</f>
        <v>1976.3799999999992</v>
      </c>
      <c r="O15" s="51">
        <f>ABS(FORESTS2[[#This Row],[Area_Delta]])</f>
        <v>1976.3799999999992</v>
      </c>
      <c r="P15" s="54">
        <f>FORESTS2[[#This Row],[Area_2020_%]]-FORESTS2[[#This Row],[Area_1990_%]]</f>
        <v>6.7191813422179891E-2</v>
      </c>
      <c r="Q15" s="48" t="b">
        <f t="shared" si="1"/>
        <v>1</v>
      </c>
      <c r="R15" s="51">
        <f t="shared" si="2"/>
        <v>1976.3799999999992</v>
      </c>
      <c r="S15" s="51">
        <f t="shared" si="3"/>
        <v>0</v>
      </c>
      <c r="T15" s="48">
        <f t="shared" si="4"/>
        <v>0</v>
      </c>
      <c r="U15" s="43">
        <v>32.520000000000003</v>
      </c>
      <c r="V15" s="30" t="s">
        <v>247</v>
      </c>
      <c r="W15" s="38">
        <v>25.87</v>
      </c>
      <c r="X15" s="38">
        <f t="shared" si="5"/>
        <v>779.5</v>
      </c>
      <c r="Y15" s="38">
        <f t="shared" si="5"/>
        <v>658.79000000000087</v>
      </c>
      <c r="Z15" s="38">
        <f t="shared" si="5"/>
        <v>269.03999999999905</v>
      </c>
      <c r="AA15" s="38">
        <f t="shared" si="5"/>
        <v>269.04999999999927</v>
      </c>
      <c r="AB15" s="38">
        <f>FORESTS2[[#This Row],[Column7]]+FORESTS2[[#This Row],[Column8]]</f>
        <v>538.08999999999833</v>
      </c>
      <c r="AC15" s="63">
        <f t="shared" si="6"/>
        <v>77.95</v>
      </c>
      <c r="AD15" s="63">
        <f t="shared" si="6"/>
        <v>65.87900000000009</v>
      </c>
      <c r="AE15" s="63">
        <f t="shared" si="7"/>
        <v>53.807999999999808</v>
      </c>
      <c r="AF15" s="63">
        <f t="shared" si="7"/>
        <v>53.809999999999853</v>
      </c>
    </row>
    <row r="16" spans="1:47" x14ac:dyDescent="0.2">
      <c r="A16" s="28">
        <v>156</v>
      </c>
      <c r="B16" s="28" t="s">
        <v>32</v>
      </c>
      <c r="C16" s="38">
        <v>157140.59</v>
      </c>
      <c r="D16" s="38">
        <v>177000.55</v>
      </c>
      <c r="E16" s="38">
        <v>200610.38</v>
      </c>
      <c r="F16" s="38">
        <v>210294.25</v>
      </c>
      <c r="G16" s="38">
        <v>219978.18</v>
      </c>
      <c r="H16" s="38">
        <v>942470</v>
      </c>
      <c r="I16" s="54">
        <f t="shared" si="0"/>
        <v>0.16673272358801872</v>
      </c>
      <c r="J16" s="54">
        <f t="shared" si="0"/>
        <v>0.18780496991946691</v>
      </c>
      <c r="K16" s="54">
        <f t="shared" si="0"/>
        <v>0.21285598480588241</v>
      </c>
      <c r="L16" s="54">
        <f t="shared" si="0"/>
        <v>0.2231309749912464</v>
      </c>
      <c r="M16" s="54">
        <f t="shared" si="0"/>
        <v>0.23340602883911424</v>
      </c>
      <c r="N16" s="51">
        <f>FORESTS2[[#This Row],[Area_2020]]-FORESTS2[[#This Row],[Area_1990]]</f>
        <v>62837.59</v>
      </c>
      <c r="O16" s="51">
        <f>ABS(FORESTS2[[#This Row],[Area_Delta]])</f>
        <v>62837.59</v>
      </c>
      <c r="P16" s="54">
        <f>FORESTS2[[#This Row],[Area_2020_%]]-FORESTS2[[#This Row],[Area_1990_%]]</f>
        <v>6.6673305251095522E-2</v>
      </c>
      <c r="Q16" s="48" t="b">
        <f t="shared" si="1"/>
        <v>1</v>
      </c>
      <c r="R16" s="51">
        <f t="shared" si="2"/>
        <v>62837.59</v>
      </c>
      <c r="S16" s="51">
        <f t="shared" si="3"/>
        <v>0</v>
      </c>
      <c r="T16" s="62">
        <f t="shared" si="4"/>
        <v>0</v>
      </c>
      <c r="U16" s="43">
        <v>23.34</v>
      </c>
      <c r="V16" s="30">
        <v>133.19999999999999</v>
      </c>
      <c r="W16" s="38">
        <v>12.94</v>
      </c>
      <c r="X16" s="38">
        <f t="shared" si="5"/>
        <v>19859.959999999992</v>
      </c>
      <c r="Y16" s="38">
        <f t="shared" si="5"/>
        <v>23609.830000000016</v>
      </c>
      <c r="Z16" s="38">
        <f t="shared" si="5"/>
        <v>9683.8699999999953</v>
      </c>
      <c r="AA16" s="38">
        <f t="shared" si="5"/>
        <v>9683.929999999993</v>
      </c>
      <c r="AB16" s="38">
        <f>FORESTS2[[#This Row],[Column7]]+FORESTS2[[#This Row],[Column8]]</f>
        <v>19367.799999999988</v>
      </c>
      <c r="AC16" s="63">
        <f t="shared" si="6"/>
        <v>1985.9959999999992</v>
      </c>
      <c r="AD16" s="63">
        <f t="shared" si="6"/>
        <v>2360.9830000000015</v>
      </c>
      <c r="AE16" s="63">
        <f t="shared" si="7"/>
        <v>1936.773999999999</v>
      </c>
      <c r="AF16" s="63">
        <f t="shared" si="7"/>
        <v>1936.7859999999987</v>
      </c>
      <c r="AS16" s="28" cm="1">
        <f t="array" ref="AS16:AU16">_xlfn.BYCOL(AS6:AU8, _xlfn.LAMBDA(_xlpm.array, SUMSQ(_xlpm.array)))</f>
        <v>17</v>
      </c>
      <c r="AT16" s="28">
        <v>29</v>
      </c>
      <c r="AU16" s="28">
        <v>45</v>
      </c>
    </row>
    <row r="17" spans="1:33" x14ac:dyDescent="0.2">
      <c r="A17" s="28">
        <v>100</v>
      </c>
      <c r="B17" s="28" t="s">
        <v>22</v>
      </c>
      <c r="C17" s="38">
        <v>3327</v>
      </c>
      <c r="D17" s="38">
        <v>3375</v>
      </c>
      <c r="E17" s="38">
        <v>3737</v>
      </c>
      <c r="F17" s="38">
        <v>3833</v>
      </c>
      <c r="G17" s="38">
        <v>3893</v>
      </c>
      <c r="H17" s="38">
        <v>10856</v>
      </c>
      <c r="I17" s="54">
        <f t="shared" si="0"/>
        <v>0.30646647015475315</v>
      </c>
      <c r="J17" s="54">
        <f t="shared" si="0"/>
        <v>0.3108879882092852</v>
      </c>
      <c r="K17" s="54">
        <f t="shared" si="0"/>
        <v>0.34423360353721444</v>
      </c>
      <c r="L17" s="54">
        <f t="shared" si="0"/>
        <v>0.35307663964627856</v>
      </c>
      <c r="M17" s="54">
        <f t="shared" si="0"/>
        <v>0.3586035372144436</v>
      </c>
      <c r="N17" s="51">
        <f>FORESTS2[[#This Row],[Area_2020]]-FORESTS2[[#This Row],[Area_1990]]</f>
        <v>566</v>
      </c>
      <c r="O17" s="51">
        <f>ABS(FORESTS2[[#This Row],[Area_Delta]])</f>
        <v>566</v>
      </c>
      <c r="P17" s="54">
        <f>FORESTS2[[#This Row],[Area_2020_%]]-FORESTS2[[#This Row],[Area_1990_%]]</f>
        <v>5.2137067059690456E-2</v>
      </c>
      <c r="Q17" s="48" t="b">
        <f t="shared" si="1"/>
        <v>1</v>
      </c>
      <c r="R17" s="51">
        <f t="shared" si="2"/>
        <v>566</v>
      </c>
      <c r="S17" s="51">
        <f t="shared" si="3"/>
        <v>0</v>
      </c>
      <c r="T17" s="48">
        <f t="shared" si="4"/>
        <v>0</v>
      </c>
      <c r="U17" s="43">
        <v>35.86</v>
      </c>
      <c r="V17" s="30">
        <v>0</v>
      </c>
      <c r="W17" s="38">
        <v>4.3</v>
      </c>
      <c r="X17" s="38">
        <f t="shared" si="5"/>
        <v>48</v>
      </c>
      <c r="Y17" s="38">
        <f t="shared" si="5"/>
        <v>362</v>
      </c>
      <c r="Z17" s="38">
        <f t="shared" si="5"/>
        <v>96</v>
      </c>
      <c r="AA17" s="38">
        <f t="shared" si="5"/>
        <v>60</v>
      </c>
      <c r="AB17" s="38">
        <f>FORESTS2[[#This Row],[Column7]]+FORESTS2[[#This Row],[Column8]]</f>
        <v>156</v>
      </c>
      <c r="AC17" s="63">
        <f t="shared" si="6"/>
        <v>4.8</v>
      </c>
      <c r="AD17" s="63">
        <f t="shared" si="6"/>
        <v>36.200000000000003</v>
      </c>
      <c r="AE17" s="63">
        <f t="shared" si="7"/>
        <v>19.2</v>
      </c>
      <c r="AF17" s="63">
        <f t="shared" si="7"/>
        <v>12</v>
      </c>
    </row>
    <row r="18" spans="1:33" hidden="1" x14ac:dyDescent="0.2">
      <c r="A18" s="28">
        <v>120</v>
      </c>
      <c r="B18" s="28" t="s">
        <v>27</v>
      </c>
      <c r="C18" s="46">
        <v>22500</v>
      </c>
      <c r="D18" s="46">
        <v>21597.49</v>
      </c>
      <c r="E18" s="46">
        <v>20900.48</v>
      </c>
      <c r="F18" s="46">
        <v>20620.48</v>
      </c>
      <c r="G18" s="46">
        <v>20340.48</v>
      </c>
      <c r="H18" s="46">
        <v>47271</v>
      </c>
      <c r="I18" s="54">
        <f t="shared" si="0"/>
        <v>0.47597892999936536</v>
      </c>
      <c r="J18" s="54">
        <f t="shared" si="0"/>
        <v>0.45688667470542194</v>
      </c>
      <c r="K18" s="54">
        <f t="shared" si="0"/>
        <v>0.44214169363880601</v>
      </c>
      <c r="L18" s="54">
        <f t="shared" si="0"/>
        <v>0.43621840028770281</v>
      </c>
      <c r="M18" s="54">
        <f t="shared" si="0"/>
        <v>0.43029510693659961</v>
      </c>
      <c r="N18" s="51">
        <f>FORESTS2[[#This Row],[Area_2020]]-FORESTS2[[#This Row],[Area_1990]]</f>
        <v>-2159.5200000000004</v>
      </c>
      <c r="O18" s="51">
        <f>ABS(FORESTS2[[#This Row],[Area_Delta]])</f>
        <v>2159.5200000000004</v>
      </c>
      <c r="P18" s="54">
        <f>FORESTS2[[#This Row],[Area_2020_%]]-FORESTS2[[#This Row],[Area_1990_%]]</f>
        <v>-4.5683823062765749E-2</v>
      </c>
      <c r="Q18" s="54" t="b">
        <f t="shared" si="1"/>
        <v>0</v>
      </c>
      <c r="R18" s="51">
        <f t="shared" si="2"/>
        <v>0</v>
      </c>
      <c r="S18" s="51">
        <f t="shared" si="3"/>
        <v>2159.5200000000004</v>
      </c>
      <c r="T18" s="62">
        <f t="shared" si="4"/>
        <v>4</v>
      </c>
      <c r="U18" s="43">
        <v>43.03</v>
      </c>
      <c r="V18" s="30">
        <v>58</v>
      </c>
      <c r="W18" s="38" t="s">
        <v>247</v>
      </c>
      <c r="X18" s="38">
        <f t="shared" si="5"/>
        <v>-902.5099999999984</v>
      </c>
      <c r="Y18" s="38">
        <f t="shared" si="5"/>
        <v>-697.01000000000204</v>
      </c>
      <c r="Z18" s="38">
        <f t="shared" si="5"/>
        <v>-280</v>
      </c>
      <c r="AA18" s="38">
        <f t="shared" si="5"/>
        <v>-280</v>
      </c>
      <c r="AB18" s="38">
        <f>FORESTS2[[#This Row],[Column7]]+FORESTS2[[#This Row],[Column8]]</f>
        <v>-560</v>
      </c>
      <c r="AC18" s="63">
        <f t="shared" si="6"/>
        <v>-90.250999999999834</v>
      </c>
      <c r="AD18" s="63">
        <f t="shared" si="6"/>
        <v>-69.701000000000207</v>
      </c>
      <c r="AE18" s="63">
        <f t="shared" si="7"/>
        <v>-56</v>
      </c>
      <c r="AF18" s="63">
        <f t="shared" si="7"/>
        <v>-56</v>
      </c>
    </row>
    <row r="19" spans="1:33" hidden="1" x14ac:dyDescent="0.2">
      <c r="A19" s="28">
        <v>70</v>
      </c>
      <c r="B19" s="28" t="s">
        <v>233</v>
      </c>
      <c r="C19" s="38">
        <v>2210</v>
      </c>
      <c r="D19" s="38">
        <v>2111.65</v>
      </c>
      <c r="E19" s="38">
        <v>2102.66</v>
      </c>
      <c r="F19" s="38">
        <v>2160.5</v>
      </c>
      <c r="G19" s="38">
        <v>2187.91</v>
      </c>
      <c r="H19" s="38">
        <v>5120</v>
      </c>
      <c r="I19" s="54">
        <f t="shared" si="0"/>
        <v>0.431640625</v>
      </c>
      <c r="J19" s="54">
        <f t="shared" si="0"/>
        <v>0.41243164062500004</v>
      </c>
      <c r="K19" s="54">
        <f t="shared" si="0"/>
        <v>0.41067578124999998</v>
      </c>
      <c r="L19" s="54">
        <f t="shared" si="0"/>
        <v>0.42197265625000002</v>
      </c>
      <c r="M19" s="54">
        <f t="shared" si="0"/>
        <v>0.42732617187499999</v>
      </c>
      <c r="N19" s="51">
        <f>FORESTS2[[#This Row],[Area_2020]]-FORESTS2[[#This Row],[Area_1990]]</f>
        <v>-22.090000000000146</v>
      </c>
      <c r="O19" s="51">
        <f>ABS(FORESTS2[[#This Row],[Area_Delta]])</f>
        <v>22.090000000000146</v>
      </c>
      <c r="P19" s="54">
        <f>FORESTS2[[#This Row],[Area_2020_%]]-FORESTS2[[#This Row],[Area_1990_%]]</f>
        <v>-4.3144531250000062E-3</v>
      </c>
      <c r="Q19" s="54" t="b">
        <f t="shared" si="1"/>
        <v>0</v>
      </c>
      <c r="R19" s="51">
        <f t="shared" si="2"/>
        <v>0</v>
      </c>
      <c r="S19" s="51">
        <f t="shared" si="3"/>
        <v>22.090000000000146</v>
      </c>
      <c r="T19" s="48">
        <f t="shared" si="4"/>
        <v>2</v>
      </c>
      <c r="U19" s="43">
        <v>42.73</v>
      </c>
      <c r="V19" s="30" t="s">
        <v>247</v>
      </c>
      <c r="W19" s="38">
        <v>9.4700000000000006</v>
      </c>
      <c r="X19" s="38">
        <f t="shared" si="5"/>
        <v>-98.349999999999909</v>
      </c>
      <c r="Y19" s="38">
        <f t="shared" si="5"/>
        <v>-8.9900000000002365</v>
      </c>
      <c r="Z19" s="38">
        <f t="shared" si="5"/>
        <v>57.840000000000146</v>
      </c>
      <c r="AA19" s="38">
        <f t="shared" si="5"/>
        <v>27.409999999999854</v>
      </c>
      <c r="AB19" s="38">
        <f>FORESTS2[[#This Row],[Column7]]+FORESTS2[[#This Row],[Column8]]</f>
        <v>85.25</v>
      </c>
      <c r="AC19" s="63">
        <f t="shared" si="6"/>
        <v>-9.8349999999999902</v>
      </c>
      <c r="AD19" s="63">
        <f t="shared" si="6"/>
        <v>-0.89900000000002367</v>
      </c>
      <c r="AE19" s="63">
        <f t="shared" si="7"/>
        <v>11.56800000000003</v>
      </c>
      <c r="AF19" s="63">
        <f t="shared" si="7"/>
        <v>5.4819999999999709</v>
      </c>
    </row>
    <row r="20" spans="1:33" hidden="1" x14ac:dyDescent="0.2">
      <c r="A20" s="28">
        <v>312</v>
      </c>
      <c r="B20" s="28" t="s">
        <v>66</v>
      </c>
      <c r="C20" s="30">
        <v>73.17</v>
      </c>
      <c r="D20" s="30">
        <v>72.27</v>
      </c>
      <c r="E20" s="30">
        <v>71.55</v>
      </c>
      <c r="F20" s="30">
        <v>72.22</v>
      </c>
      <c r="G20" s="30">
        <v>71.92</v>
      </c>
      <c r="H20" s="30">
        <v>169</v>
      </c>
      <c r="I20" s="54">
        <f t="shared" si="0"/>
        <v>0.43295857988165681</v>
      </c>
      <c r="J20" s="54">
        <f t="shared" si="0"/>
        <v>0.42763313609467452</v>
      </c>
      <c r="K20" s="54">
        <f t="shared" si="0"/>
        <v>0.42337278106508874</v>
      </c>
      <c r="L20" s="54">
        <f t="shared" si="0"/>
        <v>0.42733727810650884</v>
      </c>
      <c r="M20" s="54">
        <f t="shared" si="0"/>
        <v>0.42556213017751482</v>
      </c>
      <c r="N20" s="51">
        <f>FORESTS2[[#This Row],[Area_2020]]-FORESTS2[[#This Row],[Area_1990]]</f>
        <v>-1.25</v>
      </c>
      <c r="O20" s="51">
        <f>ABS(FORESTS2[[#This Row],[Area_Delta]])</f>
        <v>1.25</v>
      </c>
      <c r="P20" s="54">
        <f>FORESTS2[[#This Row],[Area_2020_%]]-FORESTS2[[#This Row],[Area_1990_%]]</f>
        <v>-7.3964497041419941E-3</v>
      </c>
      <c r="Q20" s="54" t="b">
        <f t="shared" si="1"/>
        <v>0</v>
      </c>
      <c r="R20" s="51">
        <f t="shared" si="2"/>
        <v>0</v>
      </c>
      <c r="S20" s="51">
        <f t="shared" si="3"/>
        <v>1.25</v>
      </c>
      <c r="T20" s="48">
        <f t="shared" si="4"/>
        <v>3</v>
      </c>
      <c r="U20" s="48">
        <v>42.56</v>
      </c>
      <c r="V20" s="30">
        <v>0.25</v>
      </c>
      <c r="W20" s="30">
        <v>0</v>
      </c>
      <c r="X20" s="38">
        <f t="shared" si="5"/>
        <v>-0.90000000000000568</v>
      </c>
      <c r="Y20" s="38">
        <f t="shared" si="5"/>
        <v>-0.71999999999999886</v>
      </c>
      <c r="Z20" s="38">
        <f t="shared" si="5"/>
        <v>0.67000000000000171</v>
      </c>
      <c r="AA20" s="38">
        <f t="shared" si="5"/>
        <v>-0.29999999999999716</v>
      </c>
      <c r="AB20" s="38">
        <f>FORESTS2[[#This Row],[Column7]]+FORESTS2[[#This Row],[Column8]]</f>
        <v>0.37000000000000455</v>
      </c>
      <c r="AC20" s="63">
        <f t="shared" si="6"/>
        <v>-9.0000000000000566E-2</v>
      </c>
      <c r="AD20" s="63">
        <f t="shared" si="6"/>
        <v>-7.1999999999999884E-2</v>
      </c>
      <c r="AE20" s="63">
        <f t="shared" si="7"/>
        <v>0.13400000000000034</v>
      </c>
      <c r="AF20" s="63">
        <f t="shared" si="7"/>
        <v>-5.9999999999999429E-2</v>
      </c>
    </row>
    <row r="21" spans="1:33" hidden="1" x14ac:dyDescent="0.2">
      <c r="A21" s="28">
        <v>659</v>
      </c>
      <c r="B21" s="28" t="s">
        <v>212</v>
      </c>
      <c r="C21" s="30">
        <v>11</v>
      </c>
      <c r="D21" s="30">
        <v>11</v>
      </c>
      <c r="E21" s="30">
        <v>11</v>
      </c>
      <c r="F21" s="30">
        <v>11</v>
      </c>
      <c r="G21" s="30">
        <v>11</v>
      </c>
      <c r="H21" s="30">
        <v>26</v>
      </c>
      <c r="I21" s="54">
        <f t="shared" si="0"/>
        <v>0.42307692307692307</v>
      </c>
      <c r="J21" s="54">
        <f t="shared" si="0"/>
        <v>0.42307692307692307</v>
      </c>
      <c r="K21" s="54">
        <f t="shared" si="0"/>
        <v>0.42307692307692307</v>
      </c>
      <c r="L21" s="54">
        <f t="shared" si="0"/>
        <v>0.42307692307692307</v>
      </c>
      <c r="M21" s="54">
        <f t="shared" si="0"/>
        <v>0.42307692307692307</v>
      </c>
      <c r="N21" s="51">
        <f>FORESTS2[[#This Row],[Area_2020]]-FORESTS2[[#This Row],[Area_1990]]</f>
        <v>0</v>
      </c>
      <c r="O21" s="51">
        <f>ABS(FORESTS2[[#This Row],[Area_Delta]])</f>
        <v>0</v>
      </c>
      <c r="P21" s="54">
        <f>FORESTS2[[#This Row],[Area_2020_%]]-FORESTS2[[#This Row],[Area_1990_%]]</f>
        <v>0</v>
      </c>
      <c r="Q21" s="54" t="b">
        <f t="shared" si="1"/>
        <v>0</v>
      </c>
      <c r="R21" s="51">
        <f t="shared" si="2"/>
        <v>0</v>
      </c>
      <c r="S21" s="51">
        <f t="shared" si="3"/>
        <v>0</v>
      </c>
      <c r="T21" s="48">
        <f t="shared" si="4"/>
        <v>0</v>
      </c>
      <c r="U21" s="48">
        <v>42.31</v>
      </c>
      <c r="V21" s="30" t="s">
        <v>247</v>
      </c>
      <c r="W21" s="30" t="s">
        <v>247</v>
      </c>
      <c r="X21" s="38">
        <f t="shared" si="5"/>
        <v>0</v>
      </c>
      <c r="Y21" s="38">
        <f t="shared" si="5"/>
        <v>0</v>
      </c>
      <c r="Z21" s="38">
        <f t="shared" si="5"/>
        <v>0</v>
      </c>
      <c r="AA21" s="38">
        <f t="shared" si="5"/>
        <v>0</v>
      </c>
      <c r="AB21" s="38">
        <f>FORESTS2[[#This Row],[Column7]]+FORESTS2[[#This Row],[Column8]]</f>
        <v>0</v>
      </c>
      <c r="AC21" s="63">
        <f t="shared" si="6"/>
        <v>0</v>
      </c>
      <c r="AD21" s="63">
        <f t="shared" si="6"/>
        <v>0</v>
      </c>
      <c r="AE21" s="63">
        <f t="shared" si="7"/>
        <v>0</v>
      </c>
      <c r="AF21" s="63">
        <f t="shared" si="7"/>
        <v>0</v>
      </c>
    </row>
    <row r="22" spans="1:33" hidden="1" x14ac:dyDescent="0.2">
      <c r="A22" s="28">
        <v>686</v>
      </c>
      <c r="B22" s="28" t="s">
        <v>144</v>
      </c>
      <c r="C22" s="46">
        <v>9303.16</v>
      </c>
      <c r="D22" s="46">
        <v>8853.16</v>
      </c>
      <c r="E22" s="46">
        <v>8468.16</v>
      </c>
      <c r="F22" s="46">
        <v>8268.16</v>
      </c>
      <c r="G22" s="46">
        <v>8068.16</v>
      </c>
      <c r="H22" s="46">
        <v>19253</v>
      </c>
      <c r="I22" s="54">
        <f t="shared" si="0"/>
        <v>0.48320573417129797</v>
      </c>
      <c r="J22" s="54">
        <f t="shared" si="0"/>
        <v>0.45983275333714224</v>
      </c>
      <c r="K22" s="54">
        <f t="shared" si="0"/>
        <v>0.43983586973458683</v>
      </c>
      <c r="L22" s="54">
        <f t="shared" si="0"/>
        <v>0.42944787825273983</v>
      </c>
      <c r="M22" s="54">
        <f t="shared" si="0"/>
        <v>0.41905988677089284</v>
      </c>
      <c r="N22" s="51">
        <f>FORESTS2[[#This Row],[Area_2020]]-FORESTS2[[#This Row],[Area_1990]]</f>
        <v>-1235</v>
      </c>
      <c r="O22" s="51">
        <f>ABS(FORESTS2[[#This Row],[Area_Delta]])</f>
        <v>1235</v>
      </c>
      <c r="P22" s="54">
        <f>FORESTS2[[#This Row],[Area_2020_%]]-FORESTS2[[#This Row],[Area_1990_%]]</f>
        <v>-6.4145847400405132E-2</v>
      </c>
      <c r="Q22" s="54" t="b">
        <f t="shared" si="1"/>
        <v>0</v>
      </c>
      <c r="R22" s="51">
        <f t="shared" si="2"/>
        <v>0</v>
      </c>
      <c r="S22" s="51">
        <f t="shared" si="3"/>
        <v>1235</v>
      </c>
      <c r="T22" s="48">
        <f t="shared" si="4"/>
        <v>4</v>
      </c>
      <c r="U22" s="43">
        <v>41.91</v>
      </c>
      <c r="V22" s="30">
        <v>51</v>
      </c>
      <c r="W22" s="38" t="s">
        <v>247</v>
      </c>
      <c r="X22" s="38">
        <f t="shared" si="5"/>
        <v>-450</v>
      </c>
      <c r="Y22" s="38">
        <f t="shared" si="5"/>
        <v>-385</v>
      </c>
      <c r="Z22" s="38">
        <f t="shared" si="5"/>
        <v>-200</v>
      </c>
      <c r="AA22" s="38">
        <f t="shared" si="5"/>
        <v>-200</v>
      </c>
      <c r="AB22" s="38">
        <f>FORESTS2[[#This Row],[Column7]]+FORESTS2[[#This Row],[Column8]]</f>
        <v>-400</v>
      </c>
      <c r="AC22" s="63">
        <f t="shared" si="6"/>
        <v>-45</v>
      </c>
      <c r="AD22" s="63">
        <f t="shared" si="6"/>
        <v>-38.5</v>
      </c>
      <c r="AE22" s="63">
        <f t="shared" si="7"/>
        <v>-40</v>
      </c>
      <c r="AF22" s="63">
        <f t="shared" si="7"/>
        <v>-40</v>
      </c>
    </row>
    <row r="23" spans="1:33" hidden="1" x14ac:dyDescent="0.2">
      <c r="A23" s="28">
        <v>438</v>
      </c>
      <c r="B23" s="28" t="s">
        <v>93</v>
      </c>
      <c r="C23" s="30">
        <v>6.5</v>
      </c>
      <c r="D23" s="30">
        <v>6.7</v>
      </c>
      <c r="E23" s="30">
        <v>6.7</v>
      </c>
      <c r="F23" s="30">
        <v>6.7</v>
      </c>
      <c r="G23" s="30">
        <v>6.7</v>
      </c>
      <c r="H23" s="30">
        <v>16</v>
      </c>
      <c r="I23" s="54">
        <f t="shared" si="0"/>
        <v>0.40625</v>
      </c>
      <c r="J23" s="54">
        <f t="shared" si="0"/>
        <v>0.41875000000000001</v>
      </c>
      <c r="K23" s="54">
        <f t="shared" si="0"/>
        <v>0.41875000000000001</v>
      </c>
      <c r="L23" s="54">
        <f t="shared" si="0"/>
        <v>0.41875000000000001</v>
      </c>
      <c r="M23" s="54">
        <f t="shared" si="0"/>
        <v>0.41875000000000001</v>
      </c>
      <c r="N23" s="51">
        <f>FORESTS2[[#This Row],[Area_2020]]-FORESTS2[[#This Row],[Area_1990]]</f>
        <v>0.20000000000000018</v>
      </c>
      <c r="O23" s="51">
        <f>ABS(FORESTS2[[#This Row],[Area_Delta]])</f>
        <v>0.20000000000000018</v>
      </c>
      <c r="P23" s="54">
        <f>FORESTS2[[#This Row],[Area_2020_%]]-FORESTS2[[#This Row],[Area_1990_%]]</f>
        <v>1.2500000000000011E-2</v>
      </c>
      <c r="Q23" s="54" t="b">
        <f t="shared" si="1"/>
        <v>1</v>
      </c>
      <c r="R23" s="51">
        <f t="shared" si="2"/>
        <v>0.20000000000000018</v>
      </c>
      <c r="S23" s="51">
        <f t="shared" si="3"/>
        <v>0</v>
      </c>
      <c r="T23" s="48">
        <f t="shared" si="4"/>
        <v>0</v>
      </c>
      <c r="U23" s="48">
        <v>41.88</v>
      </c>
      <c r="V23" s="30">
        <v>0.21</v>
      </c>
      <c r="W23" s="30">
        <v>0</v>
      </c>
      <c r="X23" s="38">
        <f t="shared" si="5"/>
        <v>0.20000000000000018</v>
      </c>
      <c r="Y23" s="38">
        <f t="shared" si="5"/>
        <v>0</v>
      </c>
      <c r="Z23" s="38">
        <f t="shared" si="5"/>
        <v>0</v>
      </c>
      <c r="AA23" s="38">
        <f t="shared" si="5"/>
        <v>0</v>
      </c>
      <c r="AB23" s="38">
        <f>FORESTS2[[#This Row],[Column7]]+FORESTS2[[#This Row],[Column8]]</f>
        <v>0</v>
      </c>
      <c r="AC23" s="63">
        <f t="shared" si="6"/>
        <v>2.0000000000000018E-2</v>
      </c>
      <c r="AD23" s="63">
        <f t="shared" si="6"/>
        <v>0</v>
      </c>
      <c r="AE23" s="63">
        <f t="shared" si="7"/>
        <v>0</v>
      </c>
      <c r="AF23" s="63">
        <f t="shared" si="7"/>
        <v>0</v>
      </c>
      <c r="AG23" s="28">
        <v>1</v>
      </c>
    </row>
    <row r="24" spans="1:33" x14ac:dyDescent="0.2">
      <c r="A24" s="28">
        <v>250</v>
      </c>
      <c r="B24" s="28" t="s">
        <v>57</v>
      </c>
      <c r="C24" s="38">
        <v>14436</v>
      </c>
      <c r="D24" s="38">
        <v>15288</v>
      </c>
      <c r="E24" s="38">
        <v>16419</v>
      </c>
      <c r="F24" s="38">
        <v>16836</v>
      </c>
      <c r="G24" s="38">
        <v>17253</v>
      </c>
      <c r="H24" s="38">
        <v>54756</v>
      </c>
      <c r="I24" s="54">
        <f t="shared" si="0"/>
        <v>0.26364234056541747</v>
      </c>
      <c r="J24" s="54">
        <f t="shared" si="0"/>
        <v>0.27920227920227919</v>
      </c>
      <c r="K24" s="54">
        <f t="shared" si="0"/>
        <v>0.29985754985754987</v>
      </c>
      <c r="L24" s="54">
        <f t="shared" si="0"/>
        <v>0.30747315362699978</v>
      </c>
      <c r="M24" s="54">
        <f t="shared" si="0"/>
        <v>0.3150887573964497</v>
      </c>
      <c r="N24" s="51">
        <f>FORESTS2[[#This Row],[Area_2020]]-FORESTS2[[#This Row],[Area_1990]]</f>
        <v>2817</v>
      </c>
      <c r="O24" s="51">
        <f>ABS(FORESTS2[[#This Row],[Area_Delta]])</f>
        <v>2817</v>
      </c>
      <c r="P24" s="54">
        <f>FORESTS2[[#This Row],[Area_2020_%]]-FORESTS2[[#This Row],[Area_1990_%]]</f>
        <v>5.1446416831032238E-2</v>
      </c>
      <c r="Q24" s="48" t="b">
        <f t="shared" si="1"/>
        <v>1</v>
      </c>
      <c r="R24" s="51">
        <f t="shared" si="2"/>
        <v>2817</v>
      </c>
      <c r="S24" s="51">
        <f t="shared" si="3"/>
        <v>0</v>
      </c>
      <c r="T24" s="62">
        <f t="shared" si="4"/>
        <v>0</v>
      </c>
      <c r="U24" s="43">
        <v>31.51</v>
      </c>
      <c r="V24" s="30" t="s">
        <v>247</v>
      </c>
      <c r="W24" s="38">
        <v>6.21</v>
      </c>
      <c r="X24" s="38">
        <f t="shared" si="5"/>
        <v>852</v>
      </c>
      <c r="Y24" s="38">
        <f t="shared" si="5"/>
        <v>1131</v>
      </c>
      <c r="Z24" s="38">
        <f t="shared" si="5"/>
        <v>417</v>
      </c>
      <c r="AA24" s="38">
        <f t="shared" si="5"/>
        <v>417</v>
      </c>
      <c r="AB24" s="38">
        <f>FORESTS2[[#This Row],[Column7]]+FORESTS2[[#This Row],[Column8]]</f>
        <v>834</v>
      </c>
      <c r="AC24" s="63">
        <f t="shared" si="6"/>
        <v>85.2</v>
      </c>
      <c r="AD24" s="63">
        <f t="shared" si="6"/>
        <v>113.1</v>
      </c>
      <c r="AE24" s="63">
        <f t="shared" si="7"/>
        <v>83.4</v>
      </c>
      <c r="AF24" s="63">
        <f t="shared" si="7"/>
        <v>83.4</v>
      </c>
      <c r="AG24" s="28">
        <v>1</v>
      </c>
    </row>
    <row r="25" spans="1:33" hidden="1" x14ac:dyDescent="0.2">
      <c r="A25" s="28">
        <v>876</v>
      </c>
      <c r="B25" s="28" t="s">
        <v>246</v>
      </c>
      <c r="C25" s="30">
        <v>5.8</v>
      </c>
      <c r="D25" s="30">
        <v>5.81</v>
      </c>
      <c r="E25" s="30">
        <v>5.82</v>
      </c>
      <c r="F25" s="30">
        <v>5.83</v>
      </c>
      <c r="G25" s="30">
        <v>5.83</v>
      </c>
      <c r="H25" s="30">
        <v>14</v>
      </c>
      <c r="I25" s="54">
        <f t="shared" si="0"/>
        <v>0.41428571428571426</v>
      </c>
      <c r="J25" s="54">
        <f t="shared" si="0"/>
        <v>0.41499999999999998</v>
      </c>
      <c r="K25" s="54">
        <f t="shared" si="0"/>
        <v>0.41571428571428576</v>
      </c>
      <c r="L25" s="54">
        <f t="shared" si="0"/>
        <v>0.41642857142857143</v>
      </c>
      <c r="M25" s="54">
        <f t="shared" si="0"/>
        <v>0.41642857142857143</v>
      </c>
      <c r="N25" s="51">
        <f>FORESTS2[[#This Row],[Area_2020]]-FORESTS2[[#This Row],[Area_1990]]</f>
        <v>3.0000000000000249E-2</v>
      </c>
      <c r="O25" s="51">
        <f>ABS(FORESTS2[[#This Row],[Area_Delta]])</f>
        <v>3.0000000000000249E-2</v>
      </c>
      <c r="P25" s="54">
        <f>FORESTS2[[#This Row],[Area_2020_%]]-FORESTS2[[#This Row],[Area_1990_%]]</f>
        <v>2.1428571428571686E-3</v>
      </c>
      <c r="Q25" s="54" t="b">
        <f t="shared" si="1"/>
        <v>1</v>
      </c>
      <c r="R25" s="51">
        <f t="shared" si="2"/>
        <v>3.0000000000000249E-2</v>
      </c>
      <c r="S25" s="51">
        <f t="shared" si="3"/>
        <v>0</v>
      </c>
      <c r="T25" s="48">
        <f t="shared" si="4"/>
        <v>0</v>
      </c>
      <c r="U25" s="48">
        <v>41.64</v>
      </c>
      <c r="V25" s="30" t="s">
        <v>247</v>
      </c>
      <c r="W25" s="30" t="s">
        <v>247</v>
      </c>
      <c r="X25" s="38">
        <f t="shared" si="5"/>
        <v>9.9999999999997868E-3</v>
      </c>
      <c r="Y25" s="38">
        <f t="shared" si="5"/>
        <v>1.0000000000000675E-2</v>
      </c>
      <c r="Z25" s="38">
        <f t="shared" si="5"/>
        <v>9.9999999999997868E-3</v>
      </c>
      <c r="AA25" s="38">
        <f t="shared" si="5"/>
        <v>0</v>
      </c>
      <c r="AB25" s="38">
        <f>FORESTS2[[#This Row],[Column7]]+FORESTS2[[#This Row],[Column8]]</f>
        <v>9.9999999999997868E-3</v>
      </c>
      <c r="AC25" s="63">
        <f t="shared" si="6"/>
        <v>9.9999999999997877E-4</v>
      </c>
      <c r="AD25" s="63">
        <f t="shared" si="6"/>
        <v>1.0000000000000675E-3</v>
      </c>
      <c r="AE25" s="63">
        <f t="shared" si="7"/>
        <v>1.9999999999999575E-3</v>
      </c>
      <c r="AF25" s="63">
        <f t="shared" si="7"/>
        <v>0</v>
      </c>
    </row>
    <row r="26" spans="1:33" hidden="1" x14ac:dyDescent="0.2">
      <c r="A26" s="28">
        <v>524</v>
      </c>
      <c r="B26" s="28" t="s">
        <v>115</v>
      </c>
      <c r="C26" s="38">
        <v>5672</v>
      </c>
      <c r="D26" s="38">
        <v>5780.76</v>
      </c>
      <c r="E26" s="38">
        <v>5962.03</v>
      </c>
      <c r="F26" s="38">
        <v>5962.03</v>
      </c>
      <c r="G26" s="38">
        <v>5962.03</v>
      </c>
      <c r="H26" s="38">
        <v>14335</v>
      </c>
      <c r="I26" s="54">
        <f t="shared" si="0"/>
        <v>0.3956749215207534</v>
      </c>
      <c r="J26" s="54">
        <f t="shared" si="0"/>
        <v>0.4032619462853157</v>
      </c>
      <c r="K26" s="54">
        <f t="shared" si="0"/>
        <v>0.41590722009068709</v>
      </c>
      <c r="L26" s="54">
        <f t="shared" si="0"/>
        <v>0.41590722009068709</v>
      </c>
      <c r="M26" s="54">
        <f t="shared" si="0"/>
        <v>0.41590722009068709</v>
      </c>
      <c r="N26" s="51">
        <f>FORESTS2[[#This Row],[Area_2020]]-FORESTS2[[#This Row],[Area_1990]]</f>
        <v>290.02999999999975</v>
      </c>
      <c r="O26" s="51">
        <f>ABS(FORESTS2[[#This Row],[Area_Delta]])</f>
        <v>290.02999999999975</v>
      </c>
      <c r="P26" s="54">
        <f>FORESTS2[[#This Row],[Area_2020_%]]-FORESTS2[[#This Row],[Area_1990_%]]</f>
        <v>2.0232298569933693E-2</v>
      </c>
      <c r="Q26" s="54" t="b">
        <f t="shared" si="1"/>
        <v>1</v>
      </c>
      <c r="R26" s="51">
        <f t="shared" si="2"/>
        <v>290.02999999999975</v>
      </c>
      <c r="S26" s="51">
        <f t="shared" si="3"/>
        <v>0</v>
      </c>
      <c r="T26" s="48">
        <f t="shared" si="4"/>
        <v>0</v>
      </c>
      <c r="U26" s="43">
        <v>41.59</v>
      </c>
      <c r="V26" s="30">
        <v>0</v>
      </c>
      <c r="W26" s="38" t="s">
        <v>247</v>
      </c>
      <c r="X26" s="38">
        <f t="shared" si="5"/>
        <v>108.76000000000022</v>
      </c>
      <c r="Y26" s="38">
        <f t="shared" si="5"/>
        <v>181.26999999999953</v>
      </c>
      <c r="Z26" s="38">
        <f t="shared" si="5"/>
        <v>0</v>
      </c>
      <c r="AA26" s="38">
        <f t="shared" si="5"/>
        <v>0</v>
      </c>
      <c r="AB26" s="38">
        <f>FORESTS2[[#This Row],[Column7]]+FORESTS2[[#This Row],[Column8]]</f>
        <v>0</v>
      </c>
      <c r="AC26" s="63">
        <f t="shared" si="6"/>
        <v>10.876000000000023</v>
      </c>
      <c r="AD26" s="63">
        <f t="shared" si="6"/>
        <v>18.126999999999953</v>
      </c>
      <c r="AE26" s="63">
        <f t="shared" si="7"/>
        <v>0</v>
      </c>
      <c r="AF26" s="63">
        <f t="shared" si="7"/>
        <v>0</v>
      </c>
    </row>
    <row r="27" spans="1:33" hidden="1" x14ac:dyDescent="0.2">
      <c r="A27" s="28">
        <v>258</v>
      </c>
      <c r="B27" s="28" t="s">
        <v>243</v>
      </c>
      <c r="C27" s="30">
        <v>144.43</v>
      </c>
      <c r="D27" s="30">
        <v>148.55000000000001</v>
      </c>
      <c r="E27" s="30">
        <v>149.46</v>
      </c>
      <c r="F27" s="30">
        <v>149.46</v>
      </c>
      <c r="G27" s="30">
        <v>149.46</v>
      </c>
      <c r="H27" s="30">
        <v>366</v>
      </c>
      <c r="I27" s="54">
        <f t="shared" si="0"/>
        <v>0.39461748633879784</v>
      </c>
      <c r="J27" s="54">
        <f t="shared" si="0"/>
        <v>0.40587431693989073</v>
      </c>
      <c r="K27" s="54">
        <f t="shared" si="0"/>
        <v>0.40836065573770491</v>
      </c>
      <c r="L27" s="54">
        <f t="shared" si="0"/>
        <v>0.40836065573770491</v>
      </c>
      <c r="M27" s="54">
        <f t="shared" si="0"/>
        <v>0.40836065573770491</v>
      </c>
      <c r="N27" s="51">
        <f>FORESTS2[[#This Row],[Area_2020]]-FORESTS2[[#This Row],[Area_1990]]</f>
        <v>5.0300000000000011</v>
      </c>
      <c r="O27" s="51">
        <f>ABS(FORESTS2[[#This Row],[Area_Delta]])</f>
        <v>5.0300000000000011</v>
      </c>
      <c r="P27" s="54">
        <f>FORESTS2[[#This Row],[Area_2020_%]]-FORESTS2[[#This Row],[Area_1990_%]]</f>
        <v>1.3743169398907074E-2</v>
      </c>
      <c r="Q27" s="54" t="b">
        <f t="shared" si="1"/>
        <v>1</v>
      </c>
      <c r="R27" s="51">
        <f t="shared" si="2"/>
        <v>5.0300000000000011</v>
      </c>
      <c r="S27" s="51">
        <f t="shared" si="3"/>
        <v>0</v>
      </c>
      <c r="T27" s="48">
        <f t="shared" si="4"/>
        <v>0</v>
      </c>
      <c r="U27" s="48">
        <v>40.840000000000003</v>
      </c>
      <c r="V27" s="30" t="s">
        <v>247</v>
      </c>
      <c r="W27" s="30" t="s">
        <v>247</v>
      </c>
      <c r="X27" s="38">
        <f t="shared" si="5"/>
        <v>4.1200000000000045</v>
      </c>
      <c r="Y27" s="38">
        <f t="shared" si="5"/>
        <v>0.90999999999999659</v>
      </c>
      <c r="Z27" s="38">
        <f t="shared" si="5"/>
        <v>0</v>
      </c>
      <c r="AA27" s="38">
        <f t="shared" si="5"/>
        <v>0</v>
      </c>
      <c r="AB27" s="38">
        <f>FORESTS2[[#This Row],[Column7]]+FORESTS2[[#This Row],[Column8]]</f>
        <v>0</v>
      </c>
      <c r="AC27" s="63">
        <f t="shared" si="6"/>
        <v>0.41200000000000048</v>
      </c>
      <c r="AD27" s="63">
        <f t="shared" si="6"/>
        <v>9.0999999999999664E-2</v>
      </c>
      <c r="AE27" s="63">
        <f t="shared" si="7"/>
        <v>0</v>
      </c>
      <c r="AF27" s="63">
        <f t="shared" si="7"/>
        <v>0</v>
      </c>
    </row>
    <row r="28" spans="1:33" hidden="1" x14ac:dyDescent="0.2">
      <c r="A28" s="28">
        <v>268</v>
      </c>
      <c r="B28" s="28" t="s">
        <v>60</v>
      </c>
      <c r="C28" s="38">
        <v>2752.3</v>
      </c>
      <c r="D28" s="38">
        <v>2760.6</v>
      </c>
      <c r="E28" s="38">
        <v>2822.4</v>
      </c>
      <c r="F28" s="38">
        <v>2822.4</v>
      </c>
      <c r="G28" s="38">
        <v>2822.4</v>
      </c>
      <c r="H28" s="38">
        <v>6949</v>
      </c>
      <c r="I28" s="54">
        <f t="shared" si="0"/>
        <v>0.3960713771765722</v>
      </c>
      <c r="J28" s="54">
        <f t="shared" si="0"/>
        <v>0.39726579363937253</v>
      </c>
      <c r="K28" s="54">
        <f t="shared" si="0"/>
        <v>0.40615915959130811</v>
      </c>
      <c r="L28" s="54">
        <f t="shared" si="0"/>
        <v>0.40615915959130811</v>
      </c>
      <c r="M28" s="54">
        <f t="shared" si="0"/>
        <v>0.40615915959130811</v>
      </c>
      <c r="N28" s="51">
        <f>FORESTS2[[#This Row],[Area_2020]]-FORESTS2[[#This Row],[Area_1990]]</f>
        <v>70.099999999999909</v>
      </c>
      <c r="O28" s="51">
        <f>ABS(FORESTS2[[#This Row],[Area_Delta]])</f>
        <v>70.099999999999909</v>
      </c>
      <c r="P28" s="54">
        <f>FORESTS2[[#This Row],[Area_2020_%]]-FORESTS2[[#This Row],[Area_1990_%]]</f>
        <v>1.0087782414735902E-2</v>
      </c>
      <c r="Q28" s="54" t="b">
        <f t="shared" si="1"/>
        <v>1</v>
      </c>
      <c r="R28" s="51">
        <f t="shared" si="2"/>
        <v>70.099999999999909</v>
      </c>
      <c r="S28" s="51">
        <f t="shared" si="3"/>
        <v>0</v>
      </c>
      <c r="T28" s="48">
        <f t="shared" si="4"/>
        <v>0</v>
      </c>
      <c r="U28" s="43">
        <v>40.619999999999997</v>
      </c>
      <c r="V28" s="30">
        <v>0</v>
      </c>
      <c r="W28" s="38">
        <v>0.21</v>
      </c>
      <c r="X28" s="38">
        <f t="shared" si="5"/>
        <v>8.2999999999997272</v>
      </c>
      <c r="Y28" s="38">
        <f t="shared" si="5"/>
        <v>61.800000000000182</v>
      </c>
      <c r="Z28" s="38">
        <f t="shared" si="5"/>
        <v>0</v>
      </c>
      <c r="AA28" s="38">
        <f t="shared" si="5"/>
        <v>0</v>
      </c>
      <c r="AB28" s="38">
        <f>FORESTS2[[#This Row],[Column7]]+FORESTS2[[#This Row],[Column8]]</f>
        <v>0</v>
      </c>
      <c r="AC28" s="63">
        <f t="shared" si="6"/>
        <v>0.82999999999997276</v>
      </c>
      <c r="AD28" s="63">
        <f t="shared" si="6"/>
        <v>6.1800000000000184</v>
      </c>
      <c r="AE28" s="63">
        <f t="shared" si="7"/>
        <v>0</v>
      </c>
      <c r="AF28" s="63">
        <f t="shared" si="7"/>
        <v>0</v>
      </c>
    </row>
    <row r="29" spans="1:33" x14ac:dyDescent="0.2">
      <c r="A29" s="28">
        <v>112</v>
      </c>
      <c r="B29" s="28" t="s">
        <v>13</v>
      </c>
      <c r="C29" s="38">
        <v>7780</v>
      </c>
      <c r="D29" s="38">
        <v>8273</v>
      </c>
      <c r="E29" s="38">
        <v>8630</v>
      </c>
      <c r="F29" s="38">
        <v>8633.5</v>
      </c>
      <c r="G29" s="38">
        <v>8767.6</v>
      </c>
      <c r="H29" s="38">
        <v>20297.8</v>
      </c>
      <c r="I29" s="54">
        <f t="shared" si="0"/>
        <v>0.38329277064509454</v>
      </c>
      <c r="J29" s="54">
        <f t="shared" si="0"/>
        <v>0.40758111716540713</v>
      </c>
      <c r="K29" s="54">
        <f t="shared" si="0"/>
        <v>0.42516923016287483</v>
      </c>
      <c r="L29" s="54">
        <f t="shared" si="0"/>
        <v>0.42534166264324214</v>
      </c>
      <c r="M29" s="54">
        <f t="shared" si="0"/>
        <v>0.43194828996245904</v>
      </c>
      <c r="N29" s="51">
        <f>FORESTS2[[#This Row],[Area_2020]]-FORESTS2[[#This Row],[Area_1990]]</f>
        <v>987.60000000000036</v>
      </c>
      <c r="O29" s="51">
        <f>ABS(FORESTS2[[#This Row],[Area_Delta]])</f>
        <v>987.60000000000036</v>
      </c>
      <c r="P29" s="54">
        <f>FORESTS2[[#This Row],[Area_2020_%]]-FORESTS2[[#This Row],[Area_1990_%]]</f>
        <v>4.8655519317364504E-2</v>
      </c>
      <c r="Q29" s="48" t="b">
        <f t="shared" si="1"/>
        <v>1</v>
      </c>
      <c r="R29" s="51">
        <f t="shared" si="2"/>
        <v>987.60000000000036</v>
      </c>
      <c r="S29" s="51">
        <f t="shared" si="3"/>
        <v>0</v>
      </c>
      <c r="T29" s="48">
        <f t="shared" si="4"/>
        <v>0</v>
      </c>
      <c r="U29" s="43">
        <v>43.19</v>
      </c>
      <c r="V29" s="30">
        <v>3.5</v>
      </c>
      <c r="W29" s="38">
        <v>13.89</v>
      </c>
      <c r="X29" s="38">
        <f t="shared" si="5"/>
        <v>493</v>
      </c>
      <c r="Y29" s="38">
        <f t="shared" si="5"/>
        <v>357</v>
      </c>
      <c r="Z29" s="38">
        <f t="shared" si="5"/>
        <v>3.5</v>
      </c>
      <c r="AA29" s="38">
        <f t="shared" si="5"/>
        <v>134.10000000000036</v>
      </c>
      <c r="AB29" s="38">
        <f>FORESTS2[[#This Row],[Column7]]+FORESTS2[[#This Row],[Column8]]</f>
        <v>137.60000000000036</v>
      </c>
      <c r="AC29" s="63">
        <f t="shared" si="6"/>
        <v>49.3</v>
      </c>
      <c r="AD29" s="63">
        <f t="shared" si="6"/>
        <v>35.700000000000003</v>
      </c>
      <c r="AE29" s="63">
        <f t="shared" si="7"/>
        <v>0.7</v>
      </c>
      <c r="AF29" s="63">
        <f t="shared" si="7"/>
        <v>26.820000000000071</v>
      </c>
      <c r="AG29" s="28">
        <v>1</v>
      </c>
    </row>
    <row r="30" spans="1:33" hidden="1" x14ac:dyDescent="0.2">
      <c r="A30" s="28">
        <v>703</v>
      </c>
      <c r="B30" s="28" t="s">
        <v>149</v>
      </c>
      <c r="C30" s="30">
        <v>1902.48</v>
      </c>
      <c r="D30" s="30">
        <v>1901.41</v>
      </c>
      <c r="E30" s="30">
        <v>1917.91</v>
      </c>
      <c r="F30" s="30">
        <v>1921.75</v>
      </c>
      <c r="G30" s="30">
        <v>1925.9</v>
      </c>
      <c r="H30" s="30">
        <v>4808</v>
      </c>
      <c r="I30" s="54">
        <f t="shared" si="0"/>
        <v>0.39569051580698833</v>
      </c>
      <c r="J30" s="54">
        <f t="shared" si="0"/>
        <v>0.39546797004991679</v>
      </c>
      <c r="K30" s="54">
        <f t="shared" si="0"/>
        <v>0.39889975041597342</v>
      </c>
      <c r="L30" s="54">
        <f t="shared" si="0"/>
        <v>0.39969841930116473</v>
      </c>
      <c r="M30" s="54">
        <f t="shared" si="0"/>
        <v>0.40056156405990018</v>
      </c>
      <c r="N30" s="51">
        <f>FORESTS2[[#This Row],[Area_2020]]-FORESTS2[[#This Row],[Area_1990]]</f>
        <v>23.420000000000073</v>
      </c>
      <c r="O30" s="51">
        <f>ABS(FORESTS2[[#This Row],[Area_Delta]])</f>
        <v>23.420000000000073</v>
      </c>
      <c r="P30" s="54">
        <f>FORESTS2[[#This Row],[Area_2020_%]]-FORESTS2[[#This Row],[Area_1990_%]]</f>
        <v>4.8710482529118471E-3</v>
      </c>
      <c r="Q30" s="54" t="b">
        <f t="shared" si="1"/>
        <v>1</v>
      </c>
      <c r="R30" s="51">
        <f t="shared" si="2"/>
        <v>23.420000000000073</v>
      </c>
      <c r="S30" s="51">
        <f t="shared" si="3"/>
        <v>0</v>
      </c>
      <c r="T30" s="48">
        <f t="shared" si="4"/>
        <v>1</v>
      </c>
      <c r="U30" s="48">
        <v>40.06</v>
      </c>
      <c r="V30" s="30" t="s">
        <v>247</v>
      </c>
      <c r="W30" s="30">
        <v>0.35</v>
      </c>
      <c r="X30" s="38">
        <f t="shared" si="5"/>
        <v>-1.0699999999999363</v>
      </c>
      <c r="Y30" s="38">
        <f t="shared" si="5"/>
        <v>16.5</v>
      </c>
      <c r="Z30" s="38">
        <f t="shared" si="5"/>
        <v>3.8399999999999181</v>
      </c>
      <c r="AA30" s="38">
        <f t="shared" si="5"/>
        <v>4.1500000000000909</v>
      </c>
      <c r="AB30" s="38">
        <f>FORESTS2[[#This Row],[Column7]]+FORESTS2[[#This Row],[Column8]]</f>
        <v>7.9900000000000091</v>
      </c>
      <c r="AC30" s="63">
        <f t="shared" si="6"/>
        <v>-0.10699999999999363</v>
      </c>
      <c r="AD30" s="63">
        <f t="shared" si="6"/>
        <v>1.65</v>
      </c>
      <c r="AE30" s="63">
        <f t="shared" si="7"/>
        <v>0.76799999999998358</v>
      </c>
      <c r="AF30" s="63">
        <f t="shared" si="7"/>
        <v>0.83000000000001817</v>
      </c>
    </row>
    <row r="31" spans="1:33" hidden="1" x14ac:dyDescent="0.2">
      <c r="A31" s="28">
        <v>578</v>
      </c>
      <c r="B31" s="28" t="s">
        <v>123</v>
      </c>
      <c r="C31" s="38">
        <v>12132</v>
      </c>
      <c r="D31" s="38">
        <v>12113</v>
      </c>
      <c r="E31" s="38">
        <v>12102</v>
      </c>
      <c r="F31" s="38">
        <v>12141</v>
      </c>
      <c r="G31" s="38">
        <v>12180</v>
      </c>
      <c r="H31" s="38">
        <v>30413</v>
      </c>
      <c r="I31" s="54">
        <f t="shared" si="0"/>
        <v>0.39890836155591358</v>
      </c>
      <c r="J31" s="54">
        <f t="shared" si="0"/>
        <v>0.39828362871140632</v>
      </c>
      <c r="K31" s="54">
        <f t="shared" si="0"/>
        <v>0.3979219412751126</v>
      </c>
      <c r="L31" s="54">
        <f t="shared" si="0"/>
        <v>0.39920428764015387</v>
      </c>
      <c r="M31" s="54">
        <f t="shared" si="0"/>
        <v>0.40048663400519513</v>
      </c>
      <c r="N31" s="51">
        <f>FORESTS2[[#This Row],[Area_2020]]-FORESTS2[[#This Row],[Area_1990]]</f>
        <v>48</v>
      </c>
      <c r="O31" s="51">
        <f>ABS(FORESTS2[[#This Row],[Area_Delta]])</f>
        <v>48</v>
      </c>
      <c r="P31" s="54">
        <f>FORESTS2[[#This Row],[Area_2020_%]]-FORESTS2[[#This Row],[Area_1990_%]]</f>
        <v>1.5782724492815481E-3</v>
      </c>
      <c r="Q31" s="54" t="b">
        <f t="shared" si="1"/>
        <v>1</v>
      </c>
      <c r="R31" s="51">
        <f t="shared" si="2"/>
        <v>48</v>
      </c>
      <c r="S31" s="51">
        <f t="shared" si="3"/>
        <v>0</v>
      </c>
      <c r="T31" s="62">
        <f t="shared" si="4"/>
        <v>2</v>
      </c>
      <c r="U31" s="43">
        <v>40.049999999999997</v>
      </c>
      <c r="V31" s="30">
        <v>5.82</v>
      </c>
      <c r="W31" s="38">
        <v>0.14000000000000001</v>
      </c>
      <c r="X31" s="38">
        <f t="shared" si="5"/>
        <v>-19</v>
      </c>
      <c r="Y31" s="38">
        <f t="shared" si="5"/>
        <v>-11</v>
      </c>
      <c r="Z31" s="38">
        <f t="shared" si="5"/>
        <v>39</v>
      </c>
      <c r="AA31" s="38">
        <f t="shared" si="5"/>
        <v>39</v>
      </c>
      <c r="AB31" s="38">
        <f>FORESTS2[[#This Row],[Column7]]+FORESTS2[[#This Row],[Column8]]</f>
        <v>78</v>
      </c>
      <c r="AC31" s="63">
        <f t="shared" si="6"/>
        <v>-1.9</v>
      </c>
      <c r="AD31" s="63">
        <f t="shared" si="6"/>
        <v>-1.1000000000000001</v>
      </c>
      <c r="AE31" s="63">
        <f t="shared" si="7"/>
        <v>7.8</v>
      </c>
      <c r="AF31" s="63">
        <f t="shared" si="7"/>
        <v>7.8</v>
      </c>
    </row>
    <row r="32" spans="1:33" hidden="1" x14ac:dyDescent="0.2">
      <c r="A32" s="28">
        <v>807</v>
      </c>
      <c r="B32" s="28" t="s">
        <v>236</v>
      </c>
      <c r="C32" s="30">
        <v>912</v>
      </c>
      <c r="D32" s="30">
        <v>957.55</v>
      </c>
      <c r="E32" s="30">
        <v>960.43</v>
      </c>
      <c r="F32" s="30">
        <v>994.4</v>
      </c>
      <c r="G32" s="30">
        <v>1001.49</v>
      </c>
      <c r="H32" s="30">
        <v>2522</v>
      </c>
      <c r="I32" s="54">
        <f t="shared" si="0"/>
        <v>0.36161776367961934</v>
      </c>
      <c r="J32" s="54">
        <f t="shared" si="0"/>
        <v>0.37967882632831085</v>
      </c>
      <c r="K32" s="54">
        <f t="shared" si="0"/>
        <v>0.38082077716098334</v>
      </c>
      <c r="L32" s="54">
        <f t="shared" si="0"/>
        <v>0.39429024583663758</v>
      </c>
      <c r="M32" s="54">
        <f t="shared" si="0"/>
        <v>0.39710150674068201</v>
      </c>
      <c r="N32" s="51">
        <f>FORESTS2[[#This Row],[Area_2020]]-FORESTS2[[#This Row],[Area_1990]]</f>
        <v>89.490000000000009</v>
      </c>
      <c r="O32" s="51">
        <f>ABS(FORESTS2[[#This Row],[Area_Delta]])</f>
        <v>89.490000000000009</v>
      </c>
      <c r="P32" s="54">
        <f>FORESTS2[[#This Row],[Area_2020_%]]-FORESTS2[[#This Row],[Area_1990_%]]</f>
        <v>3.5483743061062667E-2</v>
      </c>
      <c r="Q32" s="54" t="b">
        <f t="shared" si="1"/>
        <v>1</v>
      </c>
      <c r="R32" s="51">
        <f t="shared" si="2"/>
        <v>89.490000000000009</v>
      </c>
      <c r="S32" s="51">
        <f t="shared" si="3"/>
        <v>0</v>
      </c>
      <c r="T32" s="48">
        <f t="shared" si="4"/>
        <v>0</v>
      </c>
      <c r="U32" s="48">
        <v>39.71</v>
      </c>
      <c r="V32" s="30" t="s">
        <v>247</v>
      </c>
      <c r="W32" s="30">
        <v>3.17</v>
      </c>
      <c r="X32" s="38">
        <f t="shared" si="5"/>
        <v>45.549999999999955</v>
      </c>
      <c r="Y32" s="38">
        <f t="shared" si="5"/>
        <v>2.8799999999999955</v>
      </c>
      <c r="Z32" s="38">
        <f t="shared" si="5"/>
        <v>33.970000000000027</v>
      </c>
      <c r="AA32" s="38">
        <f t="shared" si="5"/>
        <v>7.0900000000000318</v>
      </c>
      <c r="AB32" s="38">
        <f>FORESTS2[[#This Row],[Column7]]+FORESTS2[[#This Row],[Column8]]</f>
        <v>41.060000000000059</v>
      </c>
      <c r="AC32" s="63">
        <f t="shared" si="6"/>
        <v>4.5549999999999953</v>
      </c>
      <c r="AD32" s="63">
        <f t="shared" si="6"/>
        <v>0.28799999999999953</v>
      </c>
      <c r="AE32" s="63">
        <f t="shared" si="7"/>
        <v>6.7940000000000058</v>
      </c>
      <c r="AF32" s="63">
        <f t="shared" si="7"/>
        <v>1.4180000000000064</v>
      </c>
      <c r="AG32" s="28">
        <v>1</v>
      </c>
    </row>
    <row r="33" spans="1:47" hidden="1" x14ac:dyDescent="0.2">
      <c r="A33" s="28">
        <v>638</v>
      </c>
      <c r="B33" s="28" t="s">
        <v>139</v>
      </c>
      <c r="C33" s="30">
        <v>87.95</v>
      </c>
      <c r="D33" s="30">
        <v>90.97</v>
      </c>
      <c r="E33" s="30">
        <v>93.99</v>
      </c>
      <c r="F33" s="30">
        <v>96.04</v>
      </c>
      <c r="G33" s="30">
        <v>98.44</v>
      </c>
      <c r="H33" s="30">
        <v>251</v>
      </c>
      <c r="I33" s="54">
        <f t="shared" si="0"/>
        <v>0.35039840637450198</v>
      </c>
      <c r="J33" s="54">
        <f t="shared" si="0"/>
        <v>0.36243027888446216</v>
      </c>
      <c r="K33" s="54">
        <f t="shared" si="0"/>
        <v>0.37446215139442229</v>
      </c>
      <c r="L33" s="54">
        <f t="shared" si="0"/>
        <v>0.38262948207171316</v>
      </c>
      <c r="M33" s="54">
        <f t="shared" si="0"/>
        <v>0.39219123505976095</v>
      </c>
      <c r="N33" s="51">
        <f>FORESTS2[[#This Row],[Area_2020]]-FORESTS2[[#This Row],[Area_1990]]</f>
        <v>10.489999999999995</v>
      </c>
      <c r="O33" s="51">
        <f>ABS(FORESTS2[[#This Row],[Area_Delta]])</f>
        <v>10.489999999999995</v>
      </c>
      <c r="P33" s="54">
        <f>FORESTS2[[#This Row],[Area_2020_%]]-FORESTS2[[#This Row],[Area_1990_%]]</f>
        <v>4.1792828685258965E-2</v>
      </c>
      <c r="Q33" s="54" t="b">
        <f t="shared" si="1"/>
        <v>1</v>
      </c>
      <c r="R33" s="51">
        <f t="shared" si="2"/>
        <v>10.489999999999995</v>
      </c>
      <c r="S33" s="51">
        <f t="shared" si="3"/>
        <v>0</v>
      </c>
      <c r="T33" s="48">
        <f t="shared" si="4"/>
        <v>0</v>
      </c>
      <c r="U33" s="48">
        <v>39.22</v>
      </c>
      <c r="V33" s="30">
        <v>0</v>
      </c>
      <c r="W33" s="30">
        <v>0</v>
      </c>
      <c r="X33" s="38">
        <f t="shared" si="5"/>
        <v>3.019999999999996</v>
      </c>
      <c r="Y33" s="38">
        <f t="shared" si="5"/>
        <v>3.019999999999996</v>
      </c>
      <c r="Z33" s="38">
        <f t="shared" si="5"/>
        <v>2.0500000000000114</v>
      </c>
      <c r="AA33" s="38">
        <f t="shared" si="5"/>
        <v>2.3999999999999915</v>
      </c>
      <c r="AB33" s="38">
        <f>FORESTS2[[#This Row],[Column7]]+FORESTS2[[#This Row],[Column8]]</f>
        <v>4.4500000000000028</v>
      </c>
      <c r="AC33" s="63">
        <f t="shared" si="6"/>
        <v>0.3019999999999996</v>
      </c>
      <c r="AD33" s="63">
        <f t="shared" si="6"/>
        <v>0.3019999999999996</v>
      </c>
      <c r="AE33" s="63">
        <f t="shared" si="7"/>
        <v>0.41000000000000225</v>
      </c>
      <c r="AF33" s="63">
        <f t="shared" si="7"/>
        <v>0.47999999999999832</v>
      </c>
    </row>
    <row r="34" spans="1:47" x14ac:dyDescent="0.2">
      <c r="A34" s="28">
        <v>300</v>
      </c>
      <c r="B34" s="28" t="s">
        <v>63</v>
      </c>
      <c r="C34" s="38">
        <v>3298.55</v>
      </c>
      <c r="D34" s="38">
        <v>3600.23</v>
      </c>
      <c r="E34" s="38">
        <v>3901.8</v>
      </c>
      <c r="F34" s="38">
        <v>3901.8</v>
      </c>
      <c r="G34" s="38">
        <v>3901.8</v>
      </c>
      <c r="H34" s="38">
        <v>12890</v>
      </c>
      <c r="I34" s="54">
        <f t="shared" si="0"/>
        <v>0.25589992242048099</v>
      </c>
      <c r="J34" s="54">
        <f t="shared" si="0"/>
        <v>0.27930411171450736</v>
      </c>
      <c r="K34" s="54">
        <f t="shared" si="0"/>
        <v>0.30269976726144299</v>
      </c>
      <c r="L34" s="54">
        <f t="shared" si="0"/>
        <v>0.30269976726144299</v>
      </c>
      <c r="M34" s="54">
        <f t="shared" si="0"/>
        <v>0.30269976726144299</v>
      </c>
      <c r="N34" s="51">
        <f>FORESTS2[[#This Row],[Area_2020]]-FORESTS2[[#This Row],[Area_1990]]</f>
        <v>603.25</v>
      </c>
      <c r="O34" s="51">
        <f>ABS(FORESTS2[[#This Row],[Area_Delta]])</f>
        <v>603.25</v>
      </c>
      <c r="P34" s="54">
        <f>FORESTS2[[#This Row],[Area_2020_%]]-FORESTS2[[#This Row],[Area_1990_%]]</f>
        <v>4.6799844840962002E-2</v>
      </c>
      <c r="Q34" s="48" t="b">
        <f t="shared" si="1"/>
        <v>1</v>
      </c>
      <c r="R34" s="51">
        <f t="shared" si="2"/>
        <v>603.25</v>
      </c>
      <c r="S34" s="51">
        <f t="shared" si="3"/>
        <v>0</v>
      </c>
      <c r="T34" s="48">
        <f t="shared" si="4"/>
        <v>0</v>
      </c>
      <c r="U34" s="43">
        <v>30.27</v>
      </c>
      <c r="V34" s="30" t="s">
        <v>247</v>
      </c>
      <c r="W34" s="38" t="s">
        <v>247</v>
      </c>
      <c r="X34" s="38">
        <f t="shared" si="5"/>
        <v>301.67999999999984</v>
      </c>
      <c r="Y34" s="38">
        <f t="shared" si="5"/>
        <v>301.57000000000016</v>
      </c>
      <c r="Z34" s="38">
        <f t="shared" si="5"/>
        <v>0</v>
      </c>
      <c r="AA34" s="38">
        <f t="shared" si="5"/>
        <v>0</v>
      </c>
      <c r="AB34" s="38">
        <f>FORESTS2[[#This Row],[Column7]]+FORESTS2[[#This Row],[Column8]]</f>
        <v>0</v>
      </c>
      <c r="AC34" s="63">
        <f t="shared" si="6"/>
        <v>30.167999999999985</v>
      </c>
      <c r="AD34" s="63">
        <f t="shared" si="6"/>
        <v>30.157000000000018</v>
      </c>
      <c r="AE34" s="63">
        <f t="shared" si="7"/>
        <v>0</v>
      </c>
      <c r="AF34" s="63">
        <f t="shared" si="7"/>
        <v>0</v>
      </c>
      <c r="AS34" cm="1">
        <f t="array" ref="AS34:AU36">_xlfn.MAKEARRAY(3, 3, _xlfn.LAMBDA(_xlpm.r,_xlpm.c, _xlpm.r*_xlpm.c))</f>
        <v>1</v>
      </c>
      <c r="AT34" s="28">
        <v>2</v>
      </c>
      <c r="AU34" s="28">
        <v>3</v>
      </c>
    </row>
    <row r="35" spans="1:47" hidden="1" x14ac:dyDescent="0.2">
      <c r="A35" s="28">
        <v>124</v>
      </c>
      <c r="B35" s="28" t="s">
        <v>28</v>
      </c>
      <c r="C35" s="46">
        <v>348272.93</v>
      </c>
      <c r="D35" s="46">
        <v>347801.97</v>
      </c>
      <c r="E35" s="46">
        <v>347322.21</v>
      </c>
      <c r="F35" s="46">
        <v>347115.71</v>
      </c>
      <c r="G35" s="46">
        <v>346928.1</v>
      </c>
      <c r="H35" s="46">
        <v>909351</v>
      </c>
      <c r="I35" s="54">
        <f t="shared" si="0"/>
        <v>0.38299064937521377</v>
      </c>
      <c r="J35" s="54">
        <f t="shared" si="0"/>
        <v>0.38247274154864291</v>
      </c>
      <c r="K35" s="54">
        <f t="shared" si="0"/>
        <v>0.38194515649072802</v>
      </c>
      <c r="L35" s="54">
        <f t="shared" si="0"/>
        <v>0.38171807145975539</v>
      </c>
      <c r="M35" s="54">
        <f t="shared" si="0"/>
        <v>0.38151175948561117</v>
      </c>
      <c r="N35" s="51">
        <f>FORESTS2[[#This Row],[Area_2020]]-FORESTS2[[#This Row],[Area_1990]]</f>
        <v>-1344.8300000000163</v>
      </c>
      <c r="O35" s="51">
        <f>ABS(FORESTS2[[#This Row],[Area_Delta]])</f>
        <v>1344.8300000000163</v>
      </c>
      <c r="P35" s="54">
        <f>FORESTS2[[#This Row],[Area_2020_%]]-FORESTS2[[#This Row],[Area_1990_%]]</f>
        <v>-1.478889889602597E-3</v>
      </c>
      <c r="Q35" s="54" t="b">
        <f t="shared" si="1"/>
        <v>0</v>
      </c>
      <c r="R35" s="51">
        <f t="shared" si="2"/>
        <v>0</v>
      </c>
      <c r="S35" s="51">
        <f t="shared" si="3"/>
        <v>1344.8300000000163</v>
      </c>
      <c r="T35" s="62">
        <f t="shared" si="4"/>
        <v>4</v>
      </c>
      <c r="U35" s="43">
        <v>38.15</v>
      </c>
      <c r="V35" s="30">
        <v>37.520000000000003</v>
      </c>
      <c r="W35" s="38">
        <v>3861.65</v>
      </c>
      <c r="X35" s="38">
        <f t="shared" si="5"/>
        <v>-470.96000000002095</v>
      </c>
      <c r="Y35" s="38">
        <f t="shared" si="5"/>
        <v>-479.75999999995111</v>
      </c>
      <c r="Z35" s="38">
        <f t="shared" si="5"/>
        <v>-206.5</v>
      </c>
      <c r="AA35" s="38">
        <f t="shared" si="5"/>
        <v>-187.61000000004424</v>
      </c>
      <c r="AB35" s="38">
        <f>FORESTS2[[#This Row],[Column7]]+FORESTS2[[#This Row],[Column8]]</f>
        <v>-394.11000000004424</v>
      </c>
      <c r="AC35" s="63">
        <f t="shared" si="6"/>
        <v>-47.096000000002093</v>
      </c>
      <c r="AD35" s="63">
        <f t="shared" si="6"/>
        <v>-47.975999999995111</v>
      </c>
      <c r="AE35" s="63">
        <f t="shared" si="7"/>
        <v>-41.3</v>
      </c>
      <c r="AF35" s="63">
        <f t="shared" si="7"/>
        <v>-37.522000000008845</v>
      </c>
      <c r="AS35" s="28">
        <v>2</v>
      </c>
      <c r="AT35" s="28">
        <v>4</v>
      </c>
      <c r="AU35" s="28">
        <v>6</v>
      </c>
    </row>
    <row r="36" spans="1:47" x14ac:dyDescent="0.2">
      <c r="A36" s="28">
        <v>152</v>
      </c>
      <c r="B36" s="28" t="s">
        <v>31</v>
      </c>
      <c r="C36" s="38">
        <v>15246.05</v>
      </c>
      <c r="D36" s="38">
        <v>15817.06</v>
      </c>
      <c r="E36" s="38">
        <v>16725.259999999998</v>
      </c>
      <c r="F36" s="38">
        <v>17596.080000000002</v>
      </c>
      <c r="G36" s="38">
        <v>18210.7</v>
      </c>
      <c r="H36" s="38">
        <v>74353</v>
      </c>
      <c r="I36" s="54">
        <f t="shared" si="0"/>
        <v>0.20504956087851195</v>
      </c>
      <c r="J36" s="54">
        <f t="shared" si="0"/>
        <v>0.21272927790405227</v>
      </c>
      <c r="K36" s="54">
        <f t="shared" si="0"/>
        <v>0.22494398343039285</v>
      </c>
      <c r="L36" s="54">
        <f t="shared" si="0"/>
        <v>0.23665595201269621</v>
      </c>
      <c r="M36" s="54">
        <f t="shared" si="0"/>
        <v>0.24492219547294664</v>
      </c>
      <c r="N36" s="51">
        <f>FORESTS2[[#This Row],[Area_2020]]-FORESTS2[[#This Row],[Area_1990]]</f>
        <v>2964.6500000000015</v>
      </c>
      <c r="O36" s="51">
        <f>ABS(FORESTS2[[#This Row],[Area_Delta]])</f>
        <v>2964.6500000000015</v>
      </c>
      <c r="P36" s="54">
        <f>FORESTS2[[#This Row],[Area_2020_%]]-FORESTS2[[#This Row],[Area_1990_%]]</f>
        <v>3.9872634594434686E-2</v>
      </c>
      <c r="Q36" s="48" t="b">
        <f t="shared" si="1"/>
        <v>1</v>
      </c>
      <c r="R36" s="51">
        <f t="shared" si="2"/>
        <v>2964.6500000000015</v>
      </c>
      <c r="S36" s="51">
        <f t="shared" si="3"/>
        <v>0</v>
      </c>
      <c r="T36" s="62">
        <f t="shared" si="4"/>
        <v>0</v>
      </c>
      <c r="U36" s="43">
        <v>24.49</v>
      </c>
      <c r="V36" s="30">
        <v>9.4</v>
      </c>
      <c r="W36" s="38">
        <v>74.95</v>
      </c>
      <c r="X36" s="38">
        <f t="shared" si="5"/>
        <v>571.01000000000022</v>
      </c>
      <c r="Y36" s="38">
        <f t="shared" si="5"/>
        <v>908.19999999999891</v>
      </c>
      <c r="Z36" s="38">
        <f t="shared" si="5"/>
        <v>870.82000000000335</v>
      </c>
      <c r="AA36" s="38">
        <f t="shared" si="5"/>
        <v>614.61999999999898</v>
      </c>
      <c r="AB36" s="38">
        <f>FORESTS2[[#This Row],[Column7]]+FORESTS2[[#This Row],[Column8]]</f>
        <v>1485.4400000000023</v>
      </c>
      <c r="AC36" s="63">
        <f t="shared" si="6"/>
        <v>57.10100000000002</v>
      </c>
      <c r="AD36" s="63">
        <f t="shared" si="6"/>
        <v>90.819999999999894</v>
      </c>
      <c r="AE36" s="63">
        <f t="shared" si="7"/>
        <v>174.16400000000067</v>
      </c>
      <c r="AF36" s="63">
        <f t="shared" si="7"/>
        <v>122.92399999999979</v>
      </c>
      <c r="AS36" s="28">
        <v>3</v>
      </c>
      <c r="AT36" s="28">
        <v>6</v>
      </c>
      <c r="AU36" s="28">
        <v>9</v>
      </c>
    </row>
    <row r="37" spans="1:47" hidden="1" x14ac:dyDescent="0.2">
      <c r="A37" s="28">
        <v>428</v>
      </c>
      <c r="B37" s="28" t="s">
        <v>89</v>
      </c>
      <c r="C37" s="38">
        <v>3173</v>
      </c>
      <c r="D37" s="38">
        <v>3241</v>
      </c>
      <c r="E37" s="38">
        <v>3372.12</v>
      </c>
      <c r="F37" s="38">
        <v>3391.44</v>
      </c>
      <c r="G37" s="38">
        <v>3410.79</v>
      </c>
      <c r="H37" s="38">
        <v>6218</v>
      </c>
      <c r="I37" s="54">
        <f t="shared" si="0"/>
        <v>0.51029269861691862</v>
      </c>
      <c r="J37" s="54">
        <f t="shared" si="0"/>
        <v>0.52122869089739465</v>
      </c>
      <c r="K37" s="54">
        <f t="shared" si="0"/>
        <v>0.5423158571888067</v>
      </c>
      <c r="L37" s="54">
        <f t="shared" si="0"/>
        <v>0.545422965583789</v>
      </c>
      <c r="M37" s="54">
        <f t="shared" si="0"/>
        <v>0.54853489868124794</v>
      </c>
      <c r="N37" s="51">
        <f>FORESTS2[[#This Row],[Area_2020]]-FORESTS2[[#This Row],[Area_1990]]</f>
        <v>237.78999999999996</v>
      </c>
      <c r="O37" s="51">
        <f>ABS(FORESTS2[[#This Row],[Area_Delta]])</f>
        <v>237.78999999999996</v>
      </c>
      <c r="P37" s="54">
        <f>FORESTS2[[#This Row],[Area_2020_%]]-FORESTS2[[#This Row],[Area_1990_%]]</f>
        <v>3.8242200064329324E-2</v>
      </c>
      <c r="Q37" s="54" t="b">
        <f t="shared" si="1"/>
        <v>1</v>
      </c>
      <c r="R37" s="51">
        <f t="shared" si="2"/>
        <v>237.78999999999996</v>
      </c>
      <c r="S37" s="51">
        <f t="shared" si="3"/>
        <v>0</v>
      </c>
      <c r="T37" s="48">
        <f t="shared" si="4"/>
        <v>0</v>
      </c>
      <c r="U37" s="43">
        <v>54.85</v>
      </c>
      <c r="V37" s="30">
        <v>0.36</v>
      </c>
      <c r="W37" s="38">
        <v>0.32</v>
      </c>
      <c r="X37" s="38">
        <f t="shared" si="5"/>
        <v>68</v>
      </c>
      <c r="Y37" s="38">
        <f t="shared" si="5"/>
        <v>131.11999999999989</v>
      </c>
      <c r="Z37" s="38">
        <f t="shared" si="5"/>
        <v>19.320000000000164</v>
      </c>
      <c r="AA37" s="38">
        <f t="shared" si="5"/>
        <v>19.349999999999909</v>
      </c>
      <c r="AB37" s="38">
        <f>FORESTS2[[#This Row],[Column7]]+FORESTS2[[#This Row],[Column8]]</f>
        <v>38.670000000000073</v>
      </c>
      <c r="AC37" s="63">
        <f t="shared" si="6"/>
        <v>6.8</v>
      </c>
      <c r="AD37" s="63">
        <f t="shared" si="6"/>
        <v>13.111999999999989</v>
      </c>
      <c r="AE37" s="63">
        <f t="shared" si="7"/>
        <v>3.8640000000000327</v>
      </c>
      <c r="AF37" s="63">
        <f t="shared" si="7"/>
        <v>3.8699999999999819</v>
      </c>
    </row>
    <row r="38" spans="1:47" hidden="1" x14ac:dyDescent="0.2">
      <c r="A38" s="28">
        <v>233</v>
      </c>
      <c r="B38" s="28" t="s">
        <v>52</v>
      </c>
      <c r="C38" s="30">
        <v>2205.9</v>
      </c>
      <c r="D38" s="30">
        <v>2238.89</v>
      </c>
      <c r="E38" s="30">
        <v>2336.02</v>
      </c>
      <c r="F38" s="30">
        <v>2421.0100000000002</v>
      </c>
      <c r="G38" s="30">
        <v>2438.4</v>
      </c>
      <c r="H38" s="30">
        <v>4347</v>
      </c>
      <c r="I38" s="54">
        <f t="shared" si="0"/>
        <v>0.50745341614906836</v>
      </c>
      <c r="J38" s="54">
        <f t="shared" si="0"/>
        <v>0.51504255808603627</v>
      </c>
      <c r="K38" s="54">
        <f t="shared" si="0"/>
        <v>0.53738670347366002</v>
      </c>
      <c r="L38" s="54">
        <f t="shared" si="0"/>
        <v>0.55693811824246608</v>
      </c>
      <c r="M38" s="54">
        <f t="shared" si="0"/>
        <v>0.5609385783298827</v>
      </c>
      <c r="N38" s="51">
        <f>FORESTS2[[#This Row],[Area_2020]]-FORESTS2[[#This Row],[Area_1990]]</f>
        <v>232.5</v>
      </c>
      <c r="O38" s="51">
        <f>ABS(FORESTS2[[#This Row],[Area_Delta]])</f>
        <v>232.5</v>
      </c>
      <c r="P38" s="54">
        <f>FORESTS2[[#This Row],[Area_2020_%]]-FORESTS2[[#This Row],[Area_1990_%]]</f>
        <v>5.3485162180814338E-2</v>
      </c>
      <c r="Q38" s="54" t="b">
        <f t="shared" si="1"/>
        <v>1</v>
      </c>
      <c r="R38" s="51">
        <f t="shared" si="2"/>
        <v>232.5</v>
      </c>
      <c r="S38" s="51">
        <f t="shared" si="3"/>
        <v>0</v>
      </c>
      <c r="T38" s="48">
        <f t="shared" si="4"/>
        <v>0</v>
      </c>
      <c r="U38" s="48">
        <v>56.09</v>
      </c>
      <c r="V38" s="30">
        <v>5.01</v>
      </c>
      <c r="W38" s="30">
        <v>0.08</v>
      </c>
      <c r="X38" s="38">
        <f t="shared" si="5"/>
        <v>32.989999999999782</v>
      </c>
      <c r="Y38" s="38">
        <f t="shared" si="5"/>
        <v>97.130000000000109</v>
      </c>
      <c r="Z38" s="38">
        <f t="shared" si="5"/>
        <v>84.990000000000236</v>
      </c>
      <c r="AA38" s="38">
        <f t="shared" si="5"/>
        <v>17.389999999999873</v>
      </c>
      <c r="AB38" s="38">
        <f>FORESTS2[[#This Row],[Column7]]+FORESTS2[[#This Row],[Column8]]</f>
        <v>102.38000000000011</v>
      </c>
      <c r="AC38" s="63">
        <f t="shared" si="6"/>
        <v>3.2989999999999782</v>
      </c>
      <c r="AD38" s="63">
        <f t="shared" si="6"/>
        <v>9.7130000000000116</v>
      </c>
      <c r="AE38" s="63">
        <f t="shared" si="7"/>
        <v>16.998000000000047</v>
      </c>
      <c r="AF38" s="63">
        <f t="shared" si="7"/>
        <v>3.4779999999999744</v>
      </c>
    </row>
    <row r="39" spans="1:47" hidden="1" x14ac:dyDescent="0.2">
      <c r="A39" s="28">
        <v>64</v>
      </c>
      <c r="B39" s="28" t="s">
        <v>17</v>
      </c>
      <c r="C39" s="30">
        <v>2506.7199999999998</v>
      </c>
      <c r="D39" s="30">
        <v>2606</v>
      </c>
      <c r="E39" s="30">
        <v>2705.29</v>
      </c>
      <c r="F39" s="30">
        <v>2715.18</v>
      </c>
      <c r="G39" s="30">
        <v>2725.08</v>
      </c>
      <c r="H39" s="30">
        <v>3812</v>
      </c>
      <c r="I39" s="54">
        <f t="shared" si="0"/>
        <v>0.65758656873032528</v>
      </c>
      <c r="J39" s="54">
        <f t="shared" si="0"/>
        <v>0.68363064008394547</v>
      </c>
      <c r="K39" s="54">
        <f t="shared" si="0"/>
        <v>0.70967733473242389</v>
      </c>
      <c r="L39" s="54">
        <f t="shared" si="0"/>
        <v>0.71227177334732417</v>
      </c>
      <c r="M39" s="54">
        <f t="shared" si="0"/>
        <v>0.71486883525708289</v>
      </c>
      <c r="N39" s="51">
        <f>FORESTS2[[#This Row],[Area_2020]]-FORESTS2[[#This Row],[Area_1990]]</f>
        <v>218.36000000000013</v>
      </c>
      <c r="O39" s="51">
        <f>ABS(FORESTS2[[#This Row],[Area_Delta]])</f>
        <v>218.36000000000013</v>
      </c>
      <c r="P39" s="54">
        <f>FORESTS2[[#This Row],[Area_2020_%]]-FORESTS2[[#This Row],[Area_1990_%]]</f>
        <v>5.7282266526757608E-2</v>
      </c>
      <c r="Q39" s="54" t="b">
        <f t="shared" si="1"/>
        <v>1</v>
      </c>
      <c r="R39" s="51">
        <f t="shared" si="2"/>
        <v>218.36000000000013</v>
      </c>
      <c r="S39" s="51">
        <f t="shared" si="3"/>
        <v>0</v>
      </c>
      <c r="T39" s="48">
        <f t="shared" si="4"/>
        <v>0</v>
      </c>
      <c r="U39" s="48">
        <v>71.489999999999995</v>
      </c>
      <c r="V39" s="30">
        <v>0.43</v>
      </c>
      <c r="W39" s="30">
        <v>6.2</v>
      </c>
      <c r="X39" s="38">
        <f t="shared" si="5"/>
        <v>99.2800000000002</v>
      </c>
      <c r="Y39" s="38">
        <f t="shared" si="5"/>
        <v>99.289999999999964</v>
      </c>
      <c r="Z39" s="38">
        <f t="shared" si="5"/>
        <v>9.8899999999998727</v>
      </c>
      <c r="AA39" s="38">
        <f t="shared" si="5"/>
        <v>9.9000000000000909</v>
      </c>
      <c r="AB39" s="38">
        <f>FORESTS2[[#This Row],[Column7]]+FORESTS2[[#This Row],[Column8]]</f>
        <v>19.789999999999964</v>
      </c>
      <c r="AC39" s="63">
        <f t="shared" si="6"/>
        <v>9.9280000000000204</v>
      </c>
      <c r="AD39" s="63">
        <f t="shared" si="6"/>
        <v>9.9289999999999967</v>
      </c>
      <c r="AE39" s="63">
        <f t="shared" si="7"/>
        <v>1.9779999999999744</v>
      </c>
      <c r="AF39" s="63">
        <f t="shared" si="7"/>
        <v>1.9800000000000182</v>
      </c>
      <c r="AG39" s="28">
        <v>1</v>
      </c>
    </row>
    <row r="40" spans="1:47" hidden="1" x14ac:dyDescent="0.2">
      <c r="A40" s="28">
        <v>499</v>
      </c>
      <c r="B40" s="28" t="s">
        <v>110</v>
      </c>
      <c r="C40" s="30">
        <v>626</v>
      </c>
      <c r="D40" s="30">
        <v>626</v>
      </c>
      <c r="E40" s="30">
        <v>827</v>
      </c>
      <c r="F40" s="30">
        <v>827</v>
      </c>
      <c r="G40" s="30">
        <v>827</v>
      </c>
      <c r="H40" s="30">
        <v>1345</v>
      </c>
      <c r="I40" s="54">
        <f t="shared" si="0"/>
        <v>0.46542750929368032</v>
      </c>
      <c r="J40" s="54">
        <f t="shared" si="0"/>
        <v>0.46542750929368032</v>
      </c>
      <c r="K40" s="54">
        <f t="shared" si="0"/>
        <v>0.61486988847583646</v>
      </c>
      <c r="L40" s="54">
        <f t="shared" si="0"/>
        <v>0.61486988847583646</v>
      </c>
      <c r="M40" s="54">
        <f t="shared" si="0"/>
        <v>0.61486988847583646</v>
      </c>
      <c r="N40" s="51">
        <f>FORESTS2[[#This Row],[Area_2020]]-FORESTS2[[#This Row],[Area_1990]]</f>
        <v>201</v>
      </c>
      <c r="O40" s="51">
        <f>ABS(FORESTS2[[#This Row],[Area_Delta]])</f>
        <v>201</v>
      </c>
      <c r="P40" s="54">
        <f>FORESTS2[[#This Row],[Area_2020_%]]-FORESTS2[[#This Row],[Area_1990_%]]</f>
        <v>0.14944237918215614</v>
      </c>
      <c r="Q40" s="54" t="b">
        <f t="shared" si="1"/>
        <v>1</v>
      </c>
      <c r="R40" s="51">
        <f t="shared" si="2"/>
        <v>201</v>
      </c>
      <c r="S40" s="51">
        <f t="shared" si="3"/>
        <v>0</v>
      </c>
      <c r="T40" s="48">
        <f t="shared" si="4"/>
        <v>0</v>
      </c>
      <c r="U40" s="48">
        <v>61.49</v>
      </c>
      <c r="V40" s="30">
        <v>12</v>
      </c>
      <c r="W40" s="30">
        <v>2.34</v>
      </c>
      <c r="X40" s="38">
        <f t="shared" si="5"/>
        <v>0</v>
      </c>
      <c r="Y40" s="38">
        <f t="shared" si="5"/>
        <v>201</v>
      </c>
      <c r="Z40" s="38">
        <f t="shared" si="5"/>
        <v>0</v>
      </c>
      <c r="AA40" s="38">
        <f t="shared" si="5"/>
        <v>0</v>
      </c>
      <c r="AB40" s="38">
        <f>FORESTS2[[#This Row],[Column7]]+FORESTS2[[#This Row],[Column8]]</f>
        <v>0</v>
      </c>
      <c r="AC40" s="63">
        <f t="shared" si="6"/>
        <v>0</v>
      </c>
      <c r="AD40" s="63">
        <f t="shared" si="6"/>
        <v>20.100000000000001</v>
      </c>
      <c r="AE40" s="63">
        <f t="shared" si="7"/>
        <v>0</v>
      </c>
      <c r="AF40" s="63">
        <f t="shared" si="7"/>
        <v>0</v>
      </c>
    </row>
    <row r="41" spans="1:47" hidden="1" x14ac:dyDescent="0.2">
      <c r="A41" s="28">
        <v>242</v>
      </c>
      <c r="B41" s="28" t="s">
        <v>55</v>
      </c>
      <c r="C41" s="30">
        <v>939.69</v>
      </c>
      <c r="D41" s="30">
        <v>1006.47</v>
      </c>
      <c r="E41" s="30">
        <v>1073.24</v>
      </c>
      <c r="F41" s="30">
        <v>1106.6199999999999</v>
      </c>
      <c r="G41" s="30">
        <v>1140.02</v>
      </c>
      <c r="H41" s="30">
        <v>1827</v>
      </c>
      <c r="I41" s="54">
        <f t="shared" si="0"/>
        <v>0.51433497536945816</v>
      </c>
      <c r="J41" s="54">
        <f t="shared" si="0"/>
        <v>0.55088669950738922</v>
      </c>
      <c r="K41" s="54">
        <f t="shared" si="0"/>
        <v>0.58743295019157094</v>
      </c>
      <c r="L41" s="54">
        <f t="shared" si="0"/>
        <v>0.60570333880678706</v>
      </c>
      <c r="M41" s="54">
        <f t="shared" si="0"/>
        <v>0.62398467432950189</v>
      </c>
      <c r="N41" s="51">
        <f>FORESTS2[[#This Row],[Area_2020]]-FORESTS2[[#This Row],[Area_1990]]</f>
        <v>200.32999999999993</v>
      </c>
      <c r="O41" s="51">
        <f>ABS(FORESTS2[[#This Row],[Area_Delta]])</f>
        <v>200.32999999999993</v>
      </c>
      <c r="P41" s="54">
        <f>FORESTS2[[#This Row],[Area_2020_%]]-FORESTS2[[#This Row],[Area_1990_%]]</f>
        <v>0.10964969896004373</v>
      </c>
      <c r="Q41" s="54" t="b">
        <f t="shared" si="1"/>
        <v>1</v>
      </c>
      <c r="R41" s="51">
        <f t="shared" si="2"/>
        <v>200.32999999999993</v>
      </c>
      <c r="S41" s="51">
        <f t="shared" si="3"/>
        <v>0</v>
      </c>
      <c r="T41" s="48">
        <f t="shared" si="4"/>
        <v>0</v>
      </c>
      <c r="U41" s="48">
        <v>62.4</v>
      </c>
      <c r="V41" s="30" t="s">
        <v>247</v>
      </c>
      <c r="W41" s="30" t="s">
        <v>247</v>
      </c>
      <c r="X41" s="38">
        <f t="shared" si="5"/>
        <v>66.779999999999973</v>
      </c>
      <c r="Y41" s="38">
        <f t="shared" si="5"/>
        <v>66.769999999999982</v>
      </c>
      <c r="Z41" s="38">
        <f t="shared" si="5"/>
        <v>33.379999999999882</v>
      </c>
      <c r="AA41" s="38">
        <f t="shared" si="5"/>
        <v>33.400000000000091</v>
      </c>
      <c r="AB41" s="38">
        <f>FORESTS2[[#This Row],[Column7]]+FORESTS2[[#This Row],[Column8]]</f>
        <v>66.779999999999973</v>
      </c>
      <c r="AC41" s="63">
        <f t="shared" si="6"/>
        <v>6.6779999999999973</v>
      </c>
      <c r="AD41" s="63">
        <f t="shared" si="6"/>
        <v>6.6769999999999978</v>
      </c>
      <c r="AE41" s="63">
        <f t="shared" si="7"/>
        <v>6.6759999999999762</v>
      </c>
      <c r="AF41" s="63">
        <f t="shared" si="7"/>
        <v>6.6800000000000184</v>
      </c>
    </row>
    <row r="42" spans="1:47" hidden="1" x14ac:dyDescent="0.2">
      <c r="A42" s="28">
        <v>175</v>
      </c>
      <c r="B42" s="28" t="s">
        <v>106</v>
      </c>
      <c r="C42" s="46">
        <v>19.100000000000001</v>
      </c>
      <c r="D42" s="46">
        <v>15.67</v>
      </c>
      <c r="E42" s="46">
        <v>14.41</v>
      </c>
      <c r="F42" s="46">
        <v>14.14</v>
      </c>
      <c r="G42" s="46">
        <v>13.89</v>
      </c>
      <c r="H42" s="46">
        <v>37</v>
      </c>
      <c r="I42" s="54">
        <f t="shared" si="0"/>
        <v>0.51621621621621627</v>
      </c>
      <c r="J42" s="54">
        <f t="shared" si="0"/>
        <v>0.42351351351351352</v>
      </c>
      <c r="K42" s="54">
        <f t="shared" si="0"/>
        <v>0.38945945945945948</v>
      </c>
      <c r="L42" s="54">
        <f t="shared" si="0"/>
        <v>0.3821621621621622</v>
      </c>
      <c r="M42" s="54">
        <f t="shared" si="0"/>
        <v>0.3754054054054054</v>
      </c>
      <c r="N42" s="51">
        <f>FORESTS2[[#This Row],[Area_2020]]-FORESTS2[[#This Row],[Area_1990]]</f>
        <v>-5.2100000000000009</v>
      </c>
      <c r="O42" s="51">
        <f>ABS(FORESTS2[[#This Row],[Area_Delta]])</f>
        <v>5.2100000000000009</v>
      </c>
      <c r="P42" s="54">
        <f>FORESTS2[[#This Row],[Area_2020_%]]-FORESTS2[[#This Row],[Area_1990_%]]</f>
        <v>-0.14081081081081087</v>
      </c>
      <c r="Q42" s="54" t="b">
        <f t="shared" si="1"/>
        <v>0</v>
      </c>
      <c r="R42" s="51">
        <f t="shared" si="2"/>
        <v>0</v>
      </c>
      <c r="S42" s="51">
        <f t="shared" si="3"/>
        <v>5.2100000000000009</v>
      </c>
      <c r="T42" s="48">
        <f t="shared" si="4"/>
        <v>4</v>
      </c>
      <c r="U42" s="48">
        <v>37.54</v>
      </c>
      <c r="V42" s="30">
        <v>0.06</v>
      </c>
      <c r="W42" s="30" t="s">
        <v>247</v>
      </c>
      <c r="X42" s="38">
        <f t="shared" si="5"/>
        <v>-3.4300000000000015</v>
      </c>
      <c r="Y42" s="38">
        <f t="shared" si="5"/>
        <v>-1.2599999999999998</v>
      </c>
      <c r="Z42" s="38">
        <f t="shared" si="5"/>
        <v>-0.26999999999999957</v>
      </c>
      <c r="AA42" s="38">
        <f t="shared" si="5"/>
        <v>-0.25</v>
      </c>
      <c r="AB42" s="38">
        <f>FORESTS2[[#This Row],[Column7]]+FORESTS2[[#This Row],[Column8]]</f>
        <v>-0.51999999999999957</v>
      </c>
      <c r="AC42" s="63">
        <f t="shared" si="6"/>
        <v>-0.34300000000000014</v>
      </c>
      <c r="AD42" s="63">
        <f t="shared" si="6"/>
        <v>-0.12599999999999997</v>
      </c>
      <c r="AE42" s="63">
        <f t="shared" si="7"/>
        <v>-5.3999999999999916E-2</v>
      </c>
      <c r="AF42" s="63">
        <f t="shared" si="7"/>
        <v>-0.05</v>
      </c>
    </row>
    <row r="43" spans="1:47" x14ac:dyDescent="0.2">
      <c r="A43" s="28">
        <v>792</v>
      </c>
      <c r="B43" s="28" t="s">
        <v>170</v>
      </c>
      <c r="C43" s="38">
        <v>19783.48</v>
      </c>
      <c r="D43" s="38">
        <v>20148.349999999999</v>
      </c>
      <c r="E43" s="38">
        <v>21083.08</v>
      </c>
      <c r="F43" s="38">
        <v>21630.3</v>
      </c>
      <c r="G43" s="38">
        <v>22220.36</v>
      </c>
      <c r="H43" s="38">
        <v>76963</v>
      </c>
      <c r="I43" s="54">
        <f t="shared" si="0"/>
        <v>0.25705183010017801</v>
      </c>
      <c r="J43" s="54">
        <f t="shared" si="0"/>
        <v>0.26179267959928793</v>
      </c>
      <c r="K43" s="54">
        <f t="shared" si="0"/>
        <v>0.27393786624741762</v>
      </c>
      <c r="L43" s="54">
        <f t="shared" si="0"/>
        <v>0.28104803606928003</v>
      </c>
      <c r="M43" s="54">
        <f t="shared" si="0"/>
        <v>0.28871483699959721</v>
      </c>
      <c r="N43" s="51">
        <f>FORESTS2[[#This Row],[Area_2020]]-FORESTS2[[#This Row],[Area_1990]]</f>
        <v>2436.880000000001</v>
      </c>
      <c r="O43" s="51">
        <f>ABS(FORESTS2[[#This Row],[Area_Delta]])</f>
        <v>2436.880000000001</v>
      </c>
      <c r="P43" s="54">
        <f>FORESTS2[[#This Row],[Area_2020_%]]-FORESTS2[[#This Row],[Area_1990_%]]</f>
        <v>3.1663006899419199E-2</v>
      </c>
      <c r="Q43" s="48" t="b">
        <f t="shared" si="1"/>
        <v>1</v>
      </c>
      <c r="R43" s="51">
        <f t="shared" si="2"/>
        <v>2436.880000000001</v>
      </c>
      <c r="S43" s="51">
        <f t="shared" si="3"/>
        <v>0</v>
      </c>
      <c r="T43" s="62">
        <f t="shared" si="4"/>
        <v>0</v>
      </c>
      <c r="U43" s="43">
        <v>28.87</v>
      </c>
      <c r="V43" s="30">
        <v>1.17</v>
      </c>
      <c r="W43" s="38">
        <v>3.22</v>
      </c>
      <c r="X43" s="38">
        <f t="shared" si="5"/>
        <v>364.86999999999898</v>
      </c>
      <c r="Y43" s="38">
        <f t="shared" si="5"/>
        <v>934.7300000000032</v>
      </c>
      <c r="Z43" s="38">
        <f t="shared" si="5"/>
        <v>547.21999999999753</v>
      </c>
      <c r="AA43" s="38">
        <f t="shared" si="5"/>
        <v>590.06000000000131</v>
      </c>
      <c r="AB43" s="38">
        <f>FORESTS2[[#This Row],[Column7]]+FORESTS2[[#This Row],[Column8]]</f>
        <v>1137.2799999999988</v>
      </c>
      <c r="AC43" s="63">
        <f t="shared" si="6"/>
        <v>36.486999999999895</v>
      </c>
      <c r="AD43" s="63">
        <f t="shared" si="6"/>
        <v>93.473000000000326</v>
      </c>
      <c r="AE43" s="63">
        <f t="shared" si="7"/>
        <v>109.44399999999951</v>
      </c>
      <c r="AF43" s="63">
        <f t="shared" si="7"/>
        <v>118.01200000000026</v>
      </c>
    </row>
    <row r="44" spans="1:47" hidden="1" x14ac:dyDescent="0.2">
      <c r="A44" s="28">
        <v>630</v>
      </c>
      <c r="B44" s="28" t="s">
        <v>134</v>
      </c>
      <c r="C44" s="30">
        <v>320.33</v>
      </c>
      <c r="D44" s="30">
        <v>429.15</v>
      </c>
      <c r="E44" s="30">
        <v>491.45</v>
      </c>
      <c r="F44" s="30">
        <v>493.88</v>
      </c>
      <c r="G44" s="30">
        <v>496.33</v>
      </c>
      <c r="H44" s="30">
        <v>887</v>
      </c>
      <c r="I44" s="54">
        <f t="shared" si="0"/>
        <v>0.36113866967305525</v>
      </c>
      <c r="J44" s="54">
        <f t="shared" si="0"/>
        <v>0.48382187147688838</v>
      </c>
      <c r="K44" s="54">
        <f t="shared" si="0"/>
        <v>0.55405862457722654</v>
      </c>
      <c r="L44" s="54">
        <f t="shared" si="0"/>
        <v>0.55679819616685455</v>
      </c>
      <c r="M44" s="54">
        <f t="shared" si="0"/>
        <v>0.55956031567080045</v>
      </c>
      <c r="N44" s="51">
        <f>FORESTS2[[#This Row],[Area_2020]]-FORESTS2[[#This Row],[Area_1990]]</f>
        <v>176</v>
      </c>
      <c r="O44" s="51">
        <f>ABS(FORESTS2[[#This Row],[Area_Delta]])</f>
        <v>176</v>
      </c>
      <c r="P44" s="54">
        <f>FORESTS2[[#This Row],[Area_2020_%]]-FORESTS2[[#This Row],[Area_1990_%]]</f>
        <v>0.1984216459977452</v>
      </c>
      <c r="Q44" s="54" t="b">
        <f t="shared" si="1"/>
        <v>1</v>
      </c>
      <c r="R44" s="51">
        <f t="shared" si="2"/>
        <v>176</v>
      </c>
      <c r="S44" s="51">
        <f t="shared" si="3"/>
        <v>0</v>
      </c>
      <c r="T44" s="48">
        <f t="shared" si="4"/>
        <v>0</v>
      </c>
      <c r="U44" s="48">
        <v>55.96</v>
      </c>
      <c r="V44" s="30" t="s">
        <v>247</v>
      </c>
      <c r="W44" s="30" t="s">
        <v>247</v>
      </c>
      <c r="X44" s="38">
        <f t="shared" si="5"/>
        <v>108.82</v>
      </c>
      <c r="Y44" s="38">
        <f t="shared" si="5"/>
        <v>62.300000000000011</v>
      </c>
      <c r="Z44" s="38">
        <f t="shared" si="5"/>
        <v>2.4300000000000068</v>
      </c>
      <c r="AA44" s="38">
        <f t="shared" si="5"/>
        <v>2.4499999999999886</v>
      </c>
      <c r="AB44" s="38">
        <f>FORESTS2[[#This Row],[Column7]]+FORESTS2[[#This Row],[Column8]]</f>
        <v>4.8799999999999955</v>
      </c>
      <c r="AC44" s="63">
        <f t="shared" si="6"/>
        <v>10.882</v>
      </c>
      <c r="AD44" s="63">
        <f t="shared" si="6"/>
        <v>6.2300000000000013</v>
      </c>
      <c r="AE44" s="63">
        <f t="shared" si="7"/>
        <v>0.48600000000000138</v>
      </c>
      <c r="AF44" s="63">
        <f t="shared" si="7"/>
        <v>0.48999999999999772</v>
      </c>
    </row>
    <row r="45" spans="1:47" hidden="1" x14ac:dyDescent="0.2">
      <c r="A45" s="28">
        <v>442</v>
      </c>
      <c r="B45" s="28" t="s">
        <v>95</v>
      </c>
      <c r="C45" s="30">
        <v>85.8</v>
      </c>
      <c r="D45" s="30">
        <v>86.7</v>
      </c>
      <c r="E45" s="30">
        <v>88.7</v>
      </c>
      <c r="F45" s="30">
        <v>88.7</v>
      </c>
      <c r="G45" s="30">
        <v>88.7</v>
      </c>
      <c r="H45" s="30">
        <v>243</v>
      </c>
      <c r="I45" s="54">
        <f t="shared" si="0"/>
        <v>0.35308641975308641</v>
      </c>
      <c r="J45" s="54">
        <f t="shared" si="0"/>
        <v>0.35679012345679012</v>
      </c>
      <c r="K45" s="54">
        <f t="shared" si="0"/>
        <v>0.36502057613168726</v>
      </c>
      <c r="L45" s="54">
        <f t="shared" si="0"/>
        <v>0.36502057613168726</v>
      </c>
      <c r="M45" s="54">
        <f t="shared" si="0"/>
        <v>0.36502057613168726</v>
      </c>
      <c r="N45" s="51">
        <f>FORESTS2[[#This Row],[Area_2020]]-FORESTS2[[#This Row],[Area_1990]]</f>
        <v>2.9000000000000057</v>
      </c>
      <c r="O45" s="51">
        <f>ABS(FORESTS2[[#This Row],[Area_Delta]])</f>
        <v>2.9000000000000057</v>
      </c>
      <c r="P45" s="54">
        <f>FORESTS2[[#This Row],[Area_2020_%]]-FORESTS2[[#This Row],[Area_1990_%]]</f>
        <v>1.1934156378600846E-2</v>
      </c>
      <c r="Q45" s="54" t="b">
        <f t="shared" si="1"/>
        <v>1</v>
      </c>
      <c r="R45" s="51">
        <f t="shared" si="2"/>
        <v>2.9000000000000057</v>
      </c>
      <c r="S45" s="51">
        <f t="shared" si="3"/>
        <v>0</v>
      </c>
      <c r="T45" s="48">
        <f t="shared" si="4"/>
        <v>0</v>
      </c>
      <c r="U45" s="48">
        <v>36.5</v>
      </c>
      <c r="V45" s="30" t="s">
        <v>247</v>
      </c>
      <c r="W45" s="30" t="s">
        <v>247</v>
      </c>
      <c r="X45" s="38">
        <f t="shared" si="5"/>
        <v>0.90000000000000568</v>
      </c>
      <c r="Y45" s="38">
        <f t="shared" si="5"/>
        <v>2</v>
      </c>
      <c r="Z45" s="38">
        <f t="shared" si="5"/>
        <v>0</v>
      </c>
      <c r="AA45" s="38">
        <f t="shared" si="5"/>
        <v>0</v>
      </c>
      <c r="AB45" s="38">
        <f>FORESTS2[[#This Row],[Column7]]+FORESTS2[[#This Row],[Column8]]</f>
        <v>0</v>
      </c>
      <c r="AC45" s="63">
        <f t="shared" si="6"/>
        <v>9.0000000000000566E-2</v>
      </c>
      <c r="AD45" s="63">
        <f t="shared" si="6"/>
        <v>0.2</v>
      </c>
      <c r="AE45" s="63">
        <f t="shared" si="7"/>
        <v>0</v>
      </c>
      <c r="AF45" s="63">
        <f t="shared" si="7"/>
        <v>0</v>
      </c>
      <c r="AG45" s="28">
        <v>1</v>
      </c>
    </row>
    <row r="46" spans="1:47" hidden="1" x14ac:dyDescent="0.2">
      <c r="A46" s="28">
        <v>188</v>
      </c>
      <c r="B46" s="28" t="s">
        <v>37</v>
      </c>
      <c r="C46" s="38">
        <v>2907.4</v>
      </c>
      <c r="D46" s="38">
        <v>2857.22</v>
      </c>
      <c r="E46" s="38">
        <v>2871.2</v>
      </c>
      <c r="F46" s="38">
        <v>2953.03</v>
      </c>
      <c r="G46" s="38">
        <v>3034.87</v>
      </c>
      <c r="H46" s="38">
        <v>5106</v>
      </c>
      <c r="I46" s="54">
        <f t="shared" si="0"/>
        <v>0.56940853897375643</v>
      </c>
      <c r="J46" s="54">
        <f t="shared" si="0"/>
        <v>0.55958088523305916</v>
      </c>
      <c r="K46" s="54">
        <f t="shared" si="0"/>
        <v>0.56231884057971016</v>
      </c>
      <c r="L46" s="54">
        <f t="shared" si="0"/>
        <v>0.57834508421464947</v>
      </c>
      <c r="M46" s="54">
        <f t="shared" si="0"/>
        <v>0.59437328632980801</v>
      </c>
      <c r="N46" s="51">
        <f>FORESTS2[[#This Row],[Area_2020]]-FORESTS2[[#This Row],[Area_1990]]</f>
        <v>127.4699999999998</v>
      </c>
      <c r="O46" s="51">
        <f>ABS(FORESTS2[[#This Row],[Area_Delta]])</f>
        <v>127.4699999999998</v>
      </c>
      <c r="P46" s="54">
        <f>FORESTS2[[#This Row],[Area_2020_%]]-FORESTS2[[#This Row],[Area_1990_%]]</f>
        <v>2.4964747356051586E-2</v>
      </c>
      <c r="Q46" s="54" t="b">
        <f t="shared" si="1"/>
        <v>1</v>
      </c>
      <c r="R46" s="51">
        <f t="shared" si="2"/>
        <v>127.4699999999998</v>
      </c>
      <c r="S46" s="51">
        <f t="shared" si="3"/>
        <v>0</v>
      </c>
      <c r="T46" s="48">
        <f t="shared" si="4"/>
        <v>1</v>
      </c>
      <c r="U46" s="43">
        <v>59.44</v>
      </c>
      <c r="V46" s="30">
        <v>0</v>
      </c>
      <c r="W46" s="38">
        <v>2</v>
      </c>
      <c r="X46" s="38">
        <f t="shared" si="5"/>
        <v>-50.180000000000291</v>
      </c>
      <c r="Y46" s="38">
        <f t="shared" si="5"/>
        <v>13.980000000000018</v>
      </c>
      <c r="Z46" s="38">
        <f t="shared" si="5"/>
        <v>81.830000000000382</v>
      </c>
      <c r="AA46" s="38">
        <f t="shared" si="5"/>
        <v>81.839999999999691</v>
      </c>
      <c r="AB46" s="38">
        <f>FORESTS2[[#This Row],[Column7]]+FORESTS2[[#This Row],[Column8]]</f>
        <v>163.67000000000007</v>
      </c>
      <c r="AC46" s="63">
        <f t="shared" si="6"/>
        <v>-5.0180000000000291</v>
      </c>
      <c r="AD46" s="63">
        <f t="shared" si="6"/>
        <v>1.3980000000000019</v>
      </c>
      <c r="AE46" s="63">
        <f t="shared" si="7"/>
        <v>16.366000000000078</v>
      </c>
      <c r="AF46" s="63">
        <f t="shared" si="7"/>
        <v>16.367999999999938</v>
      </c>
    </row>
    <row r="47" spans="1:47" hidden="1" x14ac:dyDescent="0.2">
      <c r="A47" s="28">
        <v>548</v>
      </c>
      <c r="B47" s="28" t="s">
        <v>180</v>
      </c>
      <c r="C47" s="30">
        <v>442.3</v>
      </c>
      <c r="D47" s="30">
        <v>442.3</v>
      </c>
      <c r="E47" s="30">
        <v>442.3</v>
      </c>
      <c r="F47" s="30">
        <v>442.3</v>
      </c>
      <c r="G47" s="30">
        <v>442.3</v>
      </c>
      <c r="H47" s="30">
        <v>1219</v>
      </c>
      <c r="I47" s="54">
        <f t="shared" si="0"/>
        <v>0.36283839212469238</v>
      </c>
      <c r="J47" s="54">
        <f t="shared" si="0"/>
        <v>0.36283839212469238</v>
      </c>
      <c r="K47" s="54">
        <f t="shared" si="0"/>
        <v>0.36283839212469238</v>
      </c>
      <c r="L47" s="54">
        <f t="shared" si="0"/>
        <v>0.36283839212469238</v>
      </c>
      <c r="M47" s="54">
        <f t="shared" si="0"/>
        <v>0.36283839212469238</v>
      </c>
      <c r="N47" s="51">
        <f>FORESTS2[[#This Row],[Area_2020]]-FORESTS2[[#This Row],[Area_1990]]</f>
        <v>0</v>
      </c>
      <c r="O47" s="51">
        <f>ABS(FORESTS2[[#This Row],[Area_Delta]])</f>
        <v>0</v>
      </c>
      <c r="P47" s="54">
        <f>FORESTS2[[#This Row],[Area_2020_%]]-FORESTS2[[#This Row],[Area_1990_%]]</f>
        <v>0</v>
      </c>
      <c r="Q47" s="54" t="b">
        <f t="shared" si="1"/>
        <v>0</v>
      </c>
      <c r="R47" s="51">
        <f t="shared" si="2"/>
        <v>0</v>
      </c>
      <c r="S47" s="51">
        <f t="shared" si="3"/>
        <v>0</v>
      </c>
      <c r="T47" s="48">
        <f t="shared" si="4"/>
        <v>0</v>
      </c>
      <c r="U47" s="48">
        <v>36.28</v>
      </c>
      <c r="V47" s="30" t="s">
        <v>247</v>
      </c>
      <c r="W47" s="30" t="s">
        <v>247</v>
      </c>
      <c r="X47" s="38">
        <f t="shared" si="5"/>
        <v>0</v>
      </c>
      <c r="Y47" s="38">
        <f t="shared" si="5"/>
        <v>0</v>
      </c>
      <c r="Z47" s="38">
        <f t="shared" si="5"/>
        <v>0</v>
      </c>
      <c r="AA47" s="38">
        <f t="shared" si="5"/>
        <v>0</v>
      </c>
      <c r="AB47" s="38">
        <f>FORESTS2[[#This Row],[Column7]]+FORESTS2[[#This Row],[Column8]]</f>
        <v>0</v>
      </c>
      <c r="AC47" s="63">
        <f t="shared" si="6"/>
        <v>0</v>
      </c>
      <c r="AD47" s="63">
        <f t="shared" si="6"/>
        <v>0</v>
      </c>
      <c r="AE47" s="63">
        <f t="shared" si="7"/>
        <v>0</v>
      </c>
      <c r="AF47" s="63">
        <f t="shared" si="7"/>
        <v>0</v>
      </c>
    </row>
    <row r="48" spans="1:47" hidden="1" x14ac:dyDescent="0.2">
      <c r="A48" s="28">
        <v>620</v>
      </c>
      <c r="B48" s="28" t="s">
        <v>133</v>
      </c>
      <c r="C48" s="38">
        <v>3399</v>
      </c>
      <c r="D48" s="38">
        <v>3281</v>
      </c>
      <c r="E48" s="38">
        <v>3252</v>
      </c>
      <c r="F48" s="38">
        <v>3312</v>
      </c>
      <c r="G48" s="38">
        <v>3312</v>
      </c>
      <c r="H48" s="38">
        <v>9161</v>
      </c>
      <c r="I48" s="54">
        <f t="shared" si="0"/>
        <v>0.37102936360659317</v>
      </c>
      <c r="J48" s="54">
        <f t="shared" si="0"/>
        <v>0.35814867372557579</v>
      </c>
      <c r="K48" s="54">
        <f t="shared" si="0"/>
        <v>0.35498308044973254</v>
      </c>
      <c r="L48" s="54">
        <f t="shared" si="0"/>
        <v>0.36153258377906344</v>
      </c>
      <c r="M48" s="54">
        <f t="shared" si="0"/>
        <v>0.36153258377906344</v>
      </c>
      <c r="N48" s="51">
        <f>FORESTS2[[#This Row],[Area_2020]]-FORESTS2[[#This Row],[Area_1990]]</f>
        <v>-87</v>
      </c>
      <c r="O48" s="51">
        <f>ABS(FORESTS2[[#This Row],[Area_Delta]])</f>
        <v>87</v>
      </c>
      <c r="P48" s="54">
        <f>FORESTS2[[#This Row],[Area_2020_%]]-FORESTS2[[#This Row],[Area_1990_%]]</f>
        <v>-9.4967798275297222E-3</v>
      </c>
      <c r="Q48" s="54" t="b">
        <f t="shared" si="1"/>
        <v>0</v>
      </c>
      <c r="R48" s="51">
        <f t="shared" si="2"/>
        <v>0</v>
      </c>
      <c r="S48" s="51">
        <f t="shared" si="3"/>
        <v>87</v>
      </c>
      <c r="T48" s="48">
        <f t="shared" si="4"/>
        <v>2</v>
      </c>
      <c r="U48" s="43">
        <v>36.15</v>
      </c>
      <c r="V48" s="30" t="s">
        <v>247</v>
      </c>
      <c r="W48" s="38">
        <v>23.5</v>
      </c>
      <c r="X48" s="38">
        <f t="shared" si="5"/>
        <v>-118</v>
      </c>
      <c r="Y48" s="38">
        <f t="shared" si="5"/>
        <v>-29</v>
      </c>
      <c r="Z48" s="38">
        <f t="shared" si="5"/>
        <v>60</v>
      </c>
      <c r="AA48" s="38">
        <f t="shared" si="5"/>
        <v>0</v>
      </c>
      <c r="AB48" s="38">
        <f>FORESTS2[[#This Row],[Column7]]+FORESTS2[[#This Row],[Column8]]</f>
        <v>60</v>
      </c>
      <c r="AC48" s="63">
        <f t="shared" si="6"/>
        <v>-11.8</v>
      </c>
      <c r="AD48" s="63">
        <f t="shared" si="6"/>
        <v>-2.9</v>
      </c>
      <c r="AE48" s="63">
        <f t="shared" si="7"/>
        <v>12</v>
      </c>
      <c r="AF48" s="63">
        <f t="shared" si="7"/>
        <v>0</v>
      </c>
    </row>
    <row r="49" spans="1:47" x14ac:dyDescent="0.2">
      <c r="A49" s="28">
        <v>356</v>
      </c>
      <c r="B49" s="28" t="s">
        <v>75</v>
      </c>
      <c r="C49" s="38">
        <v>63938</v>
      </c>
      <c r="D49" s="38">
        <v>67591</v>
      </c>
      <c r="E49" s="38">
        <v>69496</v>
      </c>
      <c r="F49" s="38">
        <v>70828</v>
      </c>
      <c r="G49" s="38">
        <v>72160</v>
      </c>
      <c r="H49" s="38">
        <v>297319</v>
      </c>
      <c r="I49" s="54">
        <f t="shared" si="0"/>
        <v>0.21504848327890247</v>
      </c>
      <c r="J49" s="54">
        <f t="shared" si="0"/>
        <v>0.22733495000319523</v>
      </c>
      <c r="K49" s="54">
        <f t="shared" si="0"/>
        <v>0.23374220954597588</v>
      </c>
      <c r="L49" s="54">
        <f t="shared" si="0"/>
        <v>0.23822224613966816</v>
      </c>
      <c r="M49" s="54">
        <f t="shared" si="0"/>
        <v>0.24270228273336047</v>
      </c>
      <c r="N49" s="51">
        <f>FORESTS2[[#This Row],[Area_2020]]-FORESTS2[[#This Row],[Area_1990]]</f>
        <v>8222</v>
      </c>
      <c r="O49" s="51">
        <f>ABS(FORESTS2[[#This Row],[Area_Delta]])</f>
        <v>8222</v>
      </c>
      <c r="P49" s="54">
        <f>FORESTS2[[#This Row],[Area_2020_%]]-FORESTS2[[#This Row],[Area_1990_%]]</f>
        <v>2.7653799454458006E-2</v>
      </c>
      <c r="Q49" s="48" t="b">
        <f t="shared" si="1"/>
        <v>1</v>
      </c>
      <c r="R49" s="51">
        <f t="shared" si="2"/>
        <v>8222</v>
      </c>
      <c r="S49" s="51">
        <f t="shared" si="3"/>
        <v>0</v>
      </c>
      <c r="T49" s="62">
        <f t="shared" si="4"/>
        <v>0</v>
      </c>
      <c r="U49" s="43">
        <v>24.27</v>
      </c>
      <c r="V49" s="30">
        <v>668.4</v>
      </c>
      <c r="W49" s="38">
        <v>3577</v>
      </c>
      <c r="X49" s="38">
        <f t="shared" si="5"/>
        <v>3653</v>
      </c>
      <c r="Y49" s="38">
        <f t="shared" si="5"/>
        <v>1905</v>
      </c>
      <c r="Z49" s="38">
        <f t="shared" si="5"/>
        <v>1332</v>
      </c>
      <c r="AA49" s="38">
        <f t="shared" si="5"/>
        <v>1332</v>
      </c>
      <c r="AB49" s="38">
        <f>FORESTS2[[#This Row],[Column7]]+FORESTS2[[#This Row],[Column8]]</f>
        <v>2664</v>
      </c>
      <c r="AC49" s="63">
        <f t="shared" si="6"/>
        <v>365.3</v>
      </c>
      <c r="AD49" s="63">
        <f t="shared" si="6"/>
        <v>190.5</v>
      </c>
      <c r="AE49" s="63">
        <f t="shared" si="7"/>
        <v>266.39999999999998</v>
      </c>
      <c r="AF49" s="63">
        <f t="shared" si="7"/>
        <v>266.39999999999998</v>
      </c>
      <c r="AG49" s="28">
        <v>1</v>
      </c>
      <c r="AS49" cm="1">
        <f t="array" ref="AS49:AU51">_xlfn.MAKEARRAY(3, 3, _xlfn.LAMBDA(_xlpm.r,_xlpm.c, _xlpm.r*_xlpm.c))</f>
        <v>1</v>
      </c>
      <c r="AT49" s="28">
        <v>2</v>
      </c>
      <c r="AU49" s="28">
        <v>3</v>
      </c>
    </row>
    <row r="50" spans="1:47" hidden="1" x14ac:dyDescent="0.2">
      <c r="A50" s="28">
        <v>140</v>
      </c>
      <c r="B50" s="28" t="s">
        <v>29</v>
      </c>
      <c r="C50" s="46">
        <v>23203</v>
      </c>
      <c r="D50" s="46">
        <v>22903</v>
      </c>
      <c r="E50" s="46">
        <v>22603</v>
      </c>
      <c r="F50" s="46">
        <v>22453</v>
      </c>
      <c r="G50" s="46">
        <v>22303</v>
      </c>
      <c r="H50" s="46">
        <v>62298</v>
      </c>
      <c r="I50" s="54">
        <f t="shared" si="0"/>
        <v>0.37245176410157632</v>
      </c>
      <c r="J50" s="54">
        <f t="shared" si="0"/>
        <v>0.36763620019904331</v>
      </c>
      <c r="K50" s="54">
        <f t="shared" si="0"/>
        <v>0.36282063629651035</v>
      </c>
      <c r="L50" s="54">
        <f t="shared" si="0"/>
        <v>0.36041285434524384</v>
      </c>
      <c r="M50" s="54">
        <f t="shared" si="0"/>
        <v>0.35800507239397733</v>
      </c>
      <c r="N50" s="51">
        <f>FORESTS2[[#This Row],[Area_2020]]-FORESTS2[[#This Row],[Area_1990]]</f>
        <v>-900</v>
      </c>
      <c r="O50" s="51">
        <f>ABS(FORESTS2[[#This Row],[Area_Delta]])</f>
        <v>900</v>
      </c>
      <c r="P50" s="54">
        <f>FORESTS2[[#This Row],[Area_2020_%]]-FORESTS2[[#This Row],[Area_1990_%]]</f>
        <v>-1.4446691707598991E-2</v>
      </c>
      <c r="Q50" s="54" t="b">
        <f t="shared" si="1"/>
        <v>0</v>
      </c>
      <c r="R50" s="51">
        <f t="shared" si="2"/>
        <v>0</v>
      </c>
      <c r="S50" s="51">
        <f t="shared" si="3"/>
        <v>900</v>
      </c>
      <c r="T50" s="62">
        <f t="shared" si="4"/>
        <v>4</v>
      </c>
      <c r="U50" s="43">
        <v>35.799999999999997</v>
      </c>
      <c r="V50" s="30">
        <v>30</v>
      </c>
      <c r="W50" s="38" t="s">
        <v>247</v>
      </c>
      <c r="X50" s="38">
        <f t="shared" si="5"/>
        <v>-300</v>
      </c>
      <c r="Y50" s="38">
        <f t="shared" si="5"/>
        <v>-300</v>
      </c>
      <c r="Z50" s="38">
        <f t="shared" si="5"/>
        <v>-150</v>
      </c>
      <c r="AA50" s="38">
        <f t="shared" si="5"/>
        <v>-150</v>
      </c>
      <c r="AB50" s="38">
        <f>FORESTS2[[#This Row],[Column7]]+FORESTS2[[#This Row],[Column8]]</f>
        <v>-300</v>
      </c>
      <c r="AC50" s="63">
        <f t="shared" si="6"/>
        <v>-30</v>
      </c>
      <c r="AD50" s="63">
        <f t="shared" si="6"/>
        <v>-30</v>
      </c>
      <c r="AE50" s="63">
        <f t="shared" si="7"/>
        <v>-30</v>
      </c>
      <c r="AF50" s="63">
        <f t="shared" si="7"/>
        <v>-30</v>
      </c>
      <c r="AG50" s="28">
        <v>1</v>
      </c>
      <c r="AS50" s="28">
        <v>2</v>
      </c>
      <c r="AT50" s="28">
        <v>4</v>
      </c>
      <c r="AU50" s="28">
        <v>6</v>
      </c>
    </row>
    <row r="51" spans="1:47" hidden="1" x14ac:dyDescent="0.2">
      <c r="A51" s="28">
        <v>440</v>
      </c>
      <c r="B51" s="28" t="s">
        <v>94</v>
      </c>
      <c r="C51" s="38">
        <v>1945</v>
      </c>
      <c r="D51" s="38">
        <v>2020</v>
      </c>
      <c r="E51" s="38">
        <v>2170</v>
      </c>
      <c r="F51" s="38">
        <v>2187</v>
      </c>
      <c r="G51" s="38">
        <v>2201</v>
      </c>
      <c r="H51" s="38">
        <v>6265</v>
      </c>
      <c r="I51" s="54">
        <f t="shared" si="0"/>
        <v>0.31045490822027133</v>
      </c>
      <c r="J51" s="54">
        <f t="shared" si="0"/>
        <v>0.3224261771747805</v>
      </c>
      <c r="K51" s="54">
        <f t="shared" si="0"/>
        <v>0.34636871508379891</v>
      </c>
      <c r="L51" s="54">
        <f t="shared" si="0"/>
        <v>0.34908220271348761</v>
      </c>
      <c r="M51" s="54">
        <f t="shared" si="0"/>
        <v>0.35131683958499599</v>
      </c>
      <c r="N51" s="51">
        <f>FORESTS2[[#This Row],[Area_2020]]-FORESTS2[[#This Row],[Area_1990]]</f>
        <v>256</v>
      </c>
      <c r="O51" s="51">
        <f>ABS(FORESTS2[[#This Row],[Area_Delta]])</f>
        <v>256</v>
      </c>
      <c r="P51" s="54">
        <f>FORESTS2[[#This Row],[Area_2020_%]]-FORESTS2[[#This Row],[Area_1990_%]]</f>
        <v>4.0861931364724657E-2</v>
      </c>
      <c r="Q51" s="54" t="b">
        <f t="shared" si="1"/>
        <v>1</v>
      </c>
      <c r="R51" s="51">
        <f t="shared" si="2"/>
        <v>256</v>
      </c>
      <c r="S51" s="51">
        <f t="shared" si="3"/>
        <v>0</v>
      </c>
      <c r="T51" s="48">
        <f t="shared" si="4"/>
        <v>0</v>
      </c>
      <c r="U51" s="43">
        <v>35.130000000000003</v>
      </c>
      <c r="V51" s="30">
        <v>0.14000000000000001</v>
      </c>
      <c r="W51" s="38">
        <v>7.0000000000000007E-2</v>
      </c>
      <c r="X51" s="38">
        <f t="shared" si="5"/>
        <v>75</v>
      </c>
      <c r="Y51" s="38">
        <f t="shared" si="5"/>
        <v>150</v>
      </c>
      <c r="Z51" s="38">
        <f t="shared" si="5"/>
        <v>17</v>
      </c>
      <c r="AA51" s="38">
        <f t="shared" si="5"/>
        <v>14</v>
      </c>
      <c r="AB51" s="38">
        <f>FORESTS2[[#This Row],[Column7]]+FORESTS2[[#This Row],[Column8]]</f>
        <v>31</v>
      </c>
      <c r="AC51" s="63">
        <f t="shared" si="6"/>
        <v>7.5</v>
      </c>
      <c r="AD51" s="63">
        <f t="shared" si="6"/>
        <v>15</v>
      </c>
      <c r="AE51" s="63">
        <f t="shared" si="7"/>
        <v>3.4</v>
      </c>
      <c r="AF51" s="63">
        <f t="shared" si="7"/>
        <v>2.8</v>
      </c>
      <c r="AG51" s="28">
        <v>1</v>
      </c>
      <c r="AS51" s="28">
        <v>3</v>
      </c>
      <c r="AT51" s="28">
        <v>6</v>
      </c>
      <c r="AU51" s="28">
        <v>9</v>
      </c>
    </row>
    <row r="52" spans="1:47" hidden="1" x14ac:dyDescent="0.2">
      <c r="A52" s="28">
        <v>694</v>
      </c>
      <c r="B52" s="28" t="s">
        <v>147</v>
      </c>
      <c r="C52" s="46">
        <v>3126.7</v>
      </c>
      <c r="D52" s="46">
        <v>2929.43</v>
      </c>
      <c r="E52" s="46">
        <v>2732.16</v>
      </c>
      <c r="F52" s="46">
        <v>2633.53</v>
      </c>
      <c r="G52" s="46">
        <v>2534.88</v>
      </c>
      <c r="H52" s="46">
        <v>7218</v>
      </c>
      <c r="I52" s="54">
        <f t="shared" si="0"/>
        <v>0.43318093654752005</v>
      </c>
      <c r="J52" s="54">
        <f t="shared" si="0"/>
        <v>0.40585065114990299</v>
      </c>
      <c r="K52" s="54">
        <f t="shared" si="0"/>
        <v>0.37852036575228593</v>
      </c>
      <c r="L52" s="54">
        <f t="shared" si="0"/>
        <v>0.36485591576614024</v>
      </c>
      <c r="M52" s="54">
        <f t="shared" si="0"/>
        <v>0.35118869492934335</v>
      </c>
      <c r="N52" s="51">
        <f>FORESTS2[[#This Row],[Area_2020]]-FORESTS2[[#This Row],[Area_1990]]</f>
        <v>-591.81999999999971</v>
      </c>
      <c r="O52" s="51">
        <f>ABS(FORESTS2[[#This Row],[Area_Delta]])</f>
        <v>591.81999999999971</v>
      </c>
      <c r="P52" s="54">
        <f>FORESTS2[[#This Row],[Area_2020_%]]-FORESTS2[[#This Row],[Area_1990_%]]</f>
        <v>-8.1992241618176698E-2</v>
      </c>
      <c r="Q52" s="54" t="b">
        <f t="shared" si="1"/>
        <v>0</v>
      </c>
      <c r="R52" s="51">
        <f t="shared" si="2"/>
        <v>0</v>
      </c>
      <c r="S52" s="51">
        <f t="shared" si="3"/>
        <v>591.81999999999971</v>
      </c>
      <c r="T52" s="48">
        <f t="shared" si="4"/>
        <v>4</v>
      </c>
      <c r="U52" s="43">
        <v>35.119999999999997</v>
      </c>
      <c r="V52" s="30" t="s">
        <v>247</v>
      </c>
      <c r="W52" s="38" t="s">
        <v>247</v>
      </c>
      <c r="X52" s="38">
        <f t="shared" si="5"/>
        <v>-197.26999999999998</v>
      </c>
      <c r="Y52" s="38">
        <f t="shared" si="5"/>
        <v>-197.26999999999998</v>
      </c>
      <c r="Z52" s="38">
        <f t="shared" si="5"/>
        <v>-98.629999999999654</v>
      </c>
      <c r="AA52" s="38">
        <f t="shared" si="5"/>
        <v>-98.650000000000091</v>
      </c>
      <c r="AB52" s="38">
        <f>FORESTS2[[#This Row],[Column7]]+FORESTS2[[#This Row],[Column8]]</f>
        <v>-197.27999999999975</v>
      </c>
      <c r="AC52" s="63">
        <f t="shared" si="6"/>
        <v>-19.726999999999997</v>
      </c>
      <c r="AD52" s="63">
        <f t="shared" si="6"/>
        <v>-19.726999999999997</v>
      </c>
      <c r="AE52" s="63">
        <f t="shared" si="7"/>
        <v>-19.725999999999932</v>
      </c>
      <c r="AF52" s="63">
        <f t="shared" si="7"/>
        <v>-19.730000000000018</v>
      </c>
    </row>
    <row r="53" spans="1:47" hidden="1" x14ac:dyDescent="0.2">
      <c r="A53" s="28">
        <v>288</v>
      </c>
      <c r="B53" s="28" t="s">
        <v>62</v>
      </c>
      <c r="C53" s="38">
        <v>9924.26</v>
      </c>
      <c r="D53" s="38">
        <v>8848.61</v>
      </c>
      <c r="E53" s="38">
        <v>7942.93</v>
      </c>
      <c r="F53" s="38">
        <v>7880.44</v>
      </c>
      <c r="G53" s="38">
        <v>7985.71</v>
      </c>
      <c r="H53" s="38">
        <v>22754</v>
      </c>
      <c r="I53" s="54">
        <f t="shared" si="0"/>
        <v>0.43615452228179663</v>
      </c>
      <c r="J53" s="54">
        <f t="shared" si="0"/>
        <v>0.38888151533796256</v>
      </c>
      <c r="K53" s="54">
        <f t="shared" si="0"/>
        <v>0.34907840379713456</v>
      </c>
      <c r="L53" s="54">
        <f t="shared" si="0"/>
        <v>0.34633207348158562</v>
      </c>
      <c r="M53" s="54">
        <f t="shared" si="0"/>
        <v>0.35095851278896018</v>
      </c>
      <c r="N53" s="51">
        <f>FORESTS2[[#This Row],[Area_2020]]-FORESTS2[[#This Row],[Area_1990]]</f>
        <v>-1938.5500000000002</v>
      </c>
      <c r="O53" s="51">
        <f>ABS(FORESTS2[[#This Row],[Area_Delta]])</f>
        <v>1938.5500000000002</v>
      </c>
      <c r="P53" s="54">
        <f>FORESTS2[[#This Row],[Area_2020_%]]-FORESTS2[[#This Row],[Area_1990_%]]</f>
        <v>-8.5196009492836455E-2</v>
      </c>
      <c r="Q53" s="54" t="b">
        <f t="shared" si="1"/>
        <v>0</v>
      </c>
      <c r="R53" s="51">
        <f t="shared" si="2"/>
        <v>0</v>
      </c>
      <c r="S53" s="51">
        <f t="shared" si="3"/>
        <v>1938.5500000000002</v>
      </c>
      <c r="T53" s="48">
        <f t="shared" si="4"/>
        <v>3</v>
      </c>
      <c r="U53" s="43">
        <v>35.1</v>
      </c>
      <c r="V53" s="30" t="s">
        <v>247</v>
      </c>
      <c r="W53" s="38" t="s">
        <v>247</v>
      </c>
      <c r="X53" s="38">
        <f t="shared" si="5"/>
        <v>-1075.6499999999996</v>
      </c>
      <c r="Y53" s="38">
        <f t="shared" si="5"/>
        <v>-905.68000000000029</v>
      </c>
      <c r="Z53" s="38">
        <f t="shared" si="5"/>
        <v>-62.490000000000691</v>
      </c>
      <c r="AA53" s="38">
        <f t="shared" si="5"/>
        <v>105.27000000000044</v>
      </c>
      <c r="AB53" s="38">
        <f>FORESTS2[[#This Row],[Column7]]+FORESTS2[[#This Row],[Column8]]</f>
        <v>42.779999999999745</v>
      </c>
      <c r="AC53" s="63">
        <f t="shared" si="6"/>
        <v>-107.56499999999997</v>
      </c>
      <c r="AD53" s="63">
        <f t="shared" si="6"/>
        <v>-90.568000000000026</v>
      </c>
      <c r="AE53" s="63">
        <f t="shared" si="7"/>
        <v>-12.498000000000138</v>
      </c>
      <c r="AF53" s="63">
        <f t="shared" si="7"/>
        <v>21.054000000000087</v>
      </c>
    </row>
    <row r="54" spans="1:47" hidden="1" x14ac:dyDescent="0.2">
      <c r="A54" s="28">
        <v>388</v>
      </c>
      <c r="B54" s="28" t="s">
        <v>82</v>
      </c>
      <c r="C54" s="30">
        <v>521.28</v>
      </c>
      <c r="D54" s="30">
        <v>521</v>
      </c>
      <c r="E54" s="30">
        <v>558.45000000000005</v>
      </c>
      <c r="F54" s="30">
        <v>577.46</v>
      </c>
      <c r="G54" s="30">
        <v>596.89</v>
      </c>
      <c r="H54" s="30">
        <v>1083</v>
      </c>
      <c r="I54" s="54">
        <f t="shared" si="0"/>
        <v>0.48132963988919664</v>
      </c>
      <c r="J54" s="54">
        <f t="shared" si="0"/>
        <v>0.48107109879963067</v>
      </c>
      <c r="K54" s="54">
        <f t="shared" si="0"/>
        <v>0.51565096952908596</v>
      </c>
      <c r="L54" s="54">
        <f t="shared" si="0"/>
        <v>0.53320406278855037</v>
      </c>
      <c r="M54" s="54">
        <f t="shared" si="0"/>
        <v>0.55114496768236376</v>
      </c>
      <c r="N54" s="51">
        <f>FORESTS2[[#This Row],[Area_2020]]-FORESTS2[[#This Row],[Area_1990]]</f>
        <v>75.610000000000014</v>
      </c>
      <c r="O54" s="51">
        <f>ABS(FORESTS2[[#This Row],[Area_Delta]])</f>
        <v>75.610000000000014</v>
      </c>
      <c r="P54" s="54">
        <f>FORESTS2[[#This Row],[Area_2020_%]]-FORESTS2[[#This Row],[Area_1990_%]]</f>
        <v>6.9815327793167126E-2</v>
      </c>
      <c r="Q54" s="54" t="b">
        <f t="shared" si="1"/>
        <v>1</v>
      </c>
      <c r="R54" s="51">
        <f t="shared" si="2"/>
        <v>75.610000000000014</v>
      </c>
      <c r="S54" s="51">
        <f t="shared" si="3"/>
        <v>0</v>
      </c>
      <c r="T54" s="48">
        <f t="shared" si="4"/>
        <v>1</v>
      </c>
      <c r="U54" s="48">
        <v>55.11</v>
      </c>
      <c r="V54" s="30">
        <v>0.54</v>
      </c>
      <c r="W54" s="30" t="s">
        <v>247</v>
      </c>
      <c r="X54" s="38">
        <f t="shared" si="5"/>
        <v>-0.27999999999997272</v>
      </c>
      <c r="Y54" s="38">
        <f t="shared" si="5"/>
        <v>37.450000000000045</v>
      </c>
      <c r="Z54" s="38">
        <f t="shared" si="5"/>
        <v>19.009999999999991</v>
      </c>
      <c r="AA54" s="38">
        <f t="shared" si="5"/>
        <v>19.42999999999995</v>
      </c>
      <c r="AB54" s="38">
        <f>FORESTS2[[#This Row],[Column7]]+FORESTS2[[#This Row],[Column8]]</f>
        <v>38.439999999999941</v>
      </c>
      <c r="AC54" s="63">
        <f t="shared" si="6"/>
        <v>-2.799999999999727E-2</v>
      </c>
      <c r="AD54" s="63">
        <f t="shared" si="6"/>
        <v>3.7450000000000045</v>
      </c>
      <c r="AE54" s="63">
        <f t="shared" si="7"/>
        <v>3.8019999999999983</v>
      </c>
      <c r="AF54" s="63">
        <f t="shared" si="7"/>
        <v>3.8859999999999899</v>
      </c>
      <c r="AG54" s="28">
        <v>1</v>
      </c>
    </row>
    <row r="55" spans="1:47" hidden="1" x14ac:dyDescent="0.2">
      <c r="A55" s="28">
        <v>203</v>
      </c>
      <c r="B55" s="28" t="s">
        <v>41</v>
      </c>
      <c r="C55" s="38">
        <v>2629.42</v>
      </c>
      <c r="D55" s="38">
        <v>2637.29</v>
      </c>
      <c r="E55" s="38">
        <v>2657.38</v>
      </c>
      <c r="F55" s="38">
        <v>2668.39</v>
      </c>
      <c r="G55" s="38">
        <v>2677.09</v>
      </c>
      <c r="H55" s="38">
        <v>7721</v>
      </c>
      <c r="I55" s="54">
        <f t="shared" ref="I55:M105" si="8">C55/$H55</f>
        <v>0.34055433234037041</v>
      </c>
      <c r="J55" s="54">
        <f t="shared" si="8"/>
        <v>0.34157363035876182</v>
      </c>
      <c r="K55" s="54">
        <f t="shared" si="8"/>
        <v>0.34417562491905196</v>
      </c>
      <c r="L55" s="54">
        <f t="shared" si="8"/>
        <v>0.34560160600958423</v>
      </c>
      <c r="M55" s="54">
        <f t="shared" si="8"/>
        <v>0.34672840305659891</v>
      </c>
      <c r="N55" s="51">
        <f>FORESTS2[[#This Row],[Area_2020]]-FORESTS2[[#This Row],[Area_1990]]</f>
        <v>47.670000000000073</v>
      </c>
      <c r="O55" s="51">
        <f>ABS(FORESTS2[[#This Row],[Area_Delta]])</f>
        <v>47.670000000000073</v>
      </c>
      <c r="P55" s="54">
        <f>FORESTS2[[#This Row],[Area_2020_%]]-FORESTS2[[#This Row],[Area_1990_%]]</f>
        <v>6.1740707162284969E-3</v>
      </c>
      <c r="Q55" s="54" t="b">
        <f t="shared" si="1"/>
        <v>1</v>
      </c>
      <c r="R55" s="51">
        <f t="shared" si="2"/>
        <v>47.670000000000073</v>
      </c>
      <c r="S55" s="51">
        <f t="shared" si="3"/>
        <v>0</v>
      </c>
      <c r="T55" s="48">
        <f t="shared" si="4"/>
        <v>0</v>
      </c>
      <c r="U55" s="43">
        <v>34.67</v>
      </c>
      <c r="V55" s="30" t="s">
        <v>247</v>
      </c>
      <c r="W55" s="38">
        <v>0.34</v>
      </c>
      <c r="X55" s="38">
        <f t="shared" si="5"/>
        <v>7.8699999999998909</v>
      </c>
      <c r="Y55" s="38">
        <f t="shared" si="5"/>
        <v>20.090000000000146</v>
      </c>
      <c r="Z55" s="38">
        <f t="shared" si="5"/>
        <v>11.009999999999764</v>
      </c>
      <c r="AA55" s="38">
        <f t="shared" si="5"/>
        <v>8.7000000000002728</v>
      </c>
      <c r="AB55" s="38">
        <f>FORESTS2[[#This Row],[Column7]]+FORESTS2[[#This Row],[Column8]]</f>
        <v>19.710000000000036</v>
      </c>
      <c r="AC55" s="63">
        <f t="shared" si="6"/>
        <v>0.78699999999998904</v>
      </c>
      <c r="AD55" s="63">
        <f t="shared" si="6"/>
        <v>2.0090000000000146</v>
      </c>
      <c r="AE55" s="63">
        <f t="shared" si="7"/>
        <v>2.2019999999999529</v>
      </c>
      <c r="AF55" s="63">
        <f t="shared" si="7"/>
        <v>1.7400000000000546</v>
      </c>
    </row>
    <row r="56" spans="1:47" hidden="1" x14ac:dyDescent="0.2">
      <c r="A56" s="28">
        <v>191</v>
      </c>
      <c r="B56" s="28" t="s">
        <v>38</v>
      </c>
      <c r="C56" s="38">
        <v>1850</v>
      </c>
      <c r="D56" s="38">
        <v>1885</v>
      </c>
      <c r="E56" s="38">
        <v>1920</v>
      </c>
      <c r="F56" s="38">
        <v>1922</v>
      </c>
      <c r="G56" s="38">
        <v>1939.11</v>
      </c>
      <c r="H56" s="38">
        <v>5596</v>
      </c>
      <c r="I56" s="54">
        <f t="shared" si="8"/>
        <v>0.33059328091493922</v>
      </c>
      <c r="J56" s="54">
        <f t="shared" si="8"/>
        <v>0.33684774839170839</v>
      </c>
      <c r="K56" s="54">
        <f t="shared" si="8"/>
        <v>0.3431022158684775</v>
      </c>
      <c r="L56" s="54">
        <f t="shared" si="8"/>
        <v>0.34345961401000713</v>
      </c>
      <c r="M56" s="54">
        <f t="shared" si="8"/>
        <v>0.3465171551107934</v>
      </c>
      <c r="N56" s="51">
        <f>FORESTS2[[#This Row],[Area_2020]]-FORESTS2[[#This Row],[Area_1990]]</f>
        <v>89.1099999999999</v>
      </c>
      <c r="O56" s="51">
        <f>ABS(FORESTS2[[#This Row],[Area_Delta]])</f>
        <v>89.1099999999999</v>
      </c>
      <c r="P56" s="54">
        <f>FORESTS2[[#This Row],[Area_2020_%]]-FORESTS2[[#This Row],[Area_1990_%]]</f>
        <v>1.5923874195854171E-2</v>
      </c>
      <c r="Q56" s="54" t="b">
        <f t="shared" si="1"/>
        <v>1</v>
      </c>
      <c r="R56" s="51">
        <f t="shared" si="2"/>
        <v>89.1099999999999</v>
      </c>
      <c r="S56" s="51">
        <f t="shared" si="3"/>
        <v>0</v>
      </c>
      <c r="T56" s="48">
        <f t="shared" si="4"/>
        <v>0</v>
      </c>
      <c r="U56" s="43">
        <v>34.65</v>
      </c>
      <c r="V56" s="30">
        <v>0.05</v>
      </c>
      <c r="W56" s="38">
        <v>1.77</v>
      </c>
      <c r="X56" s="38">
        <f t="shared" si="5"/>
        <v>35</v>
      </c>
      <c r="Y56" s="38">
        <f t="shared" si="5"/>
        <v>35</v>
      </c>
      <c r="Z56" s="38">
        <f t="shared" si="5"/>
        <v>2</v>
      </c>
      <c r="AA56" s="38">
        <f t="shared" si="5"/>
        <v>17.1099999999999</v>
      </c>
      <c r="AB56" s="38">
        <f>FORESTS2[[#This Row],[Column7]]+FORESTS2[[#This Row],[Column8]]</f>
        <v>19.1099999999999</v>
      </c>
      <c r="AC56" s="63">
        <f t="shared" si="6"/>
        <v>3.5</v>
      </c>
      <c r="AD56" s="63">
        <f t="shared" si="6"/>
        <v>3.5</v>
      </c>
      <c r="AE56" s="63">
        <f t="shared" si="7"/>
        <v>0.4</v>
      </c>
      <c r="AF56" s="63">
        <f t="shared" si="7"/>
        <v>3.4219999999999802</v>
      </c>
      <c r="AG56" s="28">
        <v>1</v>
      </c>
    </row>
    <row r="57" spans="1:47" hidden="1" x14ac:dyDescent="0.2">
      <c r="A57" s="28">
        <v>662</v>
      </c>
      <c r="B57" s="28" t="s">
        <v>140</v>
      </c>
      <c r="C57" s="30">
        <v>21.27</v>
      </c>
      <c r="D57" s="30">
        <v>21.01</v>
      </c>
      <c r="E57" s="30">
        <v>20.77</v>
      </c>
      <c r="F57" s="30">
        <v>20.77</v>
      </c>
      <c r="G57" s="30">
        <v>20.77</v>
      </c>
      <c r="H57" s="30">
        <v>61</v>
      </c>
      <c r="I57" s="54">
        <f t="shared" si="8"/>
        <v>0.34868852459016392</v>
      </c>
      <c r="J57" s="54">
        <f t="shared" si="8"/>
        <v>0.34442622950819674</v>
      </c>
      <c r="K57" s="54">
        <f t="shared" si="8"/>
        <v>0.3404918032786885</v>
      </c>
      <c r="L57" s="54">
        <f t="shared" si="8"/>
        <v>0.3404918032786885</v>
      </c>
      <c r="M57" s="54">
        <f t="shared" si="8"/>
        <v>0.3404918032786885</v>
      </c>
      <c r="N57" s="51">
        <f>FORESTS2[[#This Row],[Area_2020]]-FORESTS2[[#This Row],[Area_1990]]</f>
        <v>-0.5</v>
      </c>
      <c r="O57" s="51">
        <f>ABS(FORESTS2[[#This Row],[Area_Delta]])</f>
        <v>0.5</v>
      </c>
      <c r="P57" s="54">
        <f>FORESTS2[[#This Row],[Area_2020_%]]-FORESTS2[[#This Row],[Area_1990_%]]</f>
        <v>-8.1967213114754189E-3</v>
      </c>
      <c r="Q57" s="54" t="b">
        <f t="shared" si="1"/>
        <v>0</v>
      </c>
      <c r="R57" s="51">
        <f t="shared" si="2"/>
        <v>0</v>
      </c>
      <c r="S57" s="51">
        <f t="shared" si="3"/>
        <v>0.5</v>
      </c>
      <c r="T57" s="48">
        <f t="shared" si="4"/>
        <v>2</v>
      </c>
      <c r="U57" s="48">
        <v>34.049999999999997</v>
      </c>
      <c r="V57" s="30" t="s">
        <v>247</v>
      </c>
      <c r="W57" s="30" t="s">
        <v>247</v>
      </c>
      <c r="X57" s="38">
        <f t="shared" si="5"/>
        <v>-0.25999999999999801</v>
      </c>
      <c r="Y57" s="38">
        <f t="shared" si="5"/>
        <v>-0.24000000000000199</v>
      </c>
      <c r="Z57" s="38">
        <f t="shared" si="5"/>
        <v>0</v>
      </c>
      <c r="AA57" s="38">
        <f t="shared" si="5"/>
        <v>0</v>
      </c>
      <c r="AB57" s="38">
        <f>FORESTS2[[#This Row],[Column7]]+FORESTS2[[#This Row],[Column8]]</f>
        <v>0</v>
      </c>
      <c r="AC57" s="63">
        <f t="shared" si="6"/>
        <v>-2.5999999999999801E-2</v>
      </c>
      <c r="AD57" s="63">
        <f t="shared" si="6"/>
        <v>-2.4000000000000198E-2</v>
      </c>
      <c r="AE57" s="63">
        <f t="shared" si="7"/>
        <v>0</v>
      </c>
      <c r="AF57" s="63">
        <f t="shared" si="7"/>
        <v>0</v>
      </c>
      <c r="AG57" s="28">
        <v>1</v>
      </c>
    </row>
    <row r="58" spans="1:47" hidden="1" x14ac:dyDescent="0.2">
      <c r="A58" s="28">
        <v>20</v>
      </c>
      <c r="B58" s="28" t="s">
        <v>3</v>
      </c>
      <c r="C58" s="30">
        <v>16</v>
      </c>
      <c r="D58" s="30">
        <v>16</v>
      </c>
      <c r="E58" s="30">
        <v>16</v>
      </c>
      <c r="F58" s="30">
        <v>16</v>
      </c>
      <c r="G58" s="30">
        <v>16</v>
      </c>
      <c r="H58" s="30">
        <v>47</v>
      </c>
      <c r="I58" s="54">
        <f t="shared" si="8"/>
        <v>0.34042553191489361</v>
      </c>
      <c r="J58" s="54">
        <f t="shared" si="8"/>
        <v>0.34042553191489361</v>
      </c>
      <c r="K58" s="54">
        <f t="shared" si="8"/>
        <v>0.34042553191489361</v>
      </c>
      <c r="L58" s="54">
        <f t="shared" si="8"/>
        <v>0.34042553191489361</v>
      </c>
      <c r="M58" s="54">
        <f t="shared" si="8"/>
        <v>0.34042553191489361</v>
      </c>
      <c r="N58" s="51">
        <f>FORESTS2[[#This Row],[Area_2020]]-FORESTS2[[#This Row],[Area_1990]]</f>
        <v>0</v>
      </c>
      <c r="O58" s="51">
        <f>ABS(FORESTS2[[#This Row],[Area_Delta]])</f>
        <v>0</v>
      </c>
      <c r="P58" s="54">
        <f>FORESTS2[[#This Row],[Area_2020_%]]-FORESTS2[[#This Row],[Area_1990_%]]</f>
        <v>0</v>
      </c>
      <c r="Q58" s="54" t="b">
        <f t="shared" si="1"/>
        <v>0</v>
      </c>
      <c r="R58" s="51">
        <f t="shared" si="2"/>
        <v>0</v>
      </c>
      <c r="S58" s="51">
        <f t="shared" si="3"/>
        <v>0</v>
      </c>
      <c r="T58" s="48">
        <f t="shared" si="4"/>
        <v>0</v>
      </c>
      <c r="U58" s="48">
        <v>34.04</v>
      </c>
      <c r="V58" s="30" t="s">
        <v>247</v>
      </c>
      <c r="W58" s="30" t="s">
        <v>247</v>
      </c>
      <c r="X58" s="38">
        <f t="shared" si="5"/>
        <v>0</v>
      </c>
      <c r="Y58" s="38">
        <f t="shared" si="5"/>
        <v>0</v>
      </c>
      <c r="Z58" s="38">
        <f t="shared" si="5"/>
        <v>0</v>
      </c>
      <c r="AA58" s="38">
        <f t="shared" si="5"/>
        <v>0</v>
      </c>
      <c r="AB58" s="38">
        <f>FORESTS2[[#This Row],[Column7]]+FORESTS2[[#This Row],[Column8]]</f>
        <v>0</v>
      </c>
      <c r="AC58" s="63">
        <f t="shared" si="6"/>
        <v>0</v>
      </c>
      <c r="AD58" s="63">
        <f t="shared" si="6"/>
        <v>0</v>
      </c>
      <c r="AE58" s="63">
        <f t="shared" si="7"/>
        <v>0</v>
      </c>
      <c r="AF58" s="63">
        <f t="shared" si="7"/>
        <v>0</v>
      </c>
      <c r="AG58" s="28">
        <v>1</v>
      </c>
    </row>
    <row r="59" spans="1:47" hidden="1" x14ac:dyDescent="0.2">
      <c r="A59" s="28">
        <v>705</v>
      </c>
      <c r="B59" s="28" t="s">
        <v>150</v>
      </c>
      <c r="C59" s="30">
        <v>1188</v>
      </c>
      <c r="D59" s="30">
        <v>1233</v>
      </c>
      <c r="E59" s="30">
        <v>1247</v>
      </c>
      <c r="F59" s="30">
        <v>1248</v>
      </c>
      <c r="G59" s="30">
        <v>1237.83</v>
      </c>
      <c r="H59" s="30">
        <v>2014</v>
      </c>
      <c r="I59" s="54">
        <f t="shared" si="8"/>
        <v>0.58987090367428008</v>
      </c>
      <c r="J59" s="54">
        <f t="shared" si="8"/>
        <v>0.61221449851042697</v>
      </c>
      <c r="K59" s="54">
        <f t="shared" si="8"/>
        <v>0.61916583912611722</v>
      </c>
      <c r="L59" s="54">
        <f t="shared" si="8"/>
        <v>0.61966236345580938</v>
      </c>
      <c r="M59" s="54">
        <f t="shared" si="8"/>
        <v>0.6146127110228401</v>
      </c>
      <c r="N59" s="51">
        <f>FORESTS2[[#This Row],[Area_2020]]-FORESTS2[[#This Row],[Area_1990]]</f>
        <v>49.829999999999927</v>
      </c>
      <c r="O59" s="51">
        <f>ABS(FORESTS2[[#This Row],[Area_Delta]])</f>
        <v>49.829999999999927</v>
      </c>
      <c r="P59" s="54">
        <f>FORESTS2[[#This Row],[Area_2020_%]]-FORESTS2[[#This Row],[Area_1990_%]]</f>
        <v>2.4741807348560019E-2</v>
      </c>
      <c r="Q59" s="54" t="b">
        <f t="shared" si="1"/>
        <v>1</v>
      </c>
      <c r="R59" s="51">
        <f t="shared" si="2"/>
        <v>49.829999999999927</v>
      </c>
      <c r="S59" s="51">
        <f t="shared" si="3"/>
        <v>0</v>
      </c>
      <c r="T59" s="48">
        <f t="shared" si="4"/>
        <v>1</v>
      </c>
      <c r="U59" s="48">
        <v>61.46</v>
      </c>
      <c r="V59" s="30">
        <v>2.0299999999999998</v>
      </c>
      <c r="W59" s="30">
        <v>0.06</v>
      </c>
      <c r="X59" s="38">
        <f t="shared" si="5"/>
        <v>45</v>
      </c>
      <c r="Y59" s="38">
        <f t="shared" si="5"/>
        <v>14</v>
      </c>
      <c r="Z59" s="38">
        <f t="shared" si="5"/>
        <v>1</v>
      </c>
      <c r="AA59" s="38">
        <f t="shared" si="5"/>
        <v>-10.170000000000073</v>
      </c>
      <c r="AB59" s="38">
        <f>FORESTS2[[#This Row],[Column7]]+FORESTS2[[#This Row],[Column8]]</f>
        <v>-9.1700000000000728</v>
      </c>
      <c r="AC59" s="63">
        <f t="shared" si="6"/>
        <v>4.5</v>
      </c>
      <c r="AD59" s="63">
        <f t="shared" si="6"/>
        <v>1.4</v>
      </c>
      <c r="AE59" s="63">
        <f t="shared" si="7"/>
        <v>0.2</v>
      </c>
      <c r="AF59" s="63">
        <f t="shared" si="7"/>
        <v>-2.0340000000000145</v>
      </c>
      <c r="AG59" s="28">
        <v>1</v>
      </c>
    </row>
    <row r="60" spans="1:47" x14ac:dyDescent="0.2">
      <c r="A60" s="28">
        <v>860</v>
      </c>
      <c r="B60" s="28" t="s">
        <v>179</v>
      </c>
      <c r="C60" s="38">
        <v>2549.37</v>
      </c>
      <c r="D60" s="38">
        <v>2961.46</v>
      </c>
      <c r="E60" s="38">
        <v>3349.6</v>
      </c>
      <c r="F60" s="38">
        <v>3549.4</v>
      </c>
      <c r="G60" s="38">
        <v>3689.66</v>
      </c>
      <c r="H60" s="38">
        <v>42540</v>
      </c>
      <c r="I60" s="54">
        <f t="shared" si="8"/>
        <v>5.9928772919605078E-2</v>
      </c>
      <c r="J60" s="54">
        <f t="shared" si="8"/>
        <v>6.9615890926187113E-2</v>
      </c>
      <c r="K60" s="54">
        <f t="shared" si="8"/>
        <v>7.8740009402914896E-2</v>
      </c>
      <c r="L60" s="54">
        <f t="shared" si="8"/>
        <v>8.3436765397273155E-2</v>
      </c>
      <c r="M60" s="54">
        <f t="shared" si="8"/>
        <v>8.6733897508227548E-2</v>
      </c>
      <c r="N60" s="51">
        <f>FORESTS2[[#This Row],[Area_2020]]-FORESTS2[[#This Row],[Area_1990]]</f>
        <v>1140.29</v>
      </c>
      <c r="O60" s="51">
        <f>ABS(FORESTS2[[#This Row],[Area_Delta]])</f>
        <v>1140.29</v>
      </c>
      <c r="P60" s="54">
        <f>FORESTS2[[#This Row],[Area_2020_%]]-FORESTS2[[#This Row],[Area_1990_%]]</f>
        <v>2.680512458862247E-2</v>
      </c>
      <c r="Q60" s="48" t="b">
        <f t="shared" si="1"/>
        <v>1</v>
      </c>
      <c r="R60" s="51">
        <f t="shared" si="2"/>
        <v>1140.29</v>
      </c>
      <c r="S60" s="51">
        <f t="shared" si="3"/>
        <v>0</v>
      </c>
      <c r="T60" s="48">
        <f t="shared" si="4"/>
        <v>0</v>
      </c>
      <c r="U60" s="43">
        <v>8.67</v>
      </c>
      <c r="V60" s="30">
        <v>14.15</v>
      </c>
      <c r="W60" s="38">
        <v>0.17</v>
      </c>
      <c r="X60" s="38">
        <f t="shared" si="5"/>
        <v>412.09000000000015</v>
      </c>
      <c r="Y60" s="38">
        <f t="shared" si="5"/>
        <v>388.13999999999987</v>
      </c>
      <c r="Z60" s="38">
        <f t="shared" si="5"/>
        <v>199.80000000000018</v>
      </c>
      <c r="AA60" s="38">
        <f t="shared" si="5"/>
        <v>140.25999999999976</v>
      </c>
      <c r="AB60" s="38">
        <f>FORESTS2[[#This Row],[Column7]]+FORESTS2[[#This Row],[Column8]]</f>
        <v>340.05999999999995</v>
      </c>
      <c r="AC60" s="63">
        <f t="shared" si="6"/>
        <v>41.209000000000017</v>
      </c>
      <c r="AD60" s="63">
        <f t="shared" si="6"/>
        <v>38.813999999999986</v>
      </c>
      <c r="AE60" s="63">
        <f t="shared" si="7"/>
        <v>39.960000000000036</v>
      </c>
      <c r="AF60" s="63">
        <f t="shared" si="7"/>
        <v>28.051999999999953</v>
      </c>
    </row>
    <row r="61" spans="1:47" hidden="1" x14ac:dyDescent="0.2">
      <c r="A61" s="28">
        <v>484</v>
      </c>
      <c r="B61" s="28" t="s">
        <v>107</v>
      </c>
      <c r="C61" s="46">
        <v>70591.649999999994</v>
      </c>
      <c r="D61" s="46">
        <v>68381.350000000006</v>
      </c>
      <c r="E61" s="46">
        <v>66943.31</v>
      </c>
      <c r="F61" s="46">
        <v>66330.91</v>
      </c>
      <c r="G61" s="46">
        <v>65692.08</v>
      </c>
      <c r="H61" s="46">
        <v>194395</v>
      </c>
      <c r="I61" s="54">
        <f t="shared" si="8"/>
        <v>0.36313511149978134</v>
      </c>
      <c r="J61" s="54">
        <f t="shared" si="8"/>
        <v>0.3517649630906145</v>
      </c>
      <c r="K61" s="54">
        <f t="shared" si="8"/>
        <v>0.34436744772242084</v>
      </c>
      <c r="L61" s="54">
        <f t="shared" si="8"/>
        <v>0.34121716093520926</v>
      </c>
      <c r="M61" s="54">
        <f t="shared" si="8"/>
        <v>0.3379309138609532</v>
      </c>
      <c r="N61" s="51">
        <f>FORESTS2[[#This Row],[Area_2020]]-FORESTS2[[#This Row],[Area_1990]]</f>
        <v>-4899.5699999999924</v>
      </c>
      <c r="O61" s="51">
        <f>ABS(FORESTS2[[#This Row],[Area_Delta]])</f>
        <v>4899.5699999999924</v>
      </c>
      <c r="P61" s="54">
        <f>FORESTS2[[#This Row],[Area_2020_%]]-FORESTS2[[#This Row],[Area_1990_%]]</f>
        <v>-2.5204197638828141E-2</v>
      </c>
      <c r="Q61" s="54" t="b">
        <f t="shared" si="1"/>
        <v>0</v>
      </c>
      <c r="R61" s="51">
        <f t="shared" si="2"/>
        <v>0</v>
      </c>
      <c r="S61" s="51">
        <f t="shared" si="3"/>
        <v>4899.5699999999924</v>
      </c>
      <c r="T61" s="62">
        <f t="shared" si="4"/>
        <v>4</v>
      </c>
      <c r="U61" s="43">
        <v>33.79</v>
      </c>
      <c r="V61" s="30">
        <v>165.82</v>
      </c>
      <c r="W61" s="38">
        <v>59.14</v>
      </c>
      <c r="X61" s="38">
        <f t="shared" si="5"/>
        <v>-2210.2999999999884</v>
      </c>
      <c r="Y61" s="38">
        <f t="shared" si="5"/>
        <v>-1438.0400000000081</v>
      </c>
      <c r="Z61" s="38">
        <f t="shared" si="5"/>
        <v>-612.39999999999418</v>
      </c>
      <c r="AA61" s="38">
        <f t="shared" si="5"/>
        <v>-638.83000000000175</v>
      </c>
      <c r="AB61" s="38">
        <f>FORESTS2[[#This Row],[Column7]]+FORESTS2[[#This Row],[Column8]]</f>
        <v>-1251.2299999999959</v>
      </c>
      <c r="AC61" s="63">
        <f t="shared" si="6"/>
        <v>-221.02999999999884</v>
      </c>
      <c r="AD61" s="63">
        <f t="shared" si="6"/>
        <v>-143.80400000000083</v>
      </c>
      <c r="AE61" s="63">
        <f t="shared" si="7"/>
        <v>-122.47999999999884</v>
      </c>
      <c r="AF61" s="63">
        <f t="shared" si="7"/>
        <v>-127.76600000000035</v>
      </c>
    </row>
    <row r="62" spans="1:47" hidden="1" x14ac:dyDescent="0.2">
      <c r="A62" s="28">
        <v>144</v>
      </c>
      <c r="B62" s="28" t="s">
        <v>156</v>
      </c>
      <c r="C62" s="38">
        <v>2350.33</v>
      </c>
      <c r="D62" s="38">
        <v>2166.42</v>
      </c>
      <c r="E62" s="38">
        <v>2103.62</v>
      </c>
      <c r="F62" s="38">
        <v>2128.8200000000002</v>
      </c>
      <c r="G62" s="38">
        <v>2113.02</v>
      </c>
      <c r="H62" s="38">
        <v>6271</v>
      </c>
      <c r="I62" s="54">
        <f t="shared" si="8"/>
        <v>0.37479349386062827</v>
      </c>
      <c r="J62" s="54">
        <f t="shared" si="8"/>
        <v>0.34546643278583961</v>
      </c>
      <c r="K62" s="54">
        <f t="shared" si="8"/>
        <v>0.33545208100781371</v>
      </c>
      <c r="L62" s="54">
        <f t="shared" si="8"/>
        <v>0.33947057885504706</v>
      </c>
      <c r="M62" s="54">
        <f t="shared" si="8"/>
        <v>0.33695104449051189</v>
      </c>
      <c r="N62" s="51">
        <f>FORESTS2[[#This Row],[Area_2020]]-FORESTS2[[#This Row],[Area_1990]]</f>
        <v>-237.30999999999995</v>
      </c>
      <c r="O62" s="51">
        <f>ABS(FORESTS2[[#This Row],[Area_Delta]])</f>
        <v>237.30999999999995</v>
      </c>
      <c r="P62" s="54">
        <f>FORESTS2[[#This Row],[Area_2020_%]]-FORESTS2[[#This Row],[Area_1990_%]]</f>
        <v>-3.7842449370116382E-2</v>
      </c>
      <c r="Q62" s="54" t="b">
        <f t="shared" si="1"/>
        <v>0</v>
      </c>
      <c r="R62" s="51">
        <f t="shared" si="2"/>
        <v>0</v>
      </c>
      <c r="S62" s="51">
        <f t="shared" si="3"/>
        <v>237.30999999999995</v>
      </c>
      <c r="T62" s="48">
        <f t="shared" si="4"/>
        <v>3</v>
      </c>
      <c r="U62" s="43">
        <v>33.700000000000003</v>
      </c>
      <c r="V62" s="30" t="s">
        <v>247</v>
      </c>
      <c r="W62" s="38" t="s">
        <v>247</v>
      </c>
      <c r="X62" s="38">
        <f t="shared" si="5"/>
        <v>-183.90999999999985</v>
      </c>
      <c r="Y62" s="38">
        <f t="shared" si="5"/>
        <v>-62.800000000000182</v>
      </c>
      <c r="Z62" s="38">
        <f t="shared" si="5"/>
        <v>25.200000000000273</v>
      </c>
      <c r="AA62" s="38">
        <f t="shared" si="5"/>
        <v>-15.800000000000182</v>
      </c>
      <c r="AB62" s="38">
        <f>FORESTS2[[#This Row],[Column7]]+FORESTS2[[#This Row],[Column8]]</f>
        <v>9.4000000000000909</v>
      </c>
      <c r="AC62" s="63">
        <f t="shared" si="6"/>
        <v>-18.390999999999984</v>
      </c>
      <c r="AD62" s="63">
        <f t="shared" si="6"/>
        <v>-6.280000000000018</v>
      </c>
      <c r="AE62" s="63">
        <f t="shared" si="7"/>
        <v>5.0400000000000542</v>
      </c>
      <c r="AF62" s="63">
        <f t="shared" si="7"/>
        <v>-3.1600000000000366</v>
      </c>
    </row>
    <row r="63" spans="1:47" hidden="1" x14ac:dyDescent="0.2">
      <c r="A63" s="28">
        <v>798</v>
      </c>
      <c r="B63" s="28" t="s">
        <v>171</v>
      </c>
      <c r="C63" s="30">
        <v>1</v>
      </c>
      <c r="D63" s="30">
        <v>1</v>
      </c>
      <c r="E63" s="30">
        <v>1</v>
      </c>
      <c r="F63" s="30">
        <v>1</v>
      </c>
      <c r="G63" s="30">
        <v>1</v>
      </c>
      <c r="H63" s="30">
        <v>3</v>
      </c>
      <c r="I63" s="54">
        <f t="shared" si="8"/>
        <v>0.33333333333333331</v>
      </c>
      <c r="J63" s="54">
        <f t="shared" si="8"/>
        <v>0.33333333333333331</v>
      </c>
      <c r="K63" s="54">
        <f t="shared" si="8"/>
        <v>0.33333333333333331</v>
      </c>
      <c r="L63" s="54">
        <f t="shared" si="8"/>
        <v>0.33333333333333331</v>
      </c>
      <c r="M63" s="54">
        <f t="shared" si="8"/>
        <v>0.33333333333333331</v>
      </c>
      <c r="N63" s="51">
        <f>FORESTS2[[#This Row],[Area_2020]]-FORESTS2[[#This Row],[Area_1990]]</f>
        <v>0</v>
      </c>
      <c r="O63" s="51">
        <f>ABS(FORESTS2[[#This Row],[Area_Delta]])</f>
        <v>0</v>
      </c>
      <c r="P63" s="54">
        <f>FORESTS2[[#This Row],[Area_2020_%]]-FORESTS2[[#This Row],[Area_1990_%]]</f>
        <v>0</v>
      </c>
      <c r="Q63" s="54" t="b">
        <f t="shared" si="1"/>
        <v>0</v>
      </c>
      <c r="R63" s="51">
        <f t="shared" si="2"/>
        <v>0</v>
      </c>
      <c r="S63" s="51">
        <f t="shared" si="3"/>
        <v>0</v>
      </c>
      <c r="T63" s="48">
        <f t="shared" si="4"/>
        <v>0</v>
      </c>
      <c r="U63" s="48">
        <v>33.33</v>
      </c>
      <c r="V63" s="30" t="s">
        <v>247</v>
      </c>
      <c r="W63" s="30">
        <v>0</v>
      </c>
      <c r="X63" s="38">
        <f t="shared" si="5"/>
        <v>0</v>
      </c>
      <c r="Y63" s="38">
        <f t="shared" si="5"/>
        <v>0</v>
      </c>
      <c r="Z63" s="38">
        <f t="shared" si="5"/>
        <v>0</v>
      </c>
      <c r="AA63" s="38">
        <f t="shared" si="5"/>
        <v>0</v>
      </c>
      <c r="AB63" s="38">
        <f>FORESTS2[[#This Row],[Column7]]+FORESTS2[[#This Row],[Column8]]</f>
        <v>0</v>
      </c>
      <c r="AC63" s="63">
        <f t="shared" si="6"/>
        <v>0</v>
      </c>
      <c r="AD63" s="63">
        <f t="shared" si="6"/>
        <v>0</v>
      </c>
      <c r="AE63" s="63">
        <f t="shared" si="7"/>
        <v>0</v>
      </c>
      <c r="AF63" s="63">
        <f t="shared" si="7"/>
        <v>0</v>
      </c>
      <c r="AG63" s="28">
        <v>1</v>
      </c>
    </row>
    <row r="64" spans="1:47" hidden="1" x14ac:dyDescent="0.2">
      <c r="A64" s="28">
        <v>320</v>
      </c>
      <c r="B64" s="28" t="s">
        <v>68</v>
      </c>
      <c r="C64" s="46">
        <v>4781.2</v>
      </c>
      <c r="D64" s="46">
        <v>4209.2</v>
      </c>
      <c r="E64" s="46">
        <v>3722.6</v>
      </c>
      <c r="F64" s="46">
        <v>3585.8</v>
      </c>
      <c r="G64" s="46">
        <v>3527.8</v>
      </c>
      <c r="H64" s="46">
        <v>10716</v>
      </c>
      <c r="I64" s="54">
        <f t="shared" si="8"/>
        <v>0.44617394550205297</v>
      </c>
      <c r="J64" s="54">
        <f t="shared" si="8"/>
        <v>0.39279581933557295</v>
      </c>
      <c r="K64" s="54">
        <f t="shared" si="8"/>
        <v>0.34738708473310936</v>
      </c>
      <c r="L64" s="54">
        <f t="shared" si="8"/>
        <v>0.33462112728630089</v>
      </c>
      <c r="M64" s="54">
        <f t="shared" si="8"/>
        <v>0.32920865994774173</v>
      </c>
      <c r="N64" s="51">
        <f>FORESTS2[[#This Row],[Area_2020]]-FORESTS2[[#This Row],[Area_1990]]</f>
        <v>-1253.3999999999996</v>
      </c>
      <c r="O64" s="51">
        <f>ABS(FORESTS2[[#This Row],[Area_Delta]])</f>
        <v>1253.3999999999996</v>
      </c>
      <c r="P64" s="54">
        <f>FORESTS2[[#This Row],[Area_2020_%]]-FORESTS2[[#This Row],[Area_1990_%]]</f>
        <v>-0.11696528555431124</v>
      </c>
      <c r="Q64" s="54" t="b">
        <f t="shared" si="1"/>
        <v>0</v>
      </c>
      <c r="R64" s="51">
        <f t="shared" si="2"/>
        <v>0</v>
      </c>
      <c r="S64" s="51">
        <f t="shared" si="3"/>
        <v>1253.3999999999996</v>
      </c>
      <c r="T64" s="48">
        <f t="shared" si="4"/>
        <v>4</v>
      </c>
      <c r="U64" s="43">
        <v>32.92</v>
      </c>
      <c r="V64" s="30">
        <v>11.6</v>
      </c>
      <c r="W64" s="38">
        <v>9.5</v>
      </c>
      <c r="X64" s="38">
        <f t="shared" si="5"/>
        <v>-572</v>
      </c>
      <c r="Y64" s="38">
        <f t="shared" si="5"/>
        <v>-486.59999999999991</v>
      </c>
      <c r="Z64" s="38">
        <f t="shared" si="5"/>
        <v>-136.79999999999973</v>
      </c>
      <c r="AA64" s="38">
        <f t="shared" si="5"/>
        <v>-58</v>
      </c>
      <c r="AB64" s="38">
        <f>FORESTS2[[#This Row],[Column7]]+FORESTS2[[#This Row],[Column8]]</f>
        <v>-194.79999999999973</v>
      </c>
      <c r="AC64" s="63">
        <f t="shared" si="6"/>
        <v>-57.2</v>
      </c>
      <c r="AD64" s="63">
        <f t="shared" si="6"/>
        <v>-48.659999999999989</v>
      </c>
      <c r="AE64" s="63">
        <f t="shared" si="7"/>
        <v>-27.359999999999946</v>
      </c>
      <c r="AF64" s="63">
        <f t="shared" si="7"/>
        <v>-11.6</v>
      </c>
      <c r="AG64" s="28">
        <v>1</v>
      </c>
    </row>
    <row r="65" spans="1:56" hidden="1" x14ac:dyDescent="0.2">
      <c r="A65" s="28">
        <v>276</v>
      </c>
      <c r="B65" s="28" t="s">
        <v>61</v>
      </c>
      <c r="C65" s="38">
        <v>11300</v>
      </c>
      <c r="D65" s="38">
        <v>11354</v>
      </c>
      <c r="E65" s="38">
        <v>11409</v>
      </c>
      <c r="F65" s="38">
        <v>11419</v>
      </c>
      <c r="G65" s="38">
        <v>11419</v>
      </c>
      <c r="H65" s="38">
        <v>34886</v>
      </c>
      <c r="I65" s="54">
        <f t="shared" si="8"/>
        <v>0.32391217107149001</v>
      </c>
      <c r="J65" s="54">
        <f t="shared" si="8"/>
        <v>0.32546006994209714</v>
      </c>
      <c r="K65" s="54">
        <f t="shared" si="8"/>
        <v>0.32703663360660434</v>
      </c>
      <c r="L65" s="54">
        <f t="shared" si="8"/>
        <v>0.32732328154560569</v>
      </c>
      <c r="M65" s="54">
        <f t="shared" si="8"/>
        <v>0.32732328154560569</v>
      </c>
      <c r="N65" s="51">
        <f>FORESTS2[[#This Row],[Area_2020]]-FORESTS2[[#This Row],[Area_1990]]</f>
        <v>119</v>
      </c>
      <c r="O65" s="51">
        <f>ABS(FORESTS2[[#This Row],[Area_Delta]])</f>
        <v>119</v>
      </c>
      <c r="P65" s="54">
        <f>FORESTS2[[#This Row],[Area_2020_%]]-FORESTS2[[#This Row],[Area_1990_%]]</f>
        <v>3.4111104741156861E-3</v>
      </c>
      <c r="Q65" s="54" t="b">
        <f t="shared" si="1"/>
        <v>1</v>
      </c>
      <c r="R65" s="51">
        <f t="shared" si="2"/>
        <v>119</v>
      </c>
      <c r="S65" s="51">
        <f t="shared" si="3"/>
        <v>0</v>
      </c>
      <c r="T65" s="62">
        <f t="shared" si="4"/>
        <v>0</v>
      </c>
      <c r="U65" s="43">
        <v>32.729999999999997</v>
      </c>
      <c r="V65" s="30">
        <v>7</v>
      </c>
      <c r="W65" s="38">
        <v>0.53</v>
      </c>
      <c r="X65" s="38">
        <f t="shared" si="5"/>
        <v>54</v>
      </c>
      <c r="Y65" s="38">
        <f t="shared" si="5"/>
        <v>55</v>
      </c>
      <c r="Z65" s="38">
        <f t="shared" si="5"/>
        <v>10</v>
      </c>
      <c r="AA65" s="38">
        <f t="shared" si="5"/>
        <v>0</v>
      </c>
      <c r="AB65" s="38">
        <f>FORESTS2[[#This Row],[Column7]]+FORESTS2[[#This Row],[Column8]]</f>
        <v>10</v>
      </c>
      <c r="AC65" s="63">
        <f t="shared" si="6"/>
        <v>5.4</v>
      </c>
      <c r="AD65" s="63">
        <f t="shared" si="6"/>
        <v>5.5</v>
      </c>
      <c r="AE65" s="63">
        <f t="shared" si="7"/>
        <v>2</v>
      </c>
      <c r="AF65" s="63">
        <f t="shared" si="7"/>
        <v>0</v>
      </c>
    </row>
    <row r="66" spans="1:56" x14ac:dyDescent="0.2">
      <c r="A66" s="28">
        <v>642</v>
      </c>
      <c r="B66" s="28" t="s">
        <v>137</v>
      </c>
      <c r="C66" s="38">
        <v>6371</v>
      </c>
      <c r="D66" s="38">
        <v>6366</v>
      </c>
      <c r="E66" s="38">
        <v>6515</v>
      </c>
      <c r="F66" s="38">
        <v>6900.96</v>
      </c>
      <c r="G66" s="38">
        <v>6929.05</v>
      </c>
      <c r="H66" s="38">
        <v>23008</v>
      </c>
      <c r="I66" s="54">
        <f t="shared" si="8"/>
        <v>0.27690368567454798</v>
      </c>
      <c r="J66" s="54">
        <f t="shared" si="8"/>
        <v>0.27668636995827539</v>
      </c>
      <c r="K66" s="54">
        <f t="shared" si="8"/>
        <v>0.2831623783031989</v>
      </c>
      <c r="L66" s="54">
        <f t="shared" si="8"/>
        <v>0.29993741307371347</v>
      </c>
      <c r="M66" s="54">
        <f t="shared" si="8"/>
        <v>0.30115829276773298</v>
      </c>
      <c r="N66" s="51">
        <f>FORESTS2[[#This Row],[Area_2020]]-FORESTS2[[#This Row],[Area_1990]]</f>
        <v>558.05000000000018</v>
      </c>
      <c r="O66" s="51">
        <f>ABS(FORESTS2[[#This Row],[Area_Delta]])</f>
        <v>558.05000000000018</v>
      </c>
      <c r="P66" s="54">
        <f>FORESTS2[[#This Row],[Area_2020_%]]-FORESTS2[[#This Row],[Area_1990_%]]</f>
        <v>2.4254607093184999E-2</v>
      </c>
      <c r="Q66" s="48" t="b">
        <f t="shared" si="1"/>
        <v>1</v>
      </c>
      <c r="R66" s="51">
        <f t="shared" si="2"/>
        <v>558.05000000000018</v>
      </c>
      <c r="S66" s="51">
        <f t="shared" si="3"/>
        <v>0</v>
      </c>
      <c r="T66" s="48">
        <f t="shared" si="4"/>
        <v>1</v>
      </c>
      <c r="U66" s="43">
        <v>30.12</v>
      </c>
      <c r="V66" s="30">
        <v>0.02</v>
      </c>
      <c r="W66" s="38">
        <v>1.67</v>
      </c>
      <c r="X66" s="38">
        <f t="shared" si="5"/>
        <v>-5</v>
      </c>
      <c r="Y66" s="38">
        <f t="shared" si="5"/>
        <v>149</v>
      </c>
      <c r="Z66" s="38">
        <f t="shared" si="5"/>
        <v>385.96000000000004</v>
      </c>
      <c r="AA66" s="38">
        <f t="shared" si="5"/>
        <v>28.090000000000146</v>
      </c>
      <c r="AB66" s="38">
        <f>FORESTS2[[#This Row],[Column7]]+FORESTS2[[#This Row],[Column8]]</f>
        <v>414.05000000000018</v>
      </c>
      <c r="AC66" s="63">
        <f t="shared" si="6"/>
        <v>-0.5</v>
      </c>
      <c r="AD66" s="63">
        <f t="shared" si="6"/>
        <v>14.9</v>
      </c>
      <c r="AE66" s="63">
        <f t="shared" si="7"/>
        <v>77.192000000000007</v>
      </c>
      <c r="AF66" s="63">
        <f t="shared" si="7"/>
        <v>5.6180000000000287</v>
      </c>
      <c r="AG66" s="28">
        <v>1</v>
      </c>
      <c r="AS66" s="28" cm="1">
        <f t="array" ref="AS66:AW70">_xlfn.MAKEARRAY(5,5,_xlfn.LAMBDA(_xlpm.r,_xlpm.c,_xlpm.r*4/_xlpm.c))</f>
        <v>4</v>
      </c>
      <c r="AT66" s="28">
        <v>2</v>
      </c>
      <c r="AU66" s="28">
        <v>1.3333333333333333</v>
      </c>
      <c r="AV66" s="28">
        <v>1</v>
      </c>
      <c r="AW66" s="28">
        <v>0.8</v>
      </c>
    </row>
    <row r="67" spans="1:56" hidden="1" x14ac:dyDescent="0.2">
      <c r="A67" s="28">
        <v>756</v>
      </c>
      <c r="B67" s="28" t="s">
        <v>161</v>
      </c>
      <c r="C67" s="30">
        <v>1153.5</v>
      </c>
      <c r="D67" s="30">
        <v>1196.18</v>
      </c>
      <c r="E67" s="30">
        <v>1234.72</v>
      </c>
      <c r="F67" s="30">
        <v>1251.9100000000001</v>
      </c>
      <c r="G67" s="30">
        <v>1269.1099999999999</v>
      </c>
      <c r="H67" s="30">
        <v>3952</v>
      </c>
      <c r="I67" s="54">
        <f t="shared" si="8"/>
        <v>0.29187753036437247</v>
      </c>
      <c r="J67" s="54">
        <f t="shared" si="8"/>
        <v>0.3026771255060729</v>
      </c>
      <c r="K67" s="54">
        <f t="shared" si="8"/>
        <v>0.31242914979757086</v>
      </c>
      <c r="L67" s="54">
        <f t="shared" si="8"/>
        <v>0.31677884615384616</v>
      </c>
      <c r="M67" s="54">
        <f t="shared" si="8"/>
        <v>0.32113107287449388</v>
      </c>
      <c r="N67" s="51">
        <f>FORESTS2[[#This Row],[Area_2020]]-FORESTS2[[#This Row],[Area_1990]]</f>
        <v>115.6099999999999</v>
      </c>
      <c r="O67" s="51">
        <f>ABS(FORESTS2[[#This Row],[Area_Delta]])</f>
        <v>115.6099999999999</v>
      </c>
      <c r="P67" s="54">
        <f>FORESTS2[[#This Row],[Area_2020_%]]-FORESTS2[[#This Row],[Area_1990_%]]</f>
        <v>2.9253542510121411E-2</v>
      </c>
      <c r="Q67" s="54" t="b">
        <f t="shared" si="1"/>
        <v>1</v>
      </c>
      <c r="R67" s="51">
        <f t="shared" si="2"/>
        <v>115.6099999999999</v>
      </c>
      <c r="S67" s="51">
        <f t="shared" si="3"/>
        <v>0</v>
      </c>
      <c r="T67" s="48">
        <f t="shared" si="4"/>
        <v>0</v>
      </c>
      <c r="U67" s="48">
        <v>32.11</v>
      </c>
      <c r="V67" s="30">
        <v>1.34</v>
      </c>
      <c r="W67" s="30">
        <v>0.02</v>
      </c>
      <c r="X67" s="38">
        <f t="shared" si="5"/>
        <v>42.680000000000064</v>
      </c>
      <c r="Y67" s="38">
        <f t="shared" si="5"/>
        <v>38.539999999999964</v>
      </c>
      <c r="Z67" s="38">
        <f t="shared" si="5"/>
        <v>17.190000000000055</v>
      </c>
      <c r="AA67" s="38">
        <f t="shared" ref="AA67:AA130" si="9">G67-F67</f>
        <v>17.199999999999818</v>
      </c>
      <c r="AB67" s="38">
        <f>FORESTS2[[#This Row],[Column7]]+FORESTS2[[#This Row],[Column8]]</f>
        <v>34.389999999999873</v>
      </c>
      <c r="AC67" s="63">
        <f t="shared" si="6"/>
        <v>4.268000000000006</v>
      </c>
      <c r="AD67" s="63">
        <f t="shared" si="6"/>
        <v>3.8539999999999965</v>
      </c>
      <c r="AE67" s="63">
        <f t="shared" si="7"/>
        <v>3.4380000000000108</v>
      </c>
      <c r="AF67" s="63">
        <f t="shared" si="7"/>
        <v>3.4399999999999635</v>
      </c>
      <c r="AG67" s="28">
        <v>1</v>
      </c>
      <c r="AS67" s="28">
        <v>8</v>
      </c>
      <c r="AT67" s="28">
        <v>4</v>
      </c>
      <c r="AU67" s="28">
        <v>2.6666666666666665</v>
      </c>
      <c r="AV67" s="28">
        <v>2</v>
      </c>
      <c r="AW67" s="28">
        <v>1.6</v>
      </c>
    </row>
    <row r="68" spans="1:56" x14ac:dyDescent="0.2">
      <c r="A68" s="28">
        <v>554</v>
      </c>
      <c r="B68" s="28" t="s">
        <v>117</v>
      </c>
      <c r="C68" s="38">
        <v>9372.27</v>
      </c>
      <c r="D68" s="38">
        <v>9850.44</v>
      </c>
      <c r="E68" s="38">
        <v>9848.1200000000008</v>
      </c>
      <c r="F68" s="38">
        <v>9846.61</v>
      </c>
      <c r="G68" s="38">
        <v>9892.59</v>
      </c>
      <c r="H68" s="38">
        <v>26331</v>
      </c>
      <c r="I68" s="54">
        <f t="shared" si="8"/>
        <v>0.35594052637575485</v>
      </c>
      <c r="J68" s="54">
        <f t="shared" si="8"/>
        <v>0.37410048991682809</v>
      </c>
      <c r="K68" s="54">
        <f t="shared" si="8"/>
        <v>0.37401238084387228</v>
      </c>
      <c r="L68" s="54">
        <f t="shared" si="8"/>
        <v>0.37395503399035362</v>
      </c>
      <c r="M68" s="54">
        <f t="shared" si="8"/>
        <v>0.37570126466902132</v>
      </c>
      <c r="N68" s="51">
        <f>FORESTS2[[#This Row],[Area_2020]]-FORESTS2[[#This Row],[Area_1990]]</f>
        <v>520.31999999999971</v>
      </c>
      <c r="O68" s="51">
        <f>ABS(FORESTS2[[#This Row],[Area_Delta]])</f>
        <v>520.31999999999971</v>
      </c>
      <c r="P68" s="54">
        <f>FORESTS2[[#This Row],[Area_2020_%]]-FORESTS2[[#This Row],[Area_1990_%]]</f>
        <v>1.9760738293266467E-2</v>
      </c>
      <c r="Q68" s="48" t="b">
        <f t="shared" ref="Q68:Q131" si="10">IF(G68&gt;C68, TRUE, FALSE)</f>
        <v>1</v>
      </c>
      <c r="R68" s="51">
        <f t="shared" ref="R68:R131" si="11">IF(Q68=TRUE,G68-C68,0)</f>
        <v>520.31999999999971</v>
      </c>
      <c r="S68" s="51">
        <f t="shared" ref="S68:S131" si="12">IF(Q68=TRUE,0,C68-G68)</f>
        <v>0</v>
      </c>
      <c r="T68" s="48">
        <f t="shared" ref="T68:T131" si="13">IF(J68&lt;I68,1,0)+IF(K68&lt;J68,1,0)+IF(L68&lt;K68,1,0)+IF(M68&lt;L68,1,0)</f>
        <v>2</v>
      </c>
      <c r="U68" s="43">
        <v>37.57</v>
      </c>
      <c r="V68" s="30">
        <v>6.58</v>
      </c>
      <c r="W68" s="38">
        <v>1.54</v>
      </c>
      <c r="X68" s="38">
        <f t="shared" ref="X68:AA131" si="14">D68-C68</f>
        <v>478.17000000000007</v>
      </c>
      <c r="Y68" s="38">
        <f t="shared" si="14"/>
        <v>-2.319999999999709</v>
      </c>
      <c r="Z68" s="38">
        <f t="shared" si="14"/>
        <v>-1.5100000000002183</v>
      </c>
      <c r="AA68" s="38">
        <f t="shared" si="9"/>
        <v>45.979999999999563</v>
      </c>
      <c r="AB68" s="38">
        <f>FORESTS2[[#This Row],[Column7]]+FORESTS2[[#This Row],[Column8]]</f>
        <v>44.469999999999345</v>
      </c>
      <c r="AC68" s="63">
        <f t="shared" ref="AC68:AD131" si="15">(D68-C68)/10</f>
        <v>47.817000000000007</v>
      </c>
      <c r="AD68" s="63">
        <f t="shared" si="15"/>
        <v>-0.2319999999999709</v>
      </c>
      <c r="AE68" s="63">
        <f t="shared" ref="AE68:AF131" si="16">(F68-E68)/5</f>
        <v>-0.30200000000004368</v>
      </c>
      <c r="AF68" s="63">
        <f t="shared" si="16"/>
        <v>9.1959999999999127</v>
      </c>
      <c r="AS68" s="28">
        <v>12</v>
      </c>
      <c r="AT68" s="28">
        <v>6</v>
      </c>
      <c r="AU68" s="28">
        <v>4</v>
      </c>
      <c r="AV68" s="28">
        <v>3</v>
      </c>
      <c r="AW68" s="28">
        <v>2.4</v>
      </c>
    </row>
    <row r="69" spans="1:56" x14ac:dyDescent="0.2">
      <c r="A69" s="28">
        <v>616</v>
      </c>
      <c r="B69" s="28" t="s">
        <v>132</v>
      </c>
      <c r="C69" s="38">
        <v>8882</v>
      </c>
      <c r="D69" s="38">
        <v>9059</v>
      </c>
      <c r="E69" s="38">
        <v>9329</v>
      </c>
      <c r="F69" s="38">
        <v>9420</v>
      </c>
      <c r="G69" s="38">
        <v>9483</v>
      </c>
      <c r="H69" s="38">
        <v>30619</v>
      </c>
      <c r="I69" s="54">
        <f t="shared" si="8"/>
        <v>0.2900813220549332</v>
      </c>
      <c r="J69" s="54">
        <f t="shared" si="8"/>
        <v>0.29586204644175185</v>
      </c>
      <c r="K69" s="54">
        <f t="shared" si="8"/>
        <v>0.3046801005911362</v>
      </c>
      <c r="L69" s="54">
        <f t="shared" si="8"/>
        <v>0.30765211143407689</v>
      </c>
      <c r="M69" s="54">
        <f t="shared" si="8"/>
        <v>0.30970965740226658</v>
      </c>
      <c r="N69" s="51">
        <f>FORESTS2[[#This Row],[Area_2020]]-FORESTS2[[#This Row],[Area_1990]]</f>
        <v>601</v>
      </c>
      <c r="O69" s="51">
        <f>ABS(FORESTS2[[#This Row],[Area_Delta]])</f>
        <v>601</v>
      </c>
      <c r="P69" s="54">
        <f>FORESTS2[[#This Row],[Area_2020_%]]-FORESTS2[[#This Row],[Area_1990_%]]</f>
        <v>1.9628335347333381E-2</v>
      </c>
      <c r="Q69" s="48" t="b">
        <f t="shared" si="10"/>
        <v>1</v>
      </c>
      <c r="R69" s="51">
        <f t="shared" si="11"/>
        <v>601</v>
      </c>
      <c r="S69" s="51">
        <f t="shared" si="12"/>
        <v>0</v>
      </c>
      <c r="T69" s="48">
        <f t="shared" si="13"/>
        <v>0</v>
      </c>
      <c r="U69" s="43">
        <v>30.97</v>
      </c>
      <c r="V69" s="30">
        <v>0.77</v>
      </c>
      <c r="W69" s="38">
        <v>5.51</v>
      </c>
      <c r="X69" s="38">
        <f t="shared" si="14"/>
        <v>177</v>
      </c>
      <c r="Y69" s="38">
        <f t="shared" si="14"/>
        <v>270</v>
      </c>
      <c r="Z69" s="38">
        <f t="shared" si="14"/>
        <v>91</v>
      </c>
      <c r="AA69" s="38">
        <f t="shared" si="9"/>
        <v>63</v>
      </c>
      <c r="AB69" s="38">
        <f>FORESTS2[[#This Row],[Column7]]+FORESTS2[[#This Row],[Column8]]</f>
        <v>154</v>
      </c>
      <c r="AC69" s="63">
        <f t="shared" si="15"/>
        <v>17.7</v>
      </c>
      <c r="AD69" s="63">
        <f t="shared" si="15"/>
        <v>27</v>
      </c>
      <c r="AE69" s="63">
        <f t="shared" si="16"/>
        <v>18.2</v>
      </c>
      <c r="AF69" s="63">
        <f t="shared" si="16"/>
        <v>12.6</v>
      </c>
      <c r="AS69" s="28">
        <v>16</v>
      </c>
      <c r="AT69" s="28">
        <v>8</v>
      </c>
      <c r="AU69" s="28">
        <v>5.333333333333333</v>
      </c>
      <c r="AV69" s="28">
        <v>4</v>
      </c>
      <c r="AW69" s="28">
        <v>3.2</v>
      </c>
    </row>
    <row r="70" spans="1:56" hidden="1" x14ac:dyDescent="0.2">
      <c r="A70" s="28">
        <v>688</v>
      </c>
      <c r="B70" s="28" t="s">
        <v>145</v>
      </c>
      <c r="C70" s="38">
        <v>2313</v>
      </c>
      <c r="D70" s="38">
        <v>2460</v>
      </c>
      <c r="E70" s="38">
        <v>2713</v>
      </c>
      <c r="F70" s="38">
        <v>2719.53</v>
      </c>
      <c r="G70" s="38">
        <v>2722.65</v>
      </c>
      <c r="H70" s="38">
        <v>8746</v>
      </c>
      <c r="I70" s="54">
        <f t="shared" si="8"/>
        <v>0.2644637548593643</v>
      </c>
      <c r="J70" s="54">
        <f t="shared" si="8"/>
        <v>0.28127143837182711</v>
      </c>
      <c r="K70" s="54">
        <f t="shared" si="8"/>
        <v>0.3101989480905557</v>
      </c>
      <c r="L70" s="54">
        <f t="shared" si="8"/>
        <v>0.31094557512005488</v>
      </c>
      <c r="M70" s="54">
        <f t="shared" si="8"/>
        <v>0.31130230962725819</v>
      </c>
      <c r="N70" s="51">
        <f>FORESTS2[[#This Row],[Area_2020]]-FORESTS2[[#This Row],[Area_1990]]</f>
        <v>409.65000000000009</v>
      </c>
      <c r="O70" s="51">
        <f>ABS(FORESTS2[[#This Row],[Area_Delta]])</f>
        <v>409.65000000000009</v>
      </c>
      <c r="P70" s="54">
        <f>FORESTS2[[#This Row],[Area_2020_%]]-FORESTS2[[#This Row],[Area_1990_%]]</f>
        <v>4.6838554767893892E-2</v>
      </c>
      <c r="Q70" s="54" t="b">
        <f t="shared" si="10"/>
        <v>1</v>
      </c>
      <c r="R70" s="51">
        <f t="shared" si="11"/>
        <v>409.65000000000009</v>
      </c>
      <c r="S70" s="51">
        <f t="shared" si="12"/>
        <v>0</v>
      </c>
      <c r="T70" s="48">
        <f t="shared" si="13"/>
        <v>0</v>
      </c>
      <c r="U70" s="43">
        <v>31.13</v>
      </c>
      <c r="V70" s="30">
        <v>0.04</v>
      </c>
      <c r="W70" s="38">
        <v>1.85</v>
      </c>
      <c r="X70" s="38">
        <f t="shared" si="14"/>
        <v>147</v>
      </c>
      <c r="Y70" s="38">
        <f t="shared" si="14"/>
        <v>253</v>
      </c>
      <c r="Z70" s="38">
        <f t="shared" si="14"/>
        <v>6.5300000000002001</v>
      </c>
      <c r="AA70" s="38">
        <f t="shared" si="9"/>
        <v>3.1199999999998909</v>
      </c>
      <c r="AB70" s="38">
        <f>FORESTS2[[#This Row],[Column7]]+FORESTS2[[#This Row],[Column8]]</f>
        <v>9.6500000000000909</v>
      </c>
      <c r="AC70" s="63">
        <f t="shared" si="15"/>
        <v>14.7</v>
      </c>
      <c r="AD70" s="63">
        <f t="shared" si="15"/>
        <v>25.3</v>
      </c>
      <c r="AE70" s="63">
        <f t="shared" si="16"/>
        <v>1.30600000000004</v>
      </c>
      <c r="AF70" s="63">
        <f t="shared" si="16"/>
        <v>0.62399999999997813</v>
      </c>
      <c r="AG70" s="28">
        <v>1</v>
      </c>
      <c r="AS70" s="28">
        <v>20</v>
      </c>
      <c r="AT70" s="28">
        <v>10</v>
      </c>
      <c r="AU70" s="28">
        <v>6.666666666666667</v>
      </c>
      <c r="AV70" s="28">
        <v>5</v>
      </c>
      <c r="AW70" s="28">
        <v>4</v>
      </c>
    </row>
    <row r="71" spans="1:56" x14ac:dyDescent="0.2">
      <c r="A71" s="28">
        <v>246</v>
      </c>
      <c r="B71" s="28" t="s">
        <v>56</v>
      </c>
      <c r="C71" s="38">
        <v>21875.33</v>
      </c>
      <c r="D71" s="38">
        <v>22445.64</v>
      </c>
      <c r="E71" s="38">
        <v>22242</v>
      </c>
      <c r="F71" s="38">
        <v>22409</v>
      </c>
      <c r="G71" s="38">
        <v>22409</v>
      </c>
      <c r="H71" s="38">
        <v>30391</v>
      </c>
      <c r="I71" s="54">
        <f t="shared" si="8"/>
        <v>0.71979632127932613</v>
      </c>
      <c r="J71" s="54">
        <f t="shared" si="8"/>
        <v>0.738562074298312</v>
      </c>
      <c r="K71" s="54">
        <f t="shared" si="8"/>
        <v>0.73186140633740249</v>
      </c>
      <c r="L71" s="54">
        <f t="shared" si="8"/>
        <v>0.73735645421341844</v>
      </c>
      <c r="M71" s="54">
        <f t="shared" si="8"/>
        <v>0.73735645421341844</v>
      </c>
      <c r="N71" s="51">
        <f>FORESTS2[[#This Row],[Area_2020]]-FORESTS2[[#This Row],[Area_1990]]</f>
        <v>533.66999999999825</v>
      </c>
      <c r="O71" s="51">
        <f>ABS(FORESTS2[[#This Row],[Area_Delta]])</f>
        <v>533.66999999999825</v>
      </c>
      <c r="P71" s="54">
        <f>FORESTS2[[#This Row],[Area_2020_%]]-FORESTS2[[#This Row],[Area_1990_%]]</f>
        <v>1.756013293409231E-2</v>
      </c>
      <c r="Q71" s="48" t="b">
        <f t="shared" si="10"/>
        <v>1</v>
      </c>
      <c r="R71" s="51">
        <f t="shared" si="11"/>
        <v>533.66999999999825</v>
      </c>
      <c r="S71" s="51">
        <f t="shared" si="12"/>
        <v>0</v>
      </c>
      <c r="T71" s="62">
        <f t="shared" si="13"/>
        <v>1</v>
      </c>
      <c r="U71" s="43">
        <v>73.739999999999995</v>
      </c>
      <c r="V71" s="30" t="s">
        <v>247</v>
      </c>
      <c r="W71" s="38">
        <v>0.15</v>
      </c>
      <c r="X71" s="38">
        <f t="shared" si="14"/>
        <v>570.30999999999767</v>
      </c>
      <c r="Y71" s="38">
        <f t="shared" si="14"/>
        <v>-203.63999999999942</v>
      </c>
      <c r="Z71" s="38">
        <f t="shared" si="14"/>
        <v>167</v>
      </c>
      <c r="AA71" s="38">
        <f t="shared" si="9"/>
        <v>0</v>
      </c>
      <c r="AB71" s="38">
        <f>FORESTS2[[#This Row],[Column7]]+FORESTS2[[#This Row],[Column8]]</f>
        <v>167</v>
      </c>
      <c r="AC71" s="63">
        <f t="shared" si="15"/>
        <v>57.030999999999764</v>
      </c>
      <c r="AD71" s="63">
        <f t="shared" si="15"/>
        <v>-20.36399999999994</v>
      </c>
      <c r="AE71" s="63">
        <f t="shared" si="16"/>
        <v>33.4</v>
      </c>
      <c r="AF71" s="63">
        <f t="shared" si="16"/>
        <v>0</v>
      </c>
    </row>
    <row r="72" spans="1:56" x14ac:dyDescent="0.2">
      <c r="A72" s="28">
        <v>364</v>
      </c>
      <c r="B72" s="28" t="s">
        <v>77</v>
      </c>
      <c r="C72" s="38">
        <v>9076.06</v>
      </c>
      <c r="D72" s="38">
        <v>9325.66</v>
      </c>
      <c r="E72" s="38">
        <v>10691.98</v>
      </c>
      <c r="F72" s="38">
        <v>10691.98</v>
      </c>
      <c r="G72" s="38">
        <v>10751.87</v>
      </c>
      <c r="H72" s="38">
        <v>162876</v>
      </c>
      <c r="I72" s="54">
        <f t="shared" si="8"/>
        <v>5.5723740759841843E-2</v>
      </c>
      <c r="J72" s="54">
        <f t="shared" si="8"/>
        <v>5.7256194896731255E-2</v>
      </c>
      <c r="K72" s="54">
        <f t="shared" si="8"/>
        <v>6.564490778260762E-2</v>
      </c>
      <c r="L72" s="54">
        <f t="shared" si="8"/>
        <v>6.564490778260762E-2</v>
      </c>
      <c r="M72" s="54">
        <f t="shared" si="8"/>
        <v>6.6012610820501486E-2</v>
      </c>
      <c r="N72" s="51">
        <f>FORESTS2[[#This Row],[Area_2020]]-FORESTS2[[#This Row],[Area_1990]]</f>
        <v>1675.8100000000013</v>
      </c>
      <c r="O72" s="51">
        <f>ABS(FORESTS2[[#This Row],[Area_Delta]])</f>
        <v>1675.8100000000013</v>
      </c>
      <c r="P72" s="54">
        <f>FORESTS2[[#This Row],[Area_2020_%]]-FORESTS2[[#This Row],[Area_1990_%]]</f>
        <v>1.0288870060659643E-2</v>
      </c>
      <c r="Q72" s="48" t="b">
        <f t="shared" si="10"/>
        <v>1</v>
      </c>
      <c r="R72" s="51">
        <f t="shared" si="11"/>
        <v>1675.8100000000013</v>
      </c>
      <c r="S72" s="51">
        <f t="shared" si="12"/>
        <v>0</v>
      </c>
      <c r="T72" s="62">
        <f t="shared" si="13"/>
        <v>0</v>
      </c>
      <c r="U72" s="43">
        <v>6.6</v>
      </c>
      <c r="V72" s="30" t="s">
        <v>247</v>
      </c>
      <c r="W72" s="38">
        <v>4.79</v>
      </c>
      <c r="X72" s="38">
        <f t="shared" si="14"/>
        <v>249.60000000000036</v>
      </c>
      <c r="Y72" s="38">
        <f t="shared" si="14"/>
        <v>1366.3199999999997</v>
      </c>
      <c r="Z72" s="38">
        <f t="shared" si="14"/>
        <v>0</v>
      </c>
      <c r="AA72" s="38">
        <f t="shared" si="9"/>
        <v>59.890000000001237</v>
      </c>
      <c r="AB72" s="38">
        <f>FORESTS2[[#This Row],[Column7]]+FORESTS2[[#This Row],[Column8]]</f>
        <v>59.890000000001237</v>
      </c>
      <c r="AC72" s="63">
        <f t="shared" si="15"/>
        <v>24.960000000000036</v>
      </c>
      <c r="AD72" s="63">
        <f t="shared" si="15"/>
        <v>136.63199999999998</v>
      </c>
      <c r="AE72" s="63">
        <f t="shared" si="16"/>
        <v>0</v>
      </c>
      <c r="AF72" s="63">
        <f t="shared" si="16"/>
        <v>11.978000000000247</v>
      </c>
      <c r="BD72" s="28" t="s">
        <v>331</v>
      </c>
    </row>
    <row r="73" spans="1:56" x14ac:dyDescent="0.2">
      <c r="A73" s="28">
        <v>764</v>
      </c>
      <c r="B73" s="28" t="s">
        <v>164</v>
      </c>
      <c r="C73" s="38">
        <v>19361</v>
      </c>
      <c r="D73" s="38">
        <v>18998</v>
      </c>
      <c r="E73" s="38">
        <v>20073</v>
      </c>
      <c r="F73" s="38">
        <v>20061</v>
      </c>
      <c r="G73" s="38">
        <v>19873</v>
      </c>
      <c r="H73" s="38">
        <v>51089</v>
      </c>
      <c r="I73" s="54">
        <f t="shared" si="8"/>
        <v>0.37896611795102664</v>
      </c>
      <c r="J73" s="54">
        <f t="shared" si="8"/>
        <v>0.3718608702460412</v>
      </c>
      <c r="K73" s="54">
        <f t="shared" si="8"/>
        <v>0.39290258176906967</v>
      </c>
      <c r="L73" s="54">
        <f t="shared" si="8"/>
        <v>0.39266769754741726</v>
      </c>
      <c r="M73" s="54">
        <f t="shared" si="8"/>
        <v>0.38898784474152948</v>
      </c>
      <c r="N73" s="51">
        <f>FORESTS2[[#This Row],[Area_2020]]-FORESTS2[[#This Row],[Area_1990]]</f>
        <v>512</v>
      </c>
      <c r="O73" s="51">
        <f>ABS(FORESTS2[[#This Row],[Area_Delta]])</f>
        <v>512</v>
      </c>
      <c r="P73" s="54">
        <f>FORESTS2[[#This Row],[Area_2020_%]]-FORESTS2[[#This Row],[Area_1990_%]]</f>
        <v>1.0021726790502838E-2</v>
      </c>
      <c r="Q73" s="48" t="b">
        <f t="shared" si="10"/>
        <v>1</v>
      </c>
      <c r="R73" s="51">
        <f t="shared" si="11"/>
        <v>512</v>
      </c>
      <c r="S73" s="51">
        <f t="shared" si="12"/>
        <v>0</v>
      </c>
      <c r="T73" s="62">
        <f t="shared" si="13"/>
        <v>3</v>
      </c>
      <c r="U73" s="43">
        <v>38.9</v>
      </c>
      <c r="V73" s="30">
        <v>37.6</v>
      </c>
      <c r="W73" s="38">
        <v>16.579999999999998</v>
      </c>
      <c r="X73" s="38">
        <f t="shared" si="14"/>
        <v>-363</v>
      </c>
      <c r="Y73" s="38">
        <f t="shared" si="14"/>
        <v>1075</v>
      </c>
      <c r="Z73" s="38">
        <f t="shared" si="14"/>
        <v>-12</v>
      </c>
      <c r="AA73" s="38">
        <f t="shared" si="9"/>
        <v>-188</v>
      </c>
      <c r="AB73" s="38">
        <f>FORESTS2[[#This Row],[Column7]]+FORESTS2[[#This Row],[Column8]]</f>
        <v>-200</v>
      </c>
      <c r="AC73" s="63">
        <f t="shared" si="15"/>
        <v>-36.299999999999997</v>
      </c>
      <c r="AD73" s="63">
        <f t="shared" si="15"/>
        <v>107.5</v>
      </c>
      <c r="AE73" s="63">
        <f t="shared" si="16"/>
        <v>-2.4</v>
      </c>
      <c r="AF73" s="63">
        <f t="shared" si="16"/>
        <v>-37.6</v>
      </c>
      <c r="AS73" s="28" t="s">
        <v>332</v>
      </c>
      <c r="AT73" s="28" t="s">
        <v>333</v>
      </c>
    </row>
    <row r="74" spans="1:56" hidden="1" x14ac:dyDescent="0.2">
      <c r="A74" s="28">
        <v>748</v>
      </c>
      <c r="B74" s="28" t="s">
        <v>53</v>
      </c>
      <c r="C74" s="30">
        <v>461.14</v>
      </c>
      <c r="D74" s="30">
        <v>473.28</v>
      </c>
      <c r="E74" s="30">
        <v>485.43</v>
      </c>
      <c r="F74" s="30">
        <v>491.5</v>
      </c>
      <c r="G74" s="30">
        <v>497.56</v>
      </c>
      <c r="H74" s="30">
        <v>1720</v>
      </c>
      <c r="I74" s="54">
        <f t="shared" si="8"/>
        <v>0.2681046511627907</v>
      </c>
      <c r="J74" s="54">
        <f t="shared" si="8"/>
        <v>0.27516279069767441</v>
      </c>
      <c r="K74" s="54">
        <f t="shared" si="8"/>
        <v>0.28222674418604654</v>
      </c>
      <c r="L74" s="54">
        <f t="shared" si="8"/>
        <v>0.28575581395348837</v>
      </c>
      <c r="M74" s="54">
        <f t="shared" si="8"/>
        <v>0.28927906976744189</v>
      </c>
      <c r="N74" s="51">
        <f>FORESTS2[[#This Row],[Area_2020]]-FORESTS2[[#This Row],[Area_1990]]</f>
        <v>36.420000000000016</v>
      </c>
      <c r="O74" s="51">
        <f>ABS(FORESTS2[[#This Row],[Area_Delta]])</f>
        <v>36.420000000000016</v>
      </c>
      <c r="P74" s="54">
        <f>FORESTS2[[#This Row],[Area_2020_%]]-FORESTS2[[#This Row],[Area_1990_%]]</f>
        <v>2.1174418604651191E-2</v>
      </c>
      <c r="Q74" s="54" t="b">
        <f t="shared" si="10"/>
        <v>1</v>
      </c>
      <c r="R74" s="51">
        <f t="shared" si="11"/>
        <v>36.420000000000016</v>
      </c>
      <c r="S74" s="51">
        <f t="shared" si="12"/>
        <v>0</v>
      </c>
      <c r="T74" s="48">
        <f t="shared" si="13"/>
        <v>0</v>
      </c>
      <c r="U74" s="48">
        <v>28.93</v>
      </c>
      <c r="V74" s="30" t="s">
        <v>247</v>
      </c>
      <c r="W74" s="30" t="s">
        <v>247</v>
      </c>
      <c r="X74" s="38">
        <f t="shared" si="14"/>
        <v>12.139999999999986</v>
      </c>
      <c r="Y74" s="38">
        <f t="shared" si="14"/>
        <v>12.150000000000034</v>
      </c>
      <c r="Z74" s="38">
        <f t="shared" si="14"/>
        <v>6.0699999999999932</v>
      </c>
      <c r="AA74" s="38">
        <f t="shared" si="9"/>
        <v>6.0600000000000023</v>
      </c>
      <c r="AB74" s="38">
        <f>FORESTS2[[#This Row],[Column7]]+FORESTS2[[#This Row],[Column8]]</f>
        <v>12.129999999999995</v>
      </c>
      <c r="AC74" s="63">
        <f t="shared" si="15"/>
        <v>1.2139999999999986</v>
      </c>
      <c r="AD74" s="63">
        <f t="shared" si="15"/>
        <v>1.2150000000000034</v>
      </c>
      <c r="AE74" s="63">
        <f t="shared" si="16"/>
        <v>1.2139999999999986</v>
      </c>
      <c r="AF74" s="63">
        <f t="shared" si="16"/>
        <v>1.2120000000000004</v>
      </c>
    </row>
    <row r="75" spans="1:56" x14ac:dyDescent="0.2">
      <c r="A75" s="28">
        <v>840</v>
      </c>
      <c r="B75" s="28" t="s">
        <v>177</v>
      </c>
      <c r="C75" s="38">
        <v>302450</v>
      </c>
      <c r="D75" s="38">
        <v>303536</v>
      </c>
      <c r="E75" s="38">
        <v>308720</v>
      </c>
      <c r="F75" s="38">
        <v>310095</v>
      </c>
      <c r="G75" s="38">
        <v>309795</v>
      </c>
      <c r="H75" s="38">
        <v>914742</v>
      </c>
      <c r="I75" s="54">
        <f t="shared" si="8"/>
        <v>0.33063967763587987</v>
      </c>
      <c r="J75" s="54">
        <f t="shared" si="8"/>
        <v>0.33182689763889711</v>
      </c>
      <c r="K75" s="54">
        <f t="shared" si="8"/>
        <v>0.33749406936600701</v>
      </c>
      <c r="L75" s="54">
        <f t="shared" si="8"/>
        <v>0.33899722544717525</v>
      </c>
      <c r="M75" s="54">
        <f t="shared" si="8"/>
        <v>0.3386692641203749</v>
      </c>
      <c r="N75" s="51">
        <f>FORESTS2[[#This Row],[Area_2020]]-FORESTS2[[#This Row],[Area_1990]]</f>
        <v>7345</v>
      </c>
      <c r="O75" s="51">
        <f>ABS(FORESTS2[[#This Row],[Area_Delta]])</f>
        <v>7345</v>
      </c>
      <c r="P75" s="54">
        <f>FORESTS2[[#This Row],[Area_2020_%]]-FORESTS2[[#This Row],[Area_1990_%]]</f>
        <v>8.0295864844950326E-3</v>
      </c>
      <c r="Q75" s="48" t="b">
        <f t="shared" si="10"/>
        <v>1</v>
      </c>
      <c r="R75" s="51">
        <f t="shared" si="11"/>
        <v>7345</v>
      </c>
      <c r="S75" s="51">
        <f t="shared" si="12"/>
        <v>0</v>
      </c>
      <c r="T75" s="62">
        <f t="shared" si="13"/>
        <v>1</v>
      </c>
      <c r="U75" s="43">
        <v>33.869999999999997</v>
      </c>
      <c r="V75" s="30" t="s">
        <v>247</v>
      </c>
      <c r="W75" s="38">
        <v>4097.6499999999996</v>
      </c>
      <c r="X75" s="38">
        <f t="shared" si="14"/>
        <v>1086</v>
      </c>
      <c r="Y75" s="38">
        <f t="shared" si="14"/>
        <v>5184</v>
      </c>
      <c r="Z75" s="38">
        <f t="shared" si="14"/>
        <v>1375</v>
      </c>
      <c r="AA75" s="38">
        <f t="shared" si="9"/>
        <v>-300</v>
      </c>
      <c r="AB75" s="38">
        <f>FORESTS2[[#This Row],[Column7]]+FORESTS2[[#This Row],[Column8]]</f>
        <v>1075</v>
      </c>
      <c r="AC75" s="63">
        <f t="shared" si="15"/>
        <v>108.6</v>
      </c>
      <c r="AD75" s="63">
        <f t="shared" si="15"/>
        <v>518.4</v>
      </c>
      <c r="AE75" s="63">
        <f t="shared" si="16"/>
        <v>275</v>
      </c>
      <c r="AF75" s="63">
        <f t="shared" si="16"/>
        <v>-60</v>
      </c>
      <c r="AG75" s="28">
        <v>1</v>
      </c>
      <c r="AS75" s="28">
        <v>10</v>
      </c>
      <c r="AT75" s="28">
        <v>2</v>
      </c>
    </row>
    <row r="76" spans="1:56" hidden="1" x14ac:dyDescent="0.2">
      <c r="A76" s="28">
        <v>316</v>
      </c>
      <c r="B76" s="28" t="s">
        <v>67</v>
      </c>
      <c r="C76" s="30">
        <v>24</v>
      </c>
      <c r="D76" s="30">
        <v>24</v>
      </c>
      <c r="E76" s="30">
        <v>24</v>
      </c>
      <c r="F76" s="30">
        <v>25</v>
      </c>
      <c r="G76" s="30">
        <v>28</v>
      </c>
      <c r="H76" s="30">
        <v>54</v>
      </c>
      <c r="I76" s="54">
        <f t="shared" si="8"/>
        <v>0.44444444444444442</v>
      </c>
      <c r="J76" s="54">
        <f t="shared" si="8"/>
        <v>0.44444444444444442</v>
      </c>
      <c r="K76" s="54">
        <f t="shared" si="8"/>
        <v>0.44444444444444442</v>
      </c>
      <c r="L76" s="54">
        <f t="shared" si="8"/>
        <v>0.46296296296296297</v>
      </c>
      <c r="M76" s="54">
        <f t="shared" si="8"/>
        <v>0.51851851851851849</v>
      </c>
      <c r="N76" s="51">
        <f>FORESTS2[[#This Row],[Area_2020]]-FORESTS2[[#This Row],[Area_1990]]</f>
        <v>4</v>
      </c>
      <c r="O76" s="51">
        <f>ABS(FORESTS2[[#This Row],[Area_Delta]])</f>
        <v>4</v>
      </c>
      <c r="P76" s="54">
        <f>FORESTS2[[#This Row],[Area_2020_%]]-FORESTS2[[#This Row],[Area_1990_%]]</f>
        <v>7.407407407407407E-2</v>
      </c>
      <c r="Q76" s="54" t="b">
        <f t="shared" si="10"/>
        <v>1</v>
      </c>
      <c r="R76" s="51">
        <f t="shared" si="11"/>
        <v>4</v>
      </c>
      <c r="S76" s="51">
        <f t="shared" si="12"/>
        <v>0</v>
      </c>
      <c r="T76" s="48">
        <f t="shared" si="13"/>
        <v>0</v>
      </c>
      <c r="U76" s="48">
        <v>51.85</v>
      </c>
      <c r="V76" s="30" t="s">
        <v>247</v>
      </c>
      <c r="W76" s="30" t="s">
        <v>247</v>
      </c>
      <c r="X76" s="38">
        <f t="shared" si="14"/>
        <v>0</v>
      </c>
      <c r="Y76" s="38">
        <f t="shared" si="14"/>
        <v>0</v>
      </c>
      <c r="Z76" s="38">
        <f t="shared" si="14"/>
        <v>1</v>
      </c>
      <c r="AA76" s="38">
        <f t="shared" si="9"/>
        <v>3</v>
      </c>
      <c r="AB76" s="38">
        <f>FORESTS2[[#This Row],[Column7]]+FORESTS2[[#This Row],[Column8]]</f>
        <v>4</v>
      </c>
      <c r="AC76" s="63">
        <f t="shared" si="15"/>
        <v>0</v>
      </c>
      <c r="AD76" s="63">
        <f t="shared" si="15"/>
        <v>0</v>
      </c>
      <c r="AE76" s="63">
        <f t="shared" si="16"/>
        <v>0.2</v>
      </c>
      <c r="AF76" s="63">
        <f t="shared" si="16"/>
        <v>0.6</v>
      </c>
      <c r="AG76" s="28">
        <v>1</v>
      </c>
    </row>
    <row r="77" spans="1:56" hidden="1" x14ac:dyDescent="0.2">
      <c r="A77" s="28">
        <v>8</v>
      </c>
      <c r="B77" s="28" t="s">
        <v>232</v>
      </c>
      <c r="C77" s="30">
        <v>788.8</v>
      </c>
      <c r="D77" s="30">
        <v>769.3</v>
      </c>
      <c r="E77" s="30">
        <v>782.07</v>
      </c>
      <c r="F77" s="30">
        <v>789.19</v>
      </c>
      <c r="G77" s="30">
        <v>788.9</v>
      </c>
      <c r="H77" s="30">
        <v>2740</v>
      </c>
      <c r="I77" s="54">
        <f t="shared" si="8"/>
        <v>0.28788321167883207</v>
      </c>
      <c r="J77" s="54">
        <f t="shared" si="8"/>
        <v>0.28076642335766422</v>
      </c>
      <c r="K77" s="54">
        <f t="shared" si="8"/>
        <v>0.28542700729927006</v>
      </c>
      <c r="L77" s="54">
        <f t="shared" si="8"/>
        <v>0.28802554744525549</v>
      </c>
      <c r="M77" s="54">
        <f t="shared" si="8"/>
        <v>0.28791970802919709</v>
      </c>
      <c r="N77" s="51">
        <f>FORESTS2[[#This Row],[Area_2020]]-FORESTS2[[#This Row],[Area_1990]]</f>
        <v>0.10000000000002274</v>
      </c>
      <c r="O77" s="51">
        <f>ABS(FORESTS2[[#This Row],[Area_Delta]])</f>
        <v>0.10000000000002274</v>
      </c>
      <c r="P77" s="54">
        <f>FORESTS2[[#This Row],[Area_2020_%]]-FORESTS2[[#This Row],[Area_1990_%]]</f>
        <v>3.6496350365011754E-5</v>
      </c>
      <c r="Q77" s="54" t="b">
        <f t="shared" si="10"/>
        <v>1</v>
      </c>
      <c r="R77" s="51">
        <f t="shared" si="11"/>
        <v>0.10000000000002274</v>
      </c>
      <c r="S77" s="51">
        <f t="shared" si="12"/>
        <v>0</v>
      </c>
      <c r="T77" s="48">
        <f t="shared" si="13"/>
        <v>2</v>
      </c>
      <c r="U77" s="48">
        <v>28.79</v>
      </c>
      <c r="V77" s="30" t="s">
        <v>247</v>
      </c>
      <c r="W77" s="30" t="s">
        <v>247</v>
      </c>
      <c r="X77" s="38">
        <f t="shared" si="14"/>
        <v>-19.5</v>
      </c>
      <c r="Y77" s="38">
        <f t="shared" si="14"/>
        <v>12.770000000000095</v>
      </c>
      <c r="Z77" s="38">
        <f t="shared" si="14"/>
        <v>7.1200000000000045</v>
      </c>
      <c r="AA77" s="38">
        <f t="shared" si="9"/>
        <v>-0.29000000000007731</v>
      </c>
      <c r="AB77" s="38">
        <f>FORESTS2[[#This Row],[Column7]]+FORESTS2[[#This Row],[Column8]]</f>
        <v>6.8299999999999272</v>
      </c>
      <c r="AC77" s="63">
        <f t="shared" si="15"/>
        <v>-1.95</v>
      </c>
      <c r="AD77" s="63">
        <f t="shared" si="15"/>
        <v>1.2770000000000095</v>
      </c>
      <c r="AE77" s="63">
        <f t="shared" si="16"/>
        <v>1.4240000000000008</v>
      </c>
      <c r="AF77" s="63">
        <f t="shared" si="16"/>
        <v>-5.8000000000015463E-2</v>
      </c>
      <c r="AG77" s="28">
        <v>1</v>
      </c>
    </row>
    <row r="78" spans="1:56" hidden="1" x14ac:dyDescent="0.2">
      <c r="A78" s="28">
        <v>585</v>
      </c>
      <c r="B78" s="28" t="s">
        <v>126</v>
      </c>
      <c r="C78" s="30">
        <v>38.15</v>
      </c>
      <c r="D78" s="30">
        <v>39.58</v>
      </c>
      <c r="E78" s="30">
        <v>40.56</v>
      </c>
      <c r="F78" s="30">
        <v>40.99</v>
      </c>
      <c r="G78" s="30">
        <v>41.41</v>
      </c>
      <c r="H78" s="30">
        <v>46</v>
      </c>
      <c r="I78" s="54">
        <f t="shared" si="8"/>
        <v>0.82934782608695645</v>
      </c>
      <c r="J78" s="54">
        <f t="shared" si="8"/>
        <v>0.86043478260869566</v>
      </c>
      <c r="K78" s="54">
        <f t="shared" si="8"/>
        <v>0.88173913043478269</v>
      </c>
      <c r="L78" s="54">
        <f t="shared" si="8"/>
        <v>0.89108695652173919</v>
      </c>
      <c r="M78" s="54">
        <f t="shared" si="8"/>
        <v>0.90021739130434775</v>
      </c>
      <c r="N78" s="51">
        <f>FORESTS2[[#This Row],[Area_2020]]-FORESTS2[[#This Row],[Area_1990]]</f>
        <v>3.259999999999998</v>
      </c>
      <c r="O78" s="51">
        <f>ABS(FORESTS2[[#This Row],[Area_Delta]])</f>
        <v>3.259999999999998</v>
      </c>
      <c r="P78" s="54">
        <f>FORESTS2[[#This Row],[Area_2020_%]]-FORESTS2[[#This Row],[Area_1990_%]]</f>
        <v>7.0869565217391295E-2</v>
      </c>
      <c r="Q78" s="54" t="b">
        <f t="shared" si="10"/>
        <v>1</v>
      </c>
      <c r="R78" s="51">
        <f t="shared" si="11"/>
        <v>3.259999999999998</v>
      </c>
      <c r="S78" s="51">
        <f t="shared" si="12"/>
        <v>0</v>
      </c>
      <c r="T78" s="48">
        <f t="shared" si="13"/>
        <v>0</v>
      </c>
      <c r="U78" s="48">
        <v>90.02</v>
      </c>
      <c r="V78" s="30" t="s">
        <v>247</v>
      </c>
      <c r="W78" s="30" t="s">
        <v>247</v>
      </c>
      <c r="X78" s="38">
        <f t="shared" si="14"/>
        <v>1.4299999999999997</v>
      </c>
      <c r="Y78" s="38">
        <f t="shared" si="14"/>
        <v>0.98000000000000398</v>
      </c>
      <c r="Z78" s="38">
        <f t="shared" si="14"/>
        <v>0.42999999999999972</v>
      </c>
      <c r="AA78" s="38">
        <f t="shared" si="9"/>
        <v>0.4199999999999946</v>
      </c>
      <c r="AB78" s="38">
        <f>FORESTS2[[#This Row],[Column7]]+FORESTS2[[#This Row],[Column8]]</f>
        <v>0.84999999999999432</v>
      </c>
      <c r="AC78" s="63">
        <f t="shared" si="15"/>
        <v>0.14299999999999996</v>
      </c>
      <c r="AD78" s="63">
        <f t="shared" si="15"/>
        <v>9.8000000000000392E-2</v>
      </c>
      <c r="AE78" s="63">
        <f t="shared" si="16"/>
        <v>8.5999999999999938E-2</v>
      </c>
      <c r="AF78" s="63">
        <f t="shared" si="16"/>
        <v>8.3999999999998923E-2</v>
      </c>
      <c r="AG78" s="28">
        <v>1</v>
      </c>
    </row>
    <row r="79" spans="1:56" hidden="1" x14ac:dyDescent="0.2">
      <c r="A79" s="28">
        <v>558</v>
      </c>
      <c r="B79" s="28" t="s">
        <v>118</v>
      </c>
      <c r="C79" s="46">
        <v>6399.32</v>
      </c>
      <c r="D79" s="46">
        <v>5399.32</v>
      </c>
      <c r="E79" s="46">
        <v>4188.1499999999996</v>
      </c>
      <c r="F79" s="46">
        <v>3907.53</v>
      </c>
      <c r="G79" s="46">
        <v>3407.53</v>
      </c>
      <c r="H79" s="46">
        <v>12034</v>
      </c>
      <c r="I79" s="54">
        <f t="shared" si="8"/>
        <v>0.53176998504237993</v>
      </c>
      <c r="J79" s="54">
        <f t="shared" si="8"/>
        <v>0.44867209572876848</v>
      </c>
      <c r="K79" s="54">
        <f t="shared" si="8"/>
        <v>0.34802642512880172</v>
      </c>
      <c r="L79" s="54">
        <f t="shared" si="8"/>
        <v>0.32470749542961608</v>
      </c>
      <c r="M79" s="54">
        <f t="shared" si="8"/>
        <v>0.28315855077281038</v>
      </c>
      <c r="N79" s="51">
        <f>FORESTS2[[#This Row],[Area_2020]]-FORESTS2[[#This Row],[Area_1990]]</f>
        <v>-2991.7899999999995</v>
      </c>
      <c r="O79" s="51">
        <f>ABS(FORESTS2[[#This Row],[Area_Delta]])</f>
        <v>2991.7899999999995</v>
      </c>
      <c r="P79" s="54">
        <f>FORESTS2[[#This Row],[Area_2020_%]]-FORESTS2[[#This Row],[Area_1990_%]]</f>
        <v>-0.24861143426956955</v>
      </c>
      <c r="Q79" s="54" t="b">
        <f t="shared" si="10"/>
        <v>0</v>
      </c>
      <c r="R79" s="51">
        <f t="shared" si="11"/>
        <v>0</v>
      </c>
      <c r="S79" s="51">
        <f t="shared" si="12"/>
        <v>2991.7899999999995</v>
      </c>
      <c r="T79" s="48">
        <f t="shared" si="13"/>
        <v>4</v>
      </c>
      <c r="U79" s="43">
        <v>28.32</v>
      </c>
      <c r="V79" s="30">
        <v>105.03</v>
      </c>
      <c r="W79" s="38" t="s">
        <v>247</v>
      </c>
      <c r="X79" s="38">
        <f t="shared" si="14"/>
        <v>-1000</v>
      </c>
      <c r="Y79" s="38">
        <f t="shared" si="14"/>
        <v>-1211.17</v>
      </c>
      <c r="Z79" s="38">
        <f t="shared" si="14"/>
        <v>-280.61999999999944</v>
      </c>
      <c r="AA79" s="38">
        <f t="shared" si="9"/>
        <v>-500</v>
      </c>
      <c r="AB79" s="38">
        <f>FORESTS2[[#This Row],[Column7]]+FORESTS2[[#This Row],[Column8]]</f>
        <v>-780.61999999999944</v>
      </c>
      <c r="AC79" s="63">
        <f t="shared" si="15"/>
        <v>-100</v>
      </c>
      <c r="AD79" s="63">
        <f t="shared" si="15"/>
        <v>-121.117</v>
      </c>
      <c r="AE79" s="63">
        <f t="shared" si="16"/>
        <v>-56.123999999999889</v>
      </c>
      <c r="AF79" s="63">
        <f t="shared" si="16"/>
        <v>-100</v>
      </c>
    </row>
    <row r="80" spans="1:56" hidden="1" x14ac:dyDescent="0.2">
      <c r="A80" s="28">
        <v>222</v>
      </c>
      <c r="B80" s="28" t="s">
        <v>49</v>
      </c>
      <c r="C80" s="46">
        <v>718.88</v>
      </c>
      <c r="D80" s="46">
        <v>673.88</v>
      </c>
      <c r="E80" s="46">
        <v>628.88</v>
      </c>
      <c r="F80" s="46">
        <v>606.38</v>
      </c>
      <c r="G80" s="46">
        <v>583.88</v>
      </c>
      <c r="H80" s="46">
        <v>2072</v>
      </c>
      <c r="I80" s="54">
        <f t="shared" si="8"/>
        <v>0.34694980694980693</v>
      </c>
      <c r="J80" s="54">
        <f t="shared" si="8"/>
        <v>0.32523166023166022</v>
      </c>
      <c r="K80" s="54">
        <f t="shared" si="8"/>
        <v>0.30351351351351352</v>
      </c>
      <c r="L80" s="54">
        <f t="shared" si="8"/>
        <v>0.29265444015444014</v>
      </c>
      <c r="M80" s="54">
        <f t="shared" si="8"/>
        <v>0.28179536679536682</v>
      </c>
      <c r="N80" s="51">
        <f>FORESTS2[[#This Row],[Area_2020]]-FORESTS2[[#This Row],[Area_1990]]</f>
        <v>-135</v>
      </c>
      <c r="O80" s="51">
        <f>ABS(FORESTS2[[#This Row],[Area_Delta]])</f>
        <v>135</v>
      </c>
      <c r="P80" s="54">
        <f>FORESTS2[[#This Row],[Area_2020_%]]-FORESTS2[[#This Row],[Area_1990_%]]</f>
        <v>-6.5154440154440108E-2</v>
      </c>
      <c r="Q80" s="54" t="b">
        <f t="shared" si="10"/>
        <v>0</v>
      </c>
      <c r="R80" s="51">
        <f t="shared" si="11"/>
        <v>0</v>
      </c>
      <c r="S80" s="51">
        <f t="shared" si="12"/>
        <v>135</v>
      </c>
      <c r="T80" s="48">
        <f t="shared" si="13"/>
        <v>4</v>
      </c>
      <c r="U80" s="48">
        <v>28.18</v>
      </c>
      <c r="V80" s="30">
        <v>4.5</v>
      </c>
      <c r="W80" s="30" t="s">
        <v>247</v>
      </c>
      <c r="X80" s="38">
        <f t="shared" si="14"/>
        <v>-45</v>
      </c>
      <c r="Y80" s="38">
        <f t="shared" si="14"/>
        <v>-45</v>
      </c>
      <c r="Z80" s="38">
        <f t="shared" si="14"/>
        <v>-22.5</v>
      </c>
      <c r="AA80" s="38">
        <f t="shared" si="9"/>
        <v>-22.5</v>
      </c>
      <c r="AB80" s="38">
        <f>FORESTS2[[#This Row],[Column7]]+FORESTS2[[#This Row],[Column8]]</f>
        <v>-45</v>
      </c>
      <c r="AC80" s="63">
        <f t="shared" si="15"/>
        <v>-4.5</v>
      </c>
      <c r="AD80" s="63">
        <f t="shared" si="15"/>
        <v>-4.5</v>
      </c>
      <c r="AE80" s="63">
        <f t="shared" si="16"/>
        <v>-4.5</v>
      </c>
      <c r="AF80" s="63">
        <f t="shared" si="16"/>
        <v>-4.5</v>
      </c>
      <c r="AG80" s="28">
        <v>1</v>
      </c>
    </row>
    <row r="81" spans="1:46" hidden="1" x14ac:dyDescent="0.2">
      <c r="A81" s="28">
        <v>204</v>
      </c>
      <c r="B81" s="28" t="s">
        <v>16</v>
      </c>
      <c r="C81" s="46">
        <v>4835.1499999999996</v>
      </c>
      <c r="D81" s="46">
        <v>4135.1499999999996</v>
      </c>
      <c r="E81" s="46">
        <v>3635.15</v>
      </c>
      <c r="F81" s="46">
        <v>3385.15</v>
      </c>
      <c r="G81" s="46">
        <v>3135.15</v>
      </c>
      <c r="H81" s="46">
        <v>11276</v>
      </c>
      <c r="I81" s="54">
        <f t="shared" si="8"/>
        <v>0.42880010642071653</v>
      </c>
      <c r="J81" s="54">
        <f t="shared" si="8"/>
        <v>0.36672135509045756</v>
      </c>
      <c r="K81" s="54">
        <f t="shared" si="8"/>
        <v>0.32237938985455838</v>
      </c>
      <c r="L81" s="54">
        <f t="shared" si="8"/>
        <v>0.30020840723660874</v>
      </c>
      <c r="M81" s="54">
        <f t="shared" si="8"/>
        <v>0.2780374246186591</v>
      </c>
      <c r="N81" s="51">
        <f>FORESTS2[[#This Row],[Area_2020]]-FORESTS2[[#This Row],[Area_1990]]</f>
        <v>-1699.9999999999995</v>
      </c>
      <c r="O81" s="51">
        <f>ABS(FORESTS2[[#This Row],[Area_Delta]])</f>
        <v>1699.9999999999995</v>
      </c>
      <c r="P81" s="54">
        <f>FORESTS2[[#This Row],[Area_2020_%]]-FORESTS2[[#This Row],[Area_1990_%]]</f>
        <v>-0.15076268180205743</v>
      </c>
      <c r="Q81" s="54" t="b">
        <f t="shared" si="10"/>
        <v>0</v>
      </c>
      <c r="R81" s="51">
        <f t="shared" si="11"/>
        <v>0</v>
      </c>
      <c r="S81" s="51">
        <f t="shared" si="12"/>
        <v>1699.9999999999995</v>
      </c>
      <c r="T81" s="48">
        <f t="shared" si="13"/>
        <v>4</v>
      </c>
      <c r="U81" s="43">
        <v>27.8</v>
      </c>
      <c r="V81" s="30" t="s">
        <v>247</v>
      </c>
      <c r="W81" s="38" t="s">
        <v>247</v>
      </c>
      <c r="X81" s="38">
        <f t="shared" si="14"/>
        <v>-700</v>
      </c>
      <c r="Y81" s="38">
        <f t="shared" si="14"/>
        <v>-499.99999999999955</v>
      </c>
      <c r="Z81" s="38">
        <f t="shared" si="14"/>
        <v>-250</v>
      </c>
      <c r="AA81" s="38">
        <f t="shared" si="9"/>
        <v>-250</v>
      </c>
      <c r="AB81" s="38">
        <f>FORESTS2[[#This Row],[Column7]]+FORESTS2[[#This Row],[Column8]]</f>
        <v>-500</v>
      </c>
      <c r="AC81" s="63">
        <f t="shared" si="15"/>
        <v>-70</v>
      </c>
      <c r="AD81" s="63">
        <f t="shared" si="15"/>
        <v>-49.999999999999957</v>
      </c>
      <c r="AE81" s="63">
        <f t="shared" si="16"/>
        <v>-50</v>
      </c>
      <c r="AF81" s="63">
        <f t="shared" si="16"/>
        <v>-50</v>
      </c>
    </row>
    <row r="82" spans="1:46" hidden="1" x14ac:dyDescent="0.2">
      <c r="A82" s="28">
        <v>72</v>
      </c>
      <c r="B82" s="28" t="s">
        <v>19</v>
      </c>
      <c r="C82" s="46">
        <v>18803.7</v>
      </c>
      <c r="D82" s="46">
        <v>17620.7</v>
      </c>
      <c r="E82" s="46">
        <v>16437.7</v>
      </c>
      <c r="F82" s="46">
        <v>15846.2</v>
      </c>
      <c r="G82" s="46">
        <v>15254.7</v>
      </c>
      <c r="H82" s="46">
        <v>56673</v>
      </c>
      <c r="I82" s="54">
        <f t="shared" si="8"/>
        <v>0.33179291726218835</v>
      </c>
      <c r="J82" s="54">
        <f t="shared" si="8"/>
        <v>0.31091877966580206</v>
      </c>
      <c r="K82" s="54">
        <f t="shared" si="8"/>
        <v>0.29004464206941577</v>
      </c>
      <c r="L82" s="54">
        <f t="shared" si="8"/>
        <v>0.27960757327122265</v>
      </c>
      <c r="M82" s="54">
        <f t="shared" si="8"/>
        <v>0.26917050447302948</v>
      </c>
      <c r="N82" s="51">
        <f>FORESTS2[[#This Row],[Area_2020]]-FORESTS2[[#This Row],[Area_1990]]</f>
        <v>-3549</v>
      </c>
      <c r="O82" s="51">
        <f>ABS(FORESTS2[[#This Row],[Area_Delta]])</f>
        <v>3549</v>
      </c>
      <c r="P82" s="54">
        <f>FORESTS2[[#This Row],[Area_2020_%]]-FORESTS2[[#This Row],[Area_1990_%]]</f>
        <v>-6.2622412789158866E-2</v>
      </c>
      <c r="Q82" s="54" t="b">
        <f t="shared" si="10"/>
        <v>0</v>
      </c>
      <c r="R82" s="51">
        <f t="shared" si="11"/>
        <v>0</v>
      </c>
      <c r="S82" s="51">
        <f t="shared" si="12"/>
        <v>3549</v>
      </c>
      <c r="T82" s="62">
        <f t="shared" si="13"/>
        <v>4</v>
      </c>
      <c r="U82" s="43">
        <v>26.92</v>
      </c>
      <c r="V82" s="30" t="s">
        <v>247</v>
      </c>
      <c r="W82" s="38">
        <v>142.91999999999999</v>
      </c>
      <c r="X82" s="38">
        <f t="shared" si="14"/>
        <v>-1183</v>
      </c>
      <c r="Y82" s="38">
        <f t="shared" si="14"/>
        <v>-1183</v>
      </c>
      <c r="Z82" s="38">
        <f t="shared" si="14"/>
        <v>-591.5</v>
      </c>
      <c r="AA82" s="38">
        <f t="shared" si="9"/>
        <v>-591.5</v>
      </c>
      <c r="AB82" s="38">
        <f>FORESTS2[[#This Row],[Column7]]+FORESTS2[[#This Row],[Column8]]</f>
        <v>-1183</v>
      </c>
      <c r="AC82" s="63">
        <f t="shared" si="15"/>
        <v>-118.3</v>
      </c>
      <c r="AD82" s="63">
        <f t="shared" si="15"/>
        <v>-118.3</v>
      </c>
      <c r="AE82" s="63">
        <f t="shared" si="16"/>
        <v>-118.3</v>
      </c>
      <c r="AF82" s="63">
        <f t="shared" si="16"/>
        <v>-118.3</v>
      </c>
    </row>
    <row r="83" spans="1:46" hidden="1" x14ac:dyDescent="0.2">
      <c r="A83" s="28">
        <v>324</v>
      </c>
      <c r="B83" s="28" t="s">
        <v>69</v>
      </c>
      <c r="C83" s="46">
        <v>7276</v>
      </c>
      <c r="D83" s="46">
        <v>6929</v>
      </c>
      <c r="E83" s="46">
        <v>6569</v>
      </c>
      <c r="F83" s="46">
        <v>6389</v>
      </c>
      <c r="G83" s="46">
        <v>6189</v>
      </c>
      <c r="H83" s="46">
        <v>24572</v>
      </c>
      <c r="I83" s="54">
        <f t="shared" si="8"/>
        <v>0.29610939280481852</v>
      </c>
      <c r="J83" s="54">
        <f t="shared" si="8"/>
        <v>0.28198762819469314</v>
      </c>
      <c r="K83" s="54">
        <f t="shared" si="8"/>
        <v>0.26733680612078786</v>
      </c>
      <c r="L83" s="54">
        <f t="shared" si="8"/>
        <v>0.26001139508383525</v>
      </c>
      <c r="M83" s="54">
        <f t="shared" si="8"/>
        <v>0.25187204948722125</v>
      </c>
      <c r="N83" s="51">
        <f>FORESTS2[[#This Row],[Area_2020]]-FORESTS2[[#This Row],[Area_1990]]</f>
        <v>-1087</v>
      </c>
      <c r="O83" s="51">
        <f>ABS(FORESTS2[[#This Row],[Area_Delta]])</f>
        <v>1087</v>
      </c>
      <c r="P83" s="54">
        <f>FORESTS2[[#This Row],[Area_2020_%]]-FORESTS2[[#This Row],[Area_1990_%]]</f>
        <v>-4.4237343317597266E-2</v>
      </c>
      <c r="Q83" s="54" t="b">
        <f t="shared" si="10"/>
        <v>0</v>
      </c>
      <c r="R83" s="51">
        <f t="shared" si="11"/>
        <v>0</v>
      </c>
      <c r="S83" s="51">
        <f t="shared" si="12"/>
        <v>1087</v>
      </c>
      <c r="T83" s="48">
        <f t="shared" si="13"/>
        <v>4</v>
      </c>
      <c r="U83" s="43">
        <v>25.19</v>
      </c>
      <c r="V83" s="30" t="s">
        <v>247</v>
      </c>
      <c r="W83" s="38" t="s">
        <v>247</v>
      </c>
      <c r="X83" s="38">
        <f t="shared" si="14"/>
        <v>-347</v>
      </c>
      <c r="Y83" s="38">
        <f t="shared" si="14"/>
        <v>-360</v>
      </c>
      <c r="Z83" s="38">
        <f t="shared" si="14"/>
        <v>-180</v>
      </c>
      <c r="AA83" s="38">
        <f t="shared" si="9"/>
        <v>-200</v>
      </c>
      <c r="AB83" s="38">
        <f>FORESTS2[[#This Row],[Column7]]+FORESTS2[[#This Row],[Column8]]</f>
        <v>-380</v>
      </c>
      <c r="AC83" s="63">
        <f t="shared" si="15"/>
        <v>-34.700000000000003</v>
      </c>
      <c r="AD83" s="63">
        <f t="shared" si="15"/>
        <v>-36</v>
      </c>
      <c r="AE83" s="63">
        <f t="shared" si="16"/>
        <v>-36</v>
      </c>
      <c r="AF83" s="63">
        <f t="shared" si="16"/>
        <v>-40</v>
      </c>
      <c r="AG83" s="28">
        <v>1</v>
      </c>
    </row>
    <row r="84" spans="1:46" hidden="1" x14ac:dyDescent="0.2">
      <c r="A84" s="28">
        <v>670</v>
      </c>
      <c r="B84" s="28" t="s">
        <v>141</v>
      </c>
      <c r="C84" s="30">
        <v>27.54</v>
      </c>
      <c r="D84" s="30">
        <v>28.54</v>
      </c>
      <c r="E84" s="30">
        <v>28.54</v>
      </c>
      <c r="F84" s="30">
        <v>28.54</v>
      </c>
      <c r="G84" s="30">
        <v>28.54</v>
      </c>
      <c r="H84" s="30">
        <v>39</v>
      </c>
      <c r="I84" s="54">
        <f t="shared" si="8"/>
        <v>0.70615384615384613</v>
      </c>
      <c r="J84" s="54">
        <f t="shared" si="8"/>
        <v>0.73179487179487179</v>
      </c>
      <c r="K84" s="54">
        <f t="shared" si="8"/>
        <v>0.73179487179487179</v>
      </c>
      <c r="L84" s="54">
        <f t="shared" si="8"/>
        <v>0.73179487179487179</v>
      </c>
      <c r="M84" s="54">
        <f t="shared" si="8"/>
        <v>0.73179487179487179</v>
      </c>
      <c r="N84" s="51">
        <f>FORESTS2[[#This Row],[Area_2020]]-FORESTS2[[#This Row],[Area_1990]]</f>
        <v>1</v>
      </c>
      <c r="O84" s="51">
        <f>ABS(FORESTS2[[#This Row],[Area_Delta]])</f>
        <v>1</v>
      </c>
      <c r="P84" s="54">
        <f>FORESTS2[[#This Row],[Area_2020_%]]-FORESTS2[[#This Row],[Area_1990_%]]</f>
        <v>2.5641025641025661E-2</v>
      </c>
      <c r="Q84" s="54" t="b">
        <f t="shared" si="10"/>
        <v>1</v>
      </c>
      <c r="R84" s="51">
        <f t="shared" si="11"/>
        <v>1</v>
      </c>
      <c r="S84" s="51">
        <f t="shared" si="12"/>
        <v>0</v>
      </c>
      <c r="T84" s="48">
        <f t="shared" si="13"/>
        <v>0</v>
      </c>
      <c r="U84" s="48">
        <v>73.180000000000007</v>
      </c>
      <c r="V84" s="30" t="s">
        <v>247</v>
      </c>
      <c r="W84" s="30" t="s">
        <v>247</v>
      </c>
      <c r="X84" s="38">
        <f t="shared" si="14"/>
        <v>1</v>
      </c>
      <c r="Y84" s="38">
        <f t="shared" si="14"/>
        <v>0</v>
      </c>
      <c r="Z84" s="38">
        <f t="shared" si="14"/>
        <v>0</v>
      </c>
      <c r="AA84" s="38">
        <f t="shared" si="9"/>
        <v>0</v>
      </c>
      <c r="AB84" s="38">
        <f>FORESTS2[[#This Row],[Column7]]+FORESTS2[[#This Row],[Column8]]</f>
        <v>0</v>
      </c>
      <c r="AC84" s="63">
        <f t="shared" si="15"/>
        <v>0.1</v>
      </c>
      <c r="AD84" s="63">
        <f t="shared" si="15"/>
        <v>0</v>
      </c>
      <c r="AE84" s="63">
        <f t="shared" si="16"/>
        <v>0</v>
      </c>
      <c r="AF84" s="63">
        <f t="shared" si="16"/>
        <v>0</v>
      </c>
      <c r="AG84" s="28">
        <v>1</v>
      </c>
    </row>
    <row r="85" spans="1:46" hidden="1" x14ac:dyDescent="0.2">
      <c r="A85" s="28">
        <v>583</v>
      </c>
      <c r="B85" s="28" t="s">
        <v>108</v>
      </c>
      <c r="C85" s="30">
        <v>63.58</v>
      </c>
      <c r="D85" s="30">
        <v>63.86</v>
      </c>
      <c r="E85" s="30">
        <v>64.13</v>
      </c>
      <c r="F85" s="30">
        <v>64.27</v>
      </c>
      <c r="G85" s="30">
        <v>64.42</v>
      </c>
      <c r="H85" s="30">
        <v>70</v>
      </c>
      <c r="I85" s="54">
        <f t="shared" si="8"/>
        <v>0.90828571428571425</v>
      </c>
      <c r="J85" s="54">
        <f t="shared" si="8"/>
        <v>0.91228571428571426</v>
      </c>
      <c r="K85" s="54">
        <f t="shared" si="8"/>
        <v>0.91614285714285704</v>
      </c>
      <c r="L85" s="54">
        <f t="shared" si="8"/>
        <v>0.91814285714285704</v>
      </c>
      <c r="M85" s="54">
        <f t="shared" si="8"/>
        <v>0.92028571428571426</v>
      </c>
      <c r="N85" s="51">
        <f>FORESTS2[[#This Row],[Area_2020]]-FORESTS2[[#This Row],[Area_1990]]</f>
        <v>0.84000000000000341</v>
      </c>
      <c r="O85" s="51">
        <f>ABS(FORESTS2[[#This Row],[Area_Delta]])</f>
        <v>0.84000000000000341</v>
      </c>
      <c r="P85" s="54">
        <f>FORESTS2[[#This Row],[Area_2020_%]]-FORESTS2[[#This Row],[Area_1990_%]]</f>
        <v>1.2000000000000011E-2</v>
      </c>
      <c r="Q85" s="54" t="b">
        <f t="shared" si="10"/>
        <v>1</v>
      </c>
      <c r="R85" s="51">
        <f t="shared" si="11"/>
        <v>0.84000000000000341</v>
      </c>
      <c r="S85" s="51">
        <f t="shared" si="12"/>
        <v>0</v>
      </c>
      <c r="T85" s="48">
        <f t="shared" si="13"/>
        <v>0</v>
      </c>
      <c r="U85" s="48">
        <v>92.03</v>
      </c>
      <c r="V85" s="30" t="s">
        <v>247</v>
      </c>
      <c r="W85" s="30" t="s">
        <v>247</v>
      </c>
      <c r="X85" s="38">
        <f t="shared" si="14"/>
        <v>0.28000000000000114</v>
      </c>
      <c r="Y85" s="38">
        <f t="shared" si="14"/>
        <v>0.26999999999999602</v>
      </c>
      <c r="Z85" s="38">
        <f t="shared" si="14"/>
        <v>0.14000000000000057</v>
      </c>
      <c r="AA85" s="38">
        <f t="shared" si="9"/>
        <v>0.15000000000000568</v>
      </c>
      <c r="AB85" s="38">
        <f>FORESTS2[[#This Row],[Column7]]+FORESTS2[[#This Row],[Column8]]</f>
        <v>0.29000000000000625</v>
      </c>
      <c r="AC85" s="63">
        <f t="shared" si="15"/>
        <v>2.8000000000000115E-2</v>
      </c>
      <c r="AD85" s="63">
        <f t="shared" si="15"/>
        <v>2.6999999999999601E-2</v>
      </c>
      <c r="AE85" s="63">
        <f t="shared" si="16"/>
        <v>2.8000000000000115E-2</v>
      </c>
      <c r="AF85" s="63">
        <f t="shared" si="16"/>
        <v>3.0000000000001137E-2</v>
      </c>
    </row>
    <row r="86" spans="1:46" hidden="1" x14ac:dyDescent="0.2">
      <c r="A86" s="28">
        <v>500</v>
      </c>
      <c r="B86" s="28" t="s">
        <v>210</v>
      </c>
      <c r="C86" s="30">
        <v>3.5</v>
      </c>
      <c r="D86" s="30">
        <v>2.5</v>
      </c>
      <c r="E86" s="30">
        <v>2.5</v>
      </c>
      <c r="F86" s="30">
        <v>2.5</v>
      </c>
      <c r="G86" s="30">
        <v>2.5</v>
      </c>
      <c r="H86" s="30">
        <v>10</v>
      </c>
      <c r="I86" s="54">
        <f t="shared" si="8"/>
        <v>0.35</v>
      </c>
      <c r="J86" s="54">
        <f t="shared" si="8"/>
        <v>0.25</v>
      </c>
      <c r="K86" s="54">
        <f t="shared" si="8"/>
        <v>0.25</v>
      </c>
      <c r="L86" s="54">
        <f t="shared" si="8"/>
        <v>0.25</v>
      </c>
      <c r="M86" s="54">
        <f t="shared" si="8"/>
        <v>0.25</v>
      </c>
      <c r="N86" s="51">
        <f>FORESTS2[[#This Row],[Area_2020]]-FORESTS2[[#This Row],[Area_1990]]</f>
        <v>-1</v>
      </c>
      <c r="O86" s="51">
        <f>ABS(FORESTS2[[#This Row],[Area_Delta]])</f>
        <v>1</v>
      </c>
      <c r="P86" s="54">
        <f>FORESTS2[[#This Row],[Area_2020_%]]-FORESTS2[[#This Row],[Area_1990_%]]</f>
        <v>-9.9999999999999978E-2</v>
      </c>
      <c r="Q86" s="54" t="b">
        <f t="shared" si="10"/>
        <v>0</v>
      </c>
      <c r="R86" s="51">
        <f t="shared" si="11"/>
        <v>0</v>
      </c>
      <c r="S86" s="51">
        <f t="shared" si="12"/>
        <v>1</v>
      </c>
      <c r="T86" s="48">
        <f t="shared" si="13"/>
        <v>1</v>
      </c>
      <c r="U86" s="48">
        <v>25</v>
      </c>
      <c r="V86" s="30" t="s">
        <v>247</v>
      </c>
      <c r="W86" s="30" t="s">
        <v>247</v>
      </c>
      <c r="X86" s="38">
        <f t="shared" si="14"/>
        <v>-1</v>
      </c>
      <c r="Y86" s="38">
        <f t="shared" si="14"/>
        <v>0</v>
      </c>
      <c r="Z86" s="38">
        <f t="shared" si="14"/>
        <v>0</v>
      </c>
      <c r="AA86" s="38">
        <f t="shared" si="9"/>
        <v>0</v>
      </c>
      <c r="AB86" s="38">
        <f>FORESTS2[[#This Row],[Column7]]+FORESTS2[[#This Row],[Column8]]</f>
        <v>0</v>
      </c>
      <c r="AC86" s="63">
        <f t="shared" si="15"/>
        <v>-0.1</v>
      </c>
      <c r="AD86" s="63">
        <f t="shared" si="15"/>
        <v>0</v>
      </c>
      <c r="AE86" s="63">
        <f t="shared" si="16"/>
        <v>0</v>
      </c>
      <c r="AF86" s="63">
        <f t="shared" si="16"/>
        <v>0</v>
      </c>
      <c r="AG86" s="28">
        <v>1</v>
      </c>
    </row>
    <row r="87" spans="1:46" hidden="1" x14ac:dyDescent="0.2">
      <c r="A87" s="28">
        <v>184</v>
      </c>
      <c r="B87" s="28" t="s">
        <v>36</v>
      </c>
      <c r="C87" s="30">
        <v>14.91</v>
      </c>
      <c r="D87" s="30">
        <v>15.57</v>
      </c>
      <c r="E87" s="30">
        <v>15.59</v>
      </c>
      <c r="F87" s="30">
        <v>15.59</v>
      </c>
      <c r="G87" s="30">
        <v>15.59</v>
      </c>
      <c r="H87" s="30">
        <v>24</v>
      </c>
      <c r="I87" s="54">
        <f t="shared" si="8"/>
        <v>0.62124999999999997</v>
      </c>
      <c r="J87" s="54">
        <f t="shared" si="8"/>
        <v>0.64875000000000005</v>
      </c>
      <c r="K87" s="54">
        <f t="shared" si="8"/>
        <v>0.64958333333333329</v>
      </c>
      <c r="L87" s="54">
        <f t="shared" si="8"/>
        <v>0.64958333333333329</v>
      </c>
      <c r="M87" s="54">
        <f t="shared" si="8"/>
        <v>0.64958333333333329</v>
      </c>
      <c r="N87" s="51">
        <f>FORESTS2[[#This Row],[Area_2020]]-FORESTS2[[#This Row],[Area_1990]]</f>
        <v>0.67999999999999972</v>
      </c>
      <c r="O87" s="51">
        <f>ABS(FORESTS2[[#This Row],[Area_Delta]])</f>
        <v>0.67999999999999972</v>
      </c>
      <c r="P87" s="54">
        <f>FORESTS2[[#This Row],[Area_2020_%]]-FORESTS2[[#This Row],[Area_1990_%]]</f>
        <v>2.8333333333333321E-2</v>
      </c>
      <c r="Q87" s="54" t="b">
        <f t="shared" si="10"/>
        <v>1</v>
      </c>
      <c r="R87" s="51">
        <f t="shared" si="11"/>
        <v>0.67999999999999972</v>
      </c>
      <c r="S87" s="51">
        <f t="shared" si="12"/>
        <v>0</v>
      </c>
      <c r="T87" s="48">
        <f t="shared" si="13"/>
        <v>0</v>
      </c>
      <c r="U87" s="48">
        <v>64.959999999999994</v>
      </c>
      <c r="V87" s="30" t="s">
        <v>247</v>
      </c>
      <c r="W87" s="30" t="s">
        <v>247</v>
      </c>
      <c r="X87" s="38">
        <f t="shared" si="14"/>
        <v>0.66000000000000014</v>
      </c>
      <c r="Y87" s="38">
        <f t="shared" si="14"/>
        <v>1.9999999999999574E-2</v>
      </c>
      <c r="Z87" s="38">
        <f t="shared" si="14"/>
        <v>0</v>
      </c>
      <c r="AA87" s="38">
        <f t="shared" si="9"/>
        <v>0</v>
      </c>
      <c r="AB87" s="38">
        <f>FORESTS2[[#This Row],[Column7]]+FORESTS2[[#This Row],[Column8]]</f>
        <v>0</v>
      </c>
      <c r="AC87" s="63">
        <f t="shared" si="15"/>
        <v>6.6000000000000017E-2</v>
      </c>
      <c r="AD87" s="63">
        <f t="shared" si="15"/>
        <v>1.9999999999999575E-3</v>
      </c>
      <c r="AE87" s="63">
        <f t="shared" si="16"/>
        <v>0</v>
      </c>
      <c r="AF87" s="63">
        <f t="shared" si="16"/>
        <v>0</v>
      </c>
      <c r="AG87" s="28">
        <v>1</v>
      </c>
    </row>
    <row r="88" spans="1:46" hidden="1" x14ac:dyDescent="0.2">
      <c r="A88" s="28">
        <v>663</v>
      </c>
      <c r="B88" s="28" t="s">
        <v>213</v>
      </c>
      <c r="C88" s="30">
        <v>1.24</v>
      </c>
      <c r="D88" s="30">
        <v>1.24</v>
      </c>
      <c r="E88" s="30">
        <v>1.24</v>
      </c>
      <c r="F88" s="30">
        <v>1.24</v>
      </c>
      <c r="G88" s="30">
        <v>1.24</v>
      </c>
      <c r="H88" s="30">
        <v>5</v>
      </c>
      <c r="I88" s="54">
        <f t="shared" si="8"/>
        <v>0.248</v>
      </c>
      <c r="J88" s="54">
        <f t="shared" si="8"/>
        <v>0.248</v>
      </c>
      <c r="K88" s="54">
        <f t="shared" si="8"/>
        <v>0.248</v>
      </c>
      <c r="L88" s="54">
        <f t="shared" si="8"/>
        <v>0.248</v>
      </c>
      <c r="M88" s="54">
        <f t="shared" si="8"/>
        <v>0.248</v>
      </c>
      <c r="N88" s="51">
        <f>FORESTS2[[#This Row],[Area_2020]]-FORESTS2[[#This Row],[Area_1990]]</f>
        <v>0</v>
      </c>
      <c r="O88" s="51">
        <f>ABS(FORESTS2[[#This Row],[Area_Delta]])</f>
        <v>0</v>
      </c>
      <c r="P88" s="54">
        <f>FORESTS2[[#This Row],[Area_2020_%]]-FORESTS2[[#This Row],[Area_1990_%]]</f>
        <v>0</v>
      </c>
      <c r="Q88" s="54" t="b">
        <f t="shared" si="10"/>
        <v>0</v>
      </c>
      <c r="R88" s="51">
        <f t="shared" si="11"/>
        <v>0</v>
      </c>
      <c r="S88" s="51">
        <f t="shared" si="12"/>
        <v>0</v>
      </c>
      <c r="T88" s="48">
        <f t="shared" si="13"/>
        <v>0</v>
      </c>
      <c r="U88" s="48">
        <v>24.8</v>
      </c>
      <c r="V88" s="30" t="s">
        <v>247</v>
      </c>
      <c r="W88" s="30" t="s">
        <v>247</v>
      </c>
      <c r="X88" s="38">
        <f t="shared" si="14"/>
        <v>0</v>
      </c>
      <c r="Y88" s="38">
        <f t="shared" si="14"/>
        <v>0</v>
      </c>
      <c r="Z88" s="38">
        <f t="shared" si="14"/>
        <v>0</v>
      </c>
      <c r="AA88" s="38">
        <f t="shared" si="9"/>
        <v>0</v>
      </c>
      <c r="AB88" s="38">
        <f>FORESTS2[[#This Row],[Column7]]+FORESTS2[[#This Row],[Column8]]</f>
        <v>0</v>
      </c>
      <c r="AC88" s="63">
        <f t="shared" si="15"/>
        <v>0</v>
      </c>
      <c r="AD88" s="63">
        <f t="shared" si="15"/>
        <v>0</v>
      </c>
      <c r="AE88" s="63">
        <f t="shared" si="16"/>
        <v>0</v>
      </c>
      <c r="AF88" s="63">
        <f t="shared" si="16"/>
        <v>0</v>
      </c>
    </row>
    <row r="89" spans="1:46" x14ac:dyDescent="0.2">
      <c r="A89" s="28">
        <v>643</v>
      </c>
      <c r="B89" s="28" t="s">
        <v>138</v>
      </c>
      <c r="C89" s="38">
        <v>808949.9</v>
      </c>
      <c r="D89" s="38">
        <v>809268.5</v>
      </c>
      <c r="E89" s="38">
        <v>815135.6</v>
      </c>
      <c r="F89" s="38">
        <v>814930.46</v>
      </c>
      <c r="G89" s="38">
        <v>815311.6</v>
      </c>
      <c r="H89" s="38">
        <v>1637687</v>
      </c>
      <c r="I89" s="54">
        <f t="shared" si="8"/>
        <v>0.49395879676641508</v>
      </c>
      <c r="J89" s="54">
        <f t="shared" si="8"/>
        <v>0.49415333943543549</v>
      </c>
      <c r="K89" s="54">
        <f t="shared" si="8"/>
        <v>0.49773589214544656</v>
      </c>
      <c r="L89" s="54">
        <f t="shared" si="8"/>
        <v>0.49761063011430146</v>
      </c>
      <c r="M89" s="54">
        <f t="shared" si="8"/>
        <v>0.49784336078872216</v>
      </c>
      <c r="N89" s="51">
        <f>FORESTS2[[#This Row],[Area_2020]]-FORESTS2[[#This Row],[Area_1990]]</f>
        <v>6361.6999999999534</v>
      </c>
      <c r="O89" s="51">
        <f>ABS(FORESTS2[[#This Row],[Area_Delta]])</f>
        <v>6361.6999999999534</v>
      </c>
      <c r="P89" s="54">
        <f>FORESTS2[[#This Row],[Area_2020_%]]-FORESTS2[[#This Row],[Area_1990_%]]</f>
        <v>3.8845640223070799E-3</v>
      </c>
      <c r="Q89" s="48" t="b">
        <f t="shared" si="10"/>
        <v>1</v>
      </c>
      <c r="R89" s="51">
        <f t="shared" si="11"/>
        <v>6361.6999999999534</v>
      </c>
      <c r="S89" s="51">
        <f t="shared" si="12"/>
        <v>0</v>
      </c>
      <c r="T89" s="62">
        <f t="shared" si="13"/>
        <v>1</v>
      </c>
      <c r="U89" s="43">
        <v>49.78</v>
      </c>
      <c r="V89" s="30">
        <v>0</v>
      </c>
      <c r="W89" s="38">
        <v>2748.9</v>
      </c>
      <c r="X89" s="38">
        <f t="shared" si="14"/>
        <v>318.59999999997672</v>
      </c>
      <c r="Y89" s="38">
        <f t="shared" si="14"/>
        <v>5867.0999999999767</v>
      </c>
      <c r="Z89" s="38">
        <f t="shared" si="14"/>
        <v>-205.14000000001397</v>
      </c>
      <c r="AA89" s="38">
        <f t="shared" si="9"/>
        <v>381.14000000001397</v>
      </c>
      <c r="AB89" s="38">
        <f>FORESTS2[[#This Row],[Column7]]+FORESTS2[[#This Row],[Column8]]</f>
        <v>176</v>
      </c>
      <c r="AC89" s="63">
        <f t="shared" si="15"/>
        <v>31.859999999997672</v>
      </c>
      <c r="AD89" s="63">
        <f t="shared" si="15"/>
        <v>586.70999999999765</v>
      </c>
      <c r="AE89" s="63">
        <f t="shared" si="16"/>
        <v>-41.028000000002791</v>
      </c>
      <c r="AF89" s="63">
        <f t="shared" si="16"/>
        <v>76.228000000002794</v>
      </c>
      <c r="AG89" s="28">
        <v>1</v>
      </c>
      <c r="AS89" s="28" t="str" cm="1">
        <f t="array" aca="1" ref="AS89:AT98" ca="1">_xlfn.MAKEARRAY(AS75,AT75,_xlfn.LAMBDA(_xlpm.row,_xlpm.col,CHOOSE(RANDBETWEEN(1,3),"Red","Blue","Green")))</f>
        <v>Blue</v>
      </c>
      <c r="AT89" s="28" t="str">
        <f ca="1"/>
        <v>Green</v>
      </c>
    </row>
    <row r="90" spans="1:46" x14ac:dyDescent="0.2">
      <c r="A90" s="28">
        <v>32</v>
      </c>
      <c r="B90" s="28" t="s">
        <v>5</v>
      </c>
      <c r="C90" s="46">
        <v>35204</v>
      </c>
      <c r="D90" s="46">
        <v>33378</v>
      </c>
      <c r="E90" s="46">
        <v>30214</v>
      </c>
      <c r="F90" s="46">
        <v>29097</v>
      </c>
      <c r="G90" s="46">
        <v>28573</v>
      </c>
      <c r="H90" s="46">
        <v>273669</v>
      </c>
      <c r="I90" s="54">
        <f t="shared" si="8"/>
        <v>0.12863714925694908</v>
      </c>
      <c r="J90" s="54">
        <f t="shared" si="8"/>
        <v>0.12196485535446104</v>
      </c>
      <c r="K90" s="54">
        <f t="shared" si="8"/>
        <v>0.11040344357599874</v>
      </c>
      <c r="L90" s="54">
        <f t="shared" si="8"/>
        <v>0.1063218705808842</v>
      </c>
      <c r="M90" s="54">
        <f t="shared" si="8"/>
        <v>0.10440714878192268</v>
      </c>
      <c r="N90" s="51">
        <f>FORESTS2[[#This Row],[Area_2020]]-FORESTS2[[#This Row],[Area_1990]]</f>
        <v>-6631</v>
      </c>
      <c r="O90" s="51">
        <f>ABS(FORESTS2[[#This Row],[Area_Delta]])</f>
        <v>6631</v>
      </c>
      <c r="P90" s="54">
        <f>FORESTS2[[#This Row],[Area_2020_%]]-FORESTS2[[#This Row],[Area_1990_%]]</f>
        <v>-2.4230000475026395E-2</v>
      </c>
      <c r="Q90" s="48" t="b">
        <f t="shared" si="10"/>
        <v>0</v>
      </c>
      <c r="R90" s="51">
        <f t="shared" si="11"/>
        <v>0</v>
      </c>
      <c r="S90" s="51">
        <f t="shared" si="12"/>
        <v>6631</v>
      </c>
      <c r="T90" s="62">
        <f t="shared" si="13"/>
        <v>4</v>
      </c>
      <c r="U90" s="43">
        <v>10.44</v>
      </c>
      <c r="V90" s="30">
        <v>134.80000000000001</v>
      </c>
      <c r="W90" s="38">
        <v>128</v>
      </c>
      <c r="X90" s="38">
        <f t="shared" si="14"/>
        <v>-1826</v>
      </c>
      <c r="Y90" s="38">
        <f t="shared" si="14"/>
        <v>-3164</v>
      </c>
      <c r="Z90" s="38">
        <f t="shared" si="14"/>
        <v>-1117</v>
      </c>
      <c r="AA90" s="38">
        <f t="shared" si="9"/>
        <v>-524</v>
      </c>
      <c r="AB90" s="38">
        <f>FORESTS2[[#This Row],[Column7]]+FORESTS2[[#This Row],[Column8]]</f>
        <v>-1641</v>
      </c>
      <c r="AC90" s="63">
        <f t="shared" si="15"/>
        <v>-182.6</v>
      </c>
      <c r="AD90" s="63">
        <f t="shared" si="15"/>
        <v>-316.39999999999998</v>
      </c>
      <c r="AE90" s="63">
        <f t="shared" si="16"/>
        <v>-223.4</v>
      </c>
      <c r="AF90" s="63">
        <f t="shared" si="16"/>
        <v>-104.8</v>
      </c>
      <c r="AS90" s="28" t="str">
        <f ca="1"/>
        <v>Blue</v>
      </c>
      <c r="AT90" s="28" t="str">
        <f ca="1"/>
        <v>Green</v>
      </c>
    </row>
    <row r="91" spans="1:46" hidden="1" x14ac:dyDescent="0.2">
      <c r="A91" s="28">
        <v>92</v>
      </c>
      <c r="B91" s="28" t="s">
        <v>207</v>
      </c>
      <c r="C91" s="30">
        <v>3.71</v>
      </c>
      <c r="D91" s="30">
        <v>3.67</v>
      </c>
      <c r="E91" s="30">
        <v>3.64</v>
      </c>
      <c r="F91" s="30">
        <v>3.62</v>
      </c>
      <c r="G91" s="30">
        <v>3.62</v>
      </c>
      <c r="H91" s="30">
        <v>15</v>
      </c>
      <c r="I91" s="54">
        <f t="shared" si="8"/>
        <v>0.24733333333333332</v>
      </c>
      <c r="J91" s="54">
        <f t="shared" si="8"/>
        <v>0.24466666666666667</v>
      </c>
      <c r="K91" s="54">
        <f t="shared" si="8"/>
        <v>0.24266666666666667</v>
      </c>
      <c r="L91" s="54">
        <f t="shared" si="8"/>
        <v>0.24133333333333334</v>
      </c>
      <c r="M91" s="54">
        <f t="shared" si="8"/>
        <v>0.24133333333333334</v>
      </c>
      <c r="N91" s="51">
        <f>FORESTS2[[#This Row],[Area_2020]]-FORESTS2[[#This Row],[Area_1990]]</f>
        <v>-8.9999999999999858E-2</v>
      </c>
      <c r="O91" s="51">
        <f>ABS(FORESTS2[[#This Row],[Area_Delta]])</f>
        <v>8.9999999999999858E-2</v>
      </c>
      <c r="P91" s="54">
        <f>FORESTS2[[#This Row],[Area_2020_%]]-FORESTS2[[#This Row],[Area_1990_%]]</f>
        <v>-5.9999999999999776E-3</v>
      </c>
      <c r="Q91" s="54" t="b">
        <f t="shared" si="10"/>
        <v>0</v>
      </c>
      <c r="R91" s="51">
        <f t="shared" si="11"/>
        <v>0</v>
      </c>
      <c r="S91" s="51">
        <f t="shared" si="12"/>
        <v>8.9999999999999858E-2</v>
      </c>
      <c r="T91" s="48">
        <f t="shared" si="13"/>
        <v>3</v>
      </c>
      <c r="U91" s="48">
        <v>24.13</v>
      </c>
      <c r="V91" s="30" t="s">
        <v>247</v>
      </c>
      <c r="W91" s="30" t="s">
        <v>247</v>
      </c>
      <c r="X91" s="38">
        <f t="shared" si="14"/>
        <v>-4.0000000000000036E-2</v>
      </c>
      <c r="Y91" s="38">
        <f t="shared" si="14"/>
        <v>-2.9999999999999805E-2</v>
      </c>
      <c r="Z91" s="38">
        <f t="shared" si="14"/>
        <v>-2.0000000000000018E-2</v>
      </c>
      <c r="AA91" s="38">
        <f t="shared" si="9"/>
        <v>0</v>
      </c>
      <c r="AB91" s="38">
        <f>FORESTS2[[#This Row],[Column7]]+FORESTS2[[#This Row],[Column8]]</f>
        <v>-2.0000000000000018E-2</v>
      </c>
      <c r="AC91" s="63">
        <f t="shared" si="15"/>
        <v>-4.0000000000000036E-3</v>
      </c>
      <c r="AD91" s="63">
        <f t="shared" si="15"/>
        <v>-2.9999999999999805E-3</v>
      </c>
      <c r="AE91" s="63">
        <f t="shared" si="16"/>
        <v>-4.0000000000000036E-3</v>
      </c>
      <c r="AF91" s="63">
        <f t="shared" si="16"/>
        <v>0</v>
      </c>
      <c r="AS91" s="28" t="str">
        <f ca="1"/>
        <v>Blue</v>
      </c>
      <c r="AT91" s="28" t="str">
        <f ca="1"/>
        <v>Blue</v>
      </c>
    </row>
    <row r="92" spans="1:46" hidden="1" x14ac:dyDescent="0.2">
      <c r="A92" s="28">
        <v>608</v>
      </c>
      <c r="B92" s="28" t="s">
        <v>131</v>
      </c>
      <c r="C92" s="38">
        <v>7778.81</v>
      </c>
      <c r="D92" s="38">
        <v>7309.26</v>
      </c>
      <c r="E92" s="38">
        <v>6839.72</v>
      </c>
      <c r="F92" s="38">
        <v>7014.15</v>
      </c>
      <c r="G92" s="38">
        <v>7188.59</v>
      </c>
      <c r="H92" s="38">
        <v>29817</v>
      </c>
      <c r="I92" s="54">
        <f t="shared" si="8"/>
        <v>0.26088506556662305</v>
      </c>
      <c r="J92" s="54">
        <f t="shared" si="8"/>
        <v>0.24513733776033808</v>
      </c>
      <c r="K92" s="54">
        <f t="shared" si="8"/>
        <v>0.2293899453331992</v>
      </c>
      <c r="L92" s="54">
        <f t="shared" si="8"/>
        <v>0.23523996377905221</v>
      </c>
      <c r="M92" s="54">
        <f t="shared" si="8"/>
        <v>0.24109031760405139</v>
      </c>
      <c r="N92" s="51">
        <f>FORESTS2[[#This Row],[Area_2020]]-FORESTS2[[#This Row],[Area_1990]]</f>
        <v>-590.22000000000025</v>
      </c>
      <c r="O92" s="51">
        <f>ABS(FORESTS2[[#This Row],[Area_Delta]])</f>
        <v>590.22000000000025</v>
      </c>
      <c r="P92" s="54">
        <f>FORESTS2[[#This Row],[Area_2020_%]]-FORESTS2[[#This Row],[Area_1990_%]]</f>
        <v>-1.9794747962571663E-2</v>
      </c>
      <c r="Q92" s="54" t="b">
        <f t="shared" si="10"/>
        <v>0</v>
      </c>
      <c r="R92" s="51">
        <f t="shared" si="11"/>
        <v>0</v>
      </c>
      <c r="S92" s="51">
        <f t="shared" si="12"/>
        <v>590.22000000000025</v>
      </c>
      <c r="T92" s="48">
        <f t="shared" si="13"/>
        <v>2</v>
      </c>
      <c r="U92" s="43">
        <v>24.11</v>
      </c>
      <c r="V92" s="30" t="s">
        <v>247</v>
      </c>
      <c r="W92" s="38">
        <v>2.97</v>
      </c>
      <c r="X92" s="38">
        <f t="shared" si="14"/>
        <v>-469.55000000000018</v>
      </c>
      <c r="Y92" s="38">
        <f t="shared" si="14"/>
        <v>-469.53999999999996</v>
      </c>
      <c r="Z92" s="38">
        <f t="shared" si="14"/>
        <v>174.42999999999938</v>
      </c>
      <c r="AA92" s="38">
        <f t="shared" si="9"/>
        <v>174.44000000000051</v>
      </c>
      <c r="AB92" s="38">
        <f>FORESTS2[[#This Row],[Column7]]+FORESTS2[[#This Row],[Column8]]</f>
        <v>348.86999999999989</v>
      </c>
      <c r="AC92" s="63">
        <f t="shared" si="15"/>
        <v>-46.95500000000002</v>
      </c>
      <c r="AD92" s="63">
        <f t="shared" si="15"/>
        <v>-46.953999999999994</v>
      </c>
      <c r="AE92" s="63">
        <f t="shared" si="16"/>
        <v>34.885999999999875</v>
      </c>
      <c r="AF92" s="63">
        <f t="shared" si="16"/>
        <v>34.888000000000105</v>
      </c>
      <c r="AS92" s="28" t="str">
        <f ca="1"/>
        <v>Red</v>
      </c>
      <c r="AT92" s="28" t="str">
        <f ca="1"/>
        <v>Green</v>
      </c>
    </row>
    <row r="93" spans="1:46" hidden="1" x14ac:dyDescent="0.2">
      <c r="A93" s="28">
        <v>270</v>
      </c>
      <c r="B93" s="28" t="s">
        <v>59</v>
      </c>
      <c r="C93" s="46">
        <v>414.66</v>
      </c>
      <c r="D93" s="46">
        <v>357.33</v>
      </c>
      <c r="E93" s="46">
        <v>300</v>
      </c>
      <c r="F93" s="46">
        <v>271.33999999999997</v>
      </c>
      <c r="G93" s="46">
        <v>242.67</v>
      </c>
      <c r="H93" s="46">
        <v>1012</v>
      </c>
      <c r="I93" s="54">
        <f t="shared" si="8"/>
        <v>0.40974308300395257</v>
      </c>
      <c r="J93" s="54">
        <f t="shared" si="8"/>
        <v>0.35309288537549405</v>
      </c>
      <c r="K93" s="54">
        <f t="shared" si="8"/>
        <v>0.29644268774703558</v>
      </c>
      <c r="L93" s="54">
        <f t="shared" si="8"/>
        <v>0.26812252964426875</v>
      </c>
      <c r="M93" s="54">
        <f t="shared" si="8"/>
        <v>0.23979249011857706</v>
      </c>
      <c r="N93" s="51">
        <f>FORESTS2[[#This Row],[Area_2020]]-FORESTS2[[#This Row],[Area_1990]]</f>
        <v>-171.99000000000004</v>
      </c>
      <c r="O93" s="51">
        <f>ABS(FORESTS2[[#This Row],[Area_Delta]])</f>
        <v>171.99000000000004</v>
      </c>
      <c r="P93" s="54">
        <f>FORESTS2[[#This Row],[Area_2020_%]]-FORESTS2[[#This Row],[Area_1990_%]]</f>
        <v>-0.16995059288537551</v>
      </c>
      <c r="Q93" s="54" t="b">
        <f t="shared" si="10"/>
        <v>0</v>
      </c>
      <c r="R93" s="51">
        <f t="shared" si="11"/>
        <v>0</v>
      </c>
      <c r="S93" s="51">
        <f t="shared" si="12"/>
        <v>171.99000000000004</v>
      </c>
      <c r="T93" s="48">
        <f t="shared" si="13"/>
        <v>4</v>
      </c>
      <c r="U93" s="48">
        <v>23.98</v>
      </c>
      <c r="V93" s="30" t="s">
        <v>247</v>
      </c>
      <c r="W93" s="30" t="s">
        <v>247</v>
      </c>
      <c r="X93" s="38">
        <f t="shared" si="14"/>
        <v>-57.330000000000041</v>
      </c>
      <c r="Y93" s="38">
        <f t="shared" si="14"/>
        <v>-57.329999999999984</v>
      </c>
      <c r="Z93" s="38">
        <f t="shared" si="14"/>
        <v>-28.660000000000025</v>
      </c>
      <c r="AA93" s="38">
        <f t="shared" si="9"/>
        <v>-28.669999999999987</v>
      </c>
      <c r="AB93" s="38">
        <f>FORESTS2[[#This Row],[Column7]]+FORESTS2[[#This Row],[Column8]]</f>
        <v>-57.330000000000013</v>
      </c>
      <c r="AC93" s="63">
        <f t="shared" si="15"/>
        <v>-5.7330000000000041</v>
      </c>
      <c r="AD93" s="63">
        <f t="shared" si="15"/>
        <v>-5.7329999999999988</v>
      </c>
      <c r="AE93" s="63">
        <f t="shared" si="16"/>
        <v>-5.7320000000000046</v>
      </c>
      <c r="AF93" s="63">
        <f t="shared" si="16"/>
        <v>-5.7339999999999973</v>
      </c>
      <c r="AS93" s="28" t="str">
        <f ca="1"/>
        <v>Red</v>
      </c>
      <c r="AT93" s="28" t="str">
        <f ca="1"/>
        <v>Red</v>
      </c>
    </row>
    <row r="94" spans="1:46" hidden="1" x14ac:dyDescent="0.2">
      <c r="A94" s="28">
        <v>454</v>
      </c>
      <c r="B94" s="28" t="s">
        <v>97</v>
      </c>
      <c r="C94" s="46">
        <v>3501.7</v>
      </c>
      <c r="D94" s="46">
        <v>3081.7</v>
      </c>
      <c r="E94" s="46">
        <v>2661.7</v>
      </c>
      <c r="F94" s="46">
        <v>2451.6999999999998</v>
      </c>
      <c r="G94" s="46">
        <v>2241.6999999999998</v>
      </c>
      <c r="H94" s="46">
        <v>9428</v>
      </c>
      <c r="I94" s="54">
        <f t="shared" si="8"/>
        <v>0.37141493423843869</v>
      </c>
      <c r="J94" s="54">
        <f t="shared" si="8"/>
        <v>0.32686677980483664</v>
      </c>
      <c r="K94" s="54">
        <f t="shared" si="8"/>
        <v>0.28231862537123459</v>
      </c>
      <c r="L94" s="54">
        <f t="shared" si="8"/>
        <v>0.26004454815443356</v>
      </c>
      <c r="M94" s="54">
        <f t="shared" si="8"/>
        <v>0.23777047093763257</v>
      </c>
      <c r="N94" s="51">
        <f>FORESTS2[[#This Row],[Area_2020]]-FORESTS2[[#This Row],[Area_1990]]</f>
        <v>-1260</v>
      </c>
      <c r="O94" s="51">
        <f>ABS(FORESTS2[[#This Row],[Area_Delta]])</f>
        <v>1260</v>
      </c>
      <c r="P94" s="54">
        <f>FORESTS2[[#This Row],[Area_2020_%]]-FORESTS2[[#This Row],[Area_1990_%]]</f>
        <v>-0.13364446330080612</v>
      </c>
      <c r="Q94" s="54" t="b">
        <f t="shared" si="10"/>
        <v>0</v>
      </c>
      <c r="R94" s="51">
        <f t="shared" si="11"/>
        <v>0</v>
      </c>
      <c r="S94" s="51">
        <f t="shared" si="12"/>
        <v>1260</v>
      </c>
      <c r="T94" s="48">
        <f t="shared" si="13"/>
        <v>4</v>
      </c>
      <c r="U94" s="43">
        <v>23.78</v>
      </c>
      <c r="V94" s="30">
        <v>42</v>
      </c>
      <c r="W94" s="38">
        <v>412.61</v>
      </c>
      <c r="X94" s="38">
        <f t="shared" si="14"/>
        <v>-420</v>
      </c>
      <c r="Y94" s="38">
        <f t="shared" si="14"/>
        <v>-420</v>
      </c>
      <c r="Z94" s="38">
        <f t="shared" si="14"/>
        <v>-210</v>
      </c>
      <c r="AA94" s="38">
        <f t="shared" si="9"/>
        <v>-210</v>
      </c>
      <c r="AB94" s="38">
        <f>FORESTS2[[#This Row],[Column7]]+FORESTS2[[#This Row],[Column8]]</f>
        <v>-420</v>
      </c>
      <c r="AC94" s="63">
        <f t="shared" si="15"/>
        <v>-42</v>
      </c>
      <c r="AD94" s="63">
        <f t="shared" si="15"/>
        <v>-42</v>
      </c>
      <c r="AE94" s="63">
        <f t="shared" si="16"/>
        <v>-42</v>
      </c>
      <c r="AF94" s="63">
        <f t="shared" si="16"/>
        <v>-42</v>
      </c>
      <c r="AS94" s="28" t="str">
        <f ca="1"/>
        <v>Green</v>
      </c>
      <c r="AT94" s="28" t="str">
        <f ca="1"/>
        <v>Blue</v>
      </c>
    </row>
    <row r="95" spans="1:46" hidden="1" x14ac:dyDescent="0.2">
      <c r="A95" s="28">
        <v>566</v>
      </c>
      <c r="B95" s="28" t="s">
        <v>120</v>
      </c>
      <c r="C95" s="46">
        <v>26526.09</v>
      </c>
      <c r="D95" s="46">
        <v>24893.040000000001</v>
      </c>
      <c r="E95" s="46">
        <v>23259.98</v>
      </c>
      <c r="F95" s="46">
        <v>22443.45</v>
      </c>
      <c r="G95" s="46">
        <v>21626.95</v>
      </c>
      <c r="H95" s="46">
        <v>91077</v>
      </c>
      <c r="I95" s="54">
        <f t="shared" si="8"/>
        <v>0.29124905299911064</v>
      </c>
      <c r="J95" s="54">
        <f t="shared" si="8"/>
        <v>0.27331862050792188</v>
      </c>
      <c r="K95" s="54">
        <f t="shared" si="8"/>
        <v>0.25538807821952852</v>
      </c>
      <c r="L95" s="54">
        <f t="shared" si="8"/>
        <v>0.24642280707533187</v>
      </c>
      <c r="M95" s="54">
        <f t="shared" si="8"/>
        <v>0.2374578653227489</v>
      </c>
      <c r="N95" s="51">
        <f>FORESTS2[[#This Row],[Area_2020]]-FORESTS2[[#This Row],[Area_1990]]</f>
        <v>-4899.1399999999994</v>
      </c>
      <c r="O95" s="51">
        <f>ABS(FORESTS2[[#This Row],[Area_Delta]])</f>
        <v>4899.1399999999994</v>
      </c>
      <c r="P95" s="54">
        <f>FORESTS2[[#This Row],[Area_2020_%]]-FORESTS2[[#This Row],[Area_1990_%]]</f>
        <v>-5.3791187676361735E-2</v>
      </c>
      <c r="Q95" s="54" t="b">
        <f t="shared" si="10"/>
        <v>0</v>
      </c>
      <c r="R95" s="51">
        <f t="shared" si="11"/>
        <v>0</v>
      </c>
      <c r="S95" s="51">
        <f t="shared" si="12"/>
        <v>4899.1399999999994</v>
      </c>
      <c r="T95" s="62">
        <f t="shared" si="13"/>
        <v>4</v>
      </c>
      <c r="U95" s="43">
        <v>23.75</v>
      </c>
      <c r="V95" s="30">
        <v>163.31</v>
      </c>
      <c r="W95" s="38">
        <v>12</v>
      </c>
      <c r="X95" s="38">
        <f t="shared" si="14"/>
        <v>-1633.0499999999993</v>
      </c>
      <c r="Y95" s="38">
        <f t="shared" si="14"/>
        <v>-1633.0600000000013</v>
      </c>
      <c r="Z95" s="38">
        <f t="shared" si="14"/>
        <v>-816.52999999999884</v>
      </c>
      <c r="AA95" s="38">
        <f t="shared" si="9"/>
        <v>-816.5</v>
      </c>
      <c r="AB95" s="38">
        <f>FORESTS2[[#This Row],[Column7]]+FORESTS2[[#This Row],[Column8]]</f>
        <v>-1633.0299999999988</v>
      </c>
      <c r="AC95" s="63">
        <f t="shared" si="15"/>
        <v>-163.30499999999992</v>
      </c>
      <c r="AD95" s="63">
        <f t="shared" si="15"/>
        <v>-163.30600000000013</v>
      </c>
      <c r="AE95" s="63">
        <f t="shared" si="16"/>
        <v>-163.30599999999976</v>
      </c>
      <c r="AF95" s="63">
        <f t="shared" si="16"/>
        <v>-163.30000000000001</v>
      </c>
      <c r="AG95" s="28">
        <v>1</v>
      </c>
      <c r="AS95" s="28" t="str">
        <f ca="1"/>
        <v>Blue</v>
      </c>
      <c r="AT95" s="28" t="str">
        <f ca="1"/>
        <v>Green</v>
      </c>
    </row>
    <row r="96" spans="1:46" x14ac:dyDescent="0.2">
      <c r="A96" s="28">
        <v>729</v>
      </c>
      <c r="B96" s="28" t="s">
        <v>157</v>
      </c>
      <c r="C96" s="46">
        <v>23570.31</v>
      </c>
      <c r="D96" s="46">
        <v>21826.16</v>
      </c>
      <c r="E96" s="46">
        <v>20081.169999999998</v>
      </c>
      <c r="F96" s="46">
        <v>19209.93</v>
      </c>
      <c r="G96" s="46">
        <v>18359.55</v>
      </c>
      <c r="H96" s="46">
        <v>186665</v>
      </c>
      <c r="I96" s="54">
        <f t="shared" si="8"/>
        <v>0.12627064527361853</v>
      </c>
      <c r="J96" s="54">
        <f t="shared" si="8"/>
        <v>0.11692690113304582</v>
      </c>
      <c r="K96" s="54">
        <f t="shared" si="8"/>
        <v>0.10757865695229421</v>
      </c>
      <c r="L96" s="54">
        <f t="shared" si="8"/>
        <v>0.10291125813623336</v>
      </c>
      <c r="M96" s="54">
        <f t="shared" si="8"/>
        <v>9.835561031794926E-2</v>
      </c>
      <c r="N96" s="51">
        <f>FORESTS2[[#This Row],[Area_2020]]-FORESTS2[[#This Row],[Area_1990]]</f>
        <v>-5210.760000000002</v>
      </c>
      <c r="O96" s="51">
        <f>ABS(FORESTS2[[#This Row],[Area_Delta]])</f>
        <v>5210.760000000002</v>
      </c>
      <c r="P96" s="54">
        <f>FORESTS2[[#This Row],[Area_2020_%]]-FORESTS2[[#This Row],[Area_1990_%]]</f>
        <v>-2.7915034955669271E-2</v>
      </c>
      <c r="Q96" s="48" t="b">
        <f t="shared" si="10"/>
        <v>0</v>
      </c>
      <c r="R96" s="51">
        <f t="shared" si="11"/>
        <v>0</v>
      </c>
      <c r="S96" s="51">
        <f t="shared" si="12"/>
        <v>5210.760000000002</v>
      </c>
      <c r="T96" s="62">
        <f t="shared" si="13"/>
        <v>4</v>
      </c>
      <c r="U96" s="43">
        <v>9.84</v>
      </c>
      <c r="V96" s="30">
        <v>264</v>
      </c>
      <c r="W96" s="38" t="s">
        <v>247</v>
      </c>
      <c r="X96" s="38">
        <f t="shared" si="14"/>
        <v>-1744.1500000000015</v>
      </c>
      <c r="Y96" s="38">
        <f t="shared" si="14"/>
        <v>-1744.9900000000016</v>
      </c>
      <c r="Z96" s="38">
        <f t="shared" si="14"/>
        <v>-871.23999999999796</v>
      </c>
      <c r="AA96" s="38">
        <f t="shared" si="9"/>
        <v>-850.38000000000102</v>
      </c>
      <c r="AB96" s="38">
        <f>FORESTS2[[#This Row],[Column7]]+FORESTS2[[#This Row],[Column8]]</f>
        <v>-1721.619999999999</v>
      </c>
      <c r="AC96" s="63">
        <f t="shared" si="15"/>
        <v>-174.41500000000013</v>
      </c>
      <c r="AD96" s="63">
        <f t="shared" si="15"/>
        <v>-174.49900000000017</v>
      </c>
      <c r="AE96" s="63">
        <f t="shared" si="16"/>
        <v>-174.24799999999959</v>
      </c>
      <c r="AF96" s="63">
        <f t="shared" si="16"/>
        <v>-170.07600000000019</v>
      </c>
      <c r="AG96" s="28">
        <v>1</v>
      </c>
      <c r="AS96" s="28" t="str">
        <f ca="1"/>
        <v>Green</v>
      </c>
      <c r="AT96" s="28" t="str">
        <f ca="1"/>
        <v>Green</v>
      </c>
    </row>
    <row r="97" spans="1:46" hidden="1" x14ac:dyDescent="0.2">
      <c r="A97" s="28">
        <v>56</v>
      </c>
      <c r="B97" s="28" t="s">
        <v>14</v>
      </c>
      <c r="C97" s="30">
        <v>677.4</v>
      </c>
      <c r="D97" s="30">
        <v>667.3</v>
      </c>
      <c r="E97" s="30">
        <v>689.87</v>
      </c>
      <c r="F97" s="30">
        <v>689.3</v>
      </c>
      <c r="G97" s="30">
        <v>689.3</v>
      </c>
      <c r="H97" s="30">
        <v>3028</v>
      </c>
      <c r="I97" s="54">
        <f t="shared" si="8"/>
        <v>0.22371202113606339</v>
      </c>
      <c r="J97" s="54">
        <f t="shared" si="8"/>
        <v>0.22037648612945837</v>
      </c>
      <c r="K97" s="54">
        <f t="shared" si="8"/>
        <v>0.22783025099075296</v>
      </c>
      <c r="L97" s="54">
        <f t="shared" si="8"/>
        <v>0.22764200792602376</v>
      </c>
      <c r="M97" s="54">
        <f t="shared" si="8"/>
        <v>0.22764200792602376</v>
      </c>
      <c r="N97" s="51">
        <f>FORESTS2[[#This Row],[Area_2020]]-FORESTS2[[#This Row],[Area_1990]]</f>
        <v>11.899999999999977</v>
      </c>
      <c r="O97" s="51">
        <f>ABS(FORESTS2[[#This Row],[Area_Delta]])</f>
        <v>11.899999999999977</v>
      </c>
      <c r="P97" s="54">
        <f>FORESTS2[[#This Row],[Area_2020_%]]-FORESTS2[[#This Row],[Area_1990_%]]</f>
        <v>3.9299867899603713E-3</v>
      </c>
      <c r="Q97" s="54" t="b">
        <f t="shared" si="10"/>
        <v>1</v>
      </c>
      <c r="R97" s="51">
        <f t="shared" si="11"/>
        <v>11.899999999999977</v>
      </c>
      <c r="S97" s="51">
        <f t="shared" si="12"/>
        <v>0</v>
      </c>
      <c r="T97" s="48">
        <f t="shared" si="13"/>
        <v>2</v>
      </c>
      <c r="U97" s="48">
        <v>22.76</v>
      </c>
      <c r="V97" s="30">
        <v>1.5</v>
      </c>
      <c r="W97" s="30">
        <v>0</v>
      </c>
      <c r="X97" s="38">
        <f t="shared" si="14"/>
        <v>-10.100000000000023</v>
      </c>
      <c r="Y97" s="38">
        <f t="shared" si="14"/>
        <v>22.57000000000005</v>
      </c>
      <c r="Z97" s="38">
        <f t="shared" si="14"/>
        <v>-0.57000000000005002</v>
      </c>
      <c r="AA97" s="38">
        <f t="shared" si="9"/>
        <v>0</v>
      </c>
      <c r="AB97" s="38">
        <f>FORESTS2[[#This Row],[Column7]]+FORESTS2[[#This Row],[Column8]]</f>
        <v>-0.57000000000005002</v>
      </c>
      <c r="AC97" s="63">
        <f t="shared" si="15"/>
        <v>-1.0100000000000022</v>
      </c>
      <c r="AD97" s="63">
        <f t="shared" si="15"/>
        <v>2.257000000000005</v>
      </c>
      <c r="AE97" s="63">
        <f t="shared" si="16"/>
        <v>-0.11400000000001001</v>
      </c>
      <c r="AF97" s="63">
        <f t="shared" si="16"/>
        <v>0</v>
      </c>
      <c r="AG97" s="28">
        <v>1</v>
      </c>
      <c r="AS97" s="28" t="str">
        <f ca="1"/>
        <v>Red</v>
      </c>
      <c r="AT97" s="28" t="str">
        <f ca="1"/>
        <v>Green</v>
      </c>
    </row>
    <row r="98" spans="1:46" hidden="1" x14ac:dyDescent="0.2">
      <c r="A98" s="28">
        <v>854</v>
      </c>
      <c r="B98" s="28" t="s">
        <v>23</v>
      </c>
      <c r="C98" s="46">
        <v>7716.6</v>
      </c>
      <c r="D98" s="46">
        <v>7216.5</v>
      </c>
      <c r="E98" s="46">
        <v>6716.5</v>
      </c>
      <c r="F98" s="46">
        <v>6466.4</v>
      </c>
      <c r="G98" s="46">
        <v>6216.4</v>
      </c>
      <c r="H98" s="46">
        <v>27360</v>
      </c>
      <c r="I98" s="54">
        <f t="shared" si="8"/>
        <v>0.28203947368421056</v>
      </c>
      <c r="J98" s="54">
        <f t="shared" si="8"/>
        <v>0.26376096491228068</v>
      </c>
      <c r="K98" s="54">
        <f t="shared" si="8"/>
        <v>0.2454861111111111</v>
      </c>
      <c r="L98" s="54">
        <f t="shared" si="8"/>
        <v>0.23634502923976608</v>
      </c>
      <c r="M98" s="54">
        <f t="shared" si="8"/>
        <v>0.22720760233918127</v>
      </c>
      <c r="N98" s="51">
        <f>FORESTS2[[#This Row],[Area_2020]]-FORESTS2[[#This Row],[Area_1990]]</f>
        <v>-1500.2000000000007</v>
      </c>
      <c r="O98" s="51">
        <f>ABS(FORESTS2[[#This Row],[Area_Delta]])</f>
        <v>1500.2000000000007</v>
      </c>
      <c r="P98" s="54">
        <f>FORESTS2[[#This Row],[Area_2020_%]]-FORESTS2[[#This Row],[Area_1990_%]]</f>
        <v>-5.4831871345029287E-2</v>
      </c>
      <c r="Q98" s="54" t="b">
        <f t="shared" si="10"/>
        <v>0</v>
      </c>
      <c r="R98" s="51">
        <f t="shared" si="11"/>
        <v>0</v>
      </c>
      <c r="S98" s="51">
        <f t="shared" si="12"/>
        <v>1500.2000000000007</v>
      </c>
      <c r="T98" s="48">
        <f t="shared" si="13"/>
        <v>4</v>
      </c>
      <c r="U98" s="43">
        <v>22.72</v>
      </c>
      <c r="V98" s="30" t="s">
        <v>247</v>
      </c>
      <c r="W98" s="38" t="s">
        <v>247</v>
      </c>
      <c r="X98" s="38">
        <f t="shared" si="14"/>
        <v>-500.10000000000036</v>
      </c>
      <c r="Y98" s="38">
        <f t="shared" si="14"/>
        <v>-500</v>
      </c>
      <c r="Z98" s="38">
        <f t="shared" si="14"/>
        <v>-250.10000000000036</v>
      </c>
      <c r="AA98" s="38">
        <f t="shared" si="9"/>
        <v>-250</v>
      </c>
      <c r="AB98" s="38">
        <f>FORESTS2[[#This Row],[Column7]]+FORESTS2[[#This Row],[Column8]]</f>
        <v>-500.10000000000036</v>
      </c>
      <c r="AC98" s="63">
        <f t="shared" si="15"/>
        <v>-50.010000000000034</v>
      </c>
      <c r="AD98" s="63">
        <f t="shared" si="15"/>
        <v>-50</v>
      </c>
      <c r="AE98" s="63">
        <f t="shared" si="16"/>
        <v>-50.020000000000074</v>
      </c>
      <c r="AF98" s="63">
        <f t="shared" si="16"/>
        <v>-50</v>
      </c>
      <c r="AG98" s="28">
        <v>1</v>
      </c>
      <c r="AS98" s="28" t="str">
        <f ca="1"/>
        <v>Blue</v>
      </c>
      <c r="AT98" s="28" t="str">
        <f ca="1"/>
        <v>Green</v>
      </c>
    </row>
    <row r="99" spans="1:46" hidden="1" x14ac:dyDescent="0.2">
      <c r="A99" s="28">
        <v>348</v>
      </c>
      <c r="B99" s="28" t="s">
        <v>73</v>
      </c>
      <c r="C99" s="38">
        <v>1813.9</v>
      </c>
      <c r="D99" s="38">
        <v>1921.17</v>
      </c>
      <c r="E99" s="38">
        <v>2046.39</v>
      </c>
      <c r="F99" s="38">
        <v>2060.8200000000002</v>
      </c>
      <c r="G99" s="38">
        <v>2053.0100000000002</v>
      </c>
      <c r="H99" s="38">
        <v>9053</v>
      </c>
      <c r="I99" s="54">
        <f t="shared" si="8"/>
        <v>0.2003645200486027</v>
      </c>
      <c r="J99" s="54">
        <f t="shared" si="8"/>
        <v>0.21221363084060532</v>
      </c>
      <c r="K99" s="54">
        <f t="shared" si="8"/>
        <v>0.22604550977576496</v>
      </c>
      <c r="L99" s="54">
        <f t="shared" si="8"/>
        <v>0.22763945653374573</v>
      </c>
      <c r="M99" s="54">
        <f t="shared" si="8"/>
        <v>0.22677675908538608</v>
      </c>
      <c r="N99" s="51">
        <f>FORESTS2[[#This Row],[Area_2020]]-FORESTS2[[#This Row],[Area_1990]]</f>
        <v>239.11000000000013</v>
      </c>
      <c r="O99" s="51">
        <f>ABS(FORESTS2[[#This Row],[Area_Delta]])</f>
        <v>239.11000000000013</v>
      </c>
      <c r="P99" s="54">
        <f>FORESTS2[[#This Row],[Area_2020_%]]-FORESTS2[[#This Row],[Area_1990_%]]</f>
        <v>2.6412239036783386E-2</v>
      </c>
      <c r="Q99" s="54" t="b">
        <f t="shared" si="10"/>
        <v>1</v>
      </c>
      <c r="R99" s="51">
        <f t="shared" si="11"/>
        <v>239.11000000000013</v>
      </c>
      <c r="S99" s="51">
        <f t="shared" si="12"/>
        <v>0</v>
      </c>
      <c r="T99" s="48">
        <f t="shared" si="13"/>
        <v>1</v>
      </c>
      <c r="U99" s="43">
        <v>22.68</v>
      </c>
      <c r="V99" s="30">
        <v>3.14</v>
      </c>
      <c r="W99" s="38">
        <v>1.6</v>
      </c>
      <c r="X99" s="38">
        <f t="shared" si="14"/>
        <v>107.26999999999998</v>
      </c>
      <c r="Y99" s="38">
        <f t="shared" si="14"/>
        <v>125.22000000000003</v>
      </c>
      <c r="Z99" s="38">
        <f t="shared" si="14"/>
        <v>14.430000000000064</v>
      </c>
      <c r="AA99" s="38">
        <f t="shared" si="9"/>
        <v>-7.8099999999999454</v>
      </c>
      <c r="AB99" s="38">
        <f>FORESTS2[[#This Row],[Column7]]+FORESTS2[[#This Row],[Column8]]</f>
        <v>6.6200000000001182</v>
      </c>
      <c r="AC99" s="63">
        <f t="shared" si="15"/>
        <v>10.726999999999999</v>
      </c>
      <c r="AD99" s="63">
        <f t="shared" si="15"/>
        <v>12.522000000000002</v>
      </c>
      <c r="AE99" s="63">
        <f t="shared" si="16"/>
        <v>2.8860000000000126</v>
      </c>
      <c r="AF99" s="63">
        <f t="shared" si="16"/>
        <v>-1.5619999999999892</v>
      </c>
      <c r="AG99" s="28">
        <v>1</v>
      </c>
    </row>
    <row r="100" spans="1:46" hidden="1" x14ac:dyDescent="0.2">
      <c r="A100" s="28">
        <v>768</v>
      </c>
      <c r="B100" s="28" t="s">
        <v>166</v>
      </c>
      <c r="C100" s="46">
        <v>1361.66</v>
      </c>
      <c r="D100" s="46">
        <v>1268.46</v>
      </c>
      <c r="E100" s="46">
        <v>1238.8699999999999</v>
      </c>
      <c r="F100" s="46">
        <v>1224.07</v>
      </c>
      <c r="G100" s="46">
        <v>1209.27</v>
      </c>
      <c r="H100" s="46">
        <v>5439</v>
      </c>
      <c r="I100" s="54">
        <f t="shared" si="8"/>
        <v>0.25035116749402464</v>
      </c>
      <c r="J100" s="54">
        <f t="shared" si="8"/>
        <v>0.23321566464423607</v>
      </c>
      <c r="K100" s="54">
        <f t="shared" si="8"/>
        <v>0.2277753263467549</v>
      </c>
      <c r="L100" s="54">
        <f t="shared" si="8"/>
        <v>0.22505423791138077</v>
      </c>
      <c r="M100" s="54">
        <f t="shared" si="8"/>
        <v>0.2223331494760066</v>
      </c>
      <c r="N100" s="51">
        <f>FORESTS2[[#This Row],[Area_2020]]-FORESTS2[[#This Row],[Area_1990]]</f>
        <v>-152.3900000000001</v>
      </c>
      <c r="O100" s="51">
        <f>ABS(FORESTS2[[#This Row],[Area_Delta]])</f>
        <v>152.3900000000001</v>
      </c>
      <c r="P100" s="54">
        <f>FORESTS2[[#This Row],[Area_2020_%]]-FORESTS2[[#This Row],[Area_1990_%]]</f>
        <v>-2.8018018018018037E-2</v>
      </c>
      <c r="Q100" s="54" t="b">
        <f t="shared" si="10"/>
        <v>0</v>
      </c>
      <c r="R100" s="51">
        <f t="shared" si="11"/>
        <v>0</v>
      </c>
      <c r="S100" s="51">
        <f t="shared" si="12"/>
        <v>152.3900000000001</v>
      </c>
      <c r="T100" s="48">
        <f t="shared" si="13"/>
        <v>4</v>
      </c>
      <c r="U100" s="43">
        <v>22.23</v>
      </c>
      <c r="V100" s="30">
        <v>4.96</v>
      </c>
      <c r="W100" s="38" t="s">
        <v>247</v>
      </c>
      <c r="X100" s="38">
        <f t="shared" si="14"/>
        <v>-93.200000000000045</v>
      </c>
      <c r="Y100" s="38">
        <f t="shared" si="14"/>
        <v>-29.590000000000146</v>
      </c>
      <c r="Z100" s="38">
        <f t="shared" si="14"/>
        <v>-14.799999999999955</v>
      </c>
      <c r="AA100" s="38">
        <f t="shared" si="9"/>
        <v>-14.799999999999955</v>
      </c>
      <c r="AB100" s="38">
        <f>FORESTS2[[#This Row],[Column7]]+FORESTS2[[#This Row],[Column8]]</f>
        <v>-29.599999999999909</v>
      </c>
      <c r="AC100" s="63">
        <f t="shared" si="15"/>
        <v>-9.3200000000000038</v>
      </c>
      <c r="AD100" s="63">
        <f t="shared" si="15"/>
        <v>-2.9590000000000147</v>
      </c>
      <c r="AE100" s="63">
        <f t="shared" si="16"/>
        <v>-2.9599999999999911</v>
      </c>
      <c r="AF100" s="63">
        <f t="shared" si="16"/>
        <v>-2.9599999999999911</v>
      </c>
    </row>
    <row r="101" spans="1:46" hidden="1" x14ac:dyDescent="0.2">
      <c r="A101" s="28">
        <v>702</v>
      </c>
      <c r="B101" s="28" t="s">
        <v>148</v>
      </c>
      <c r="C101" s="30">
        <v>14.83</v>
      </c>
      <c r="D101" s="30">
        <v>17.010000000000002</v>
      </c>
      <c r="E101" s="30">
        <v>17.739999999999998</v>
      </c>
      <c r="F101" s="30">
        <v>16.47</v>
      </c>
      <c r="G101" s="30">
        <v>15.57</v>
      </c>
      <c r="H101" s="30">
        <v>71</v>
      </c>
      <c r="I101" s="54">
        <f t="shared" si="8"/>
        <v>0.20887323943661973</v>
      </c>
      <c r="J101" s="54">
        <f t="shared" si="8"/>
        <v>0.2395774647887324</v>
      </c>
      <c r="K101" s="54">
        <f t="shared" si="8"/>
        <v>0.24985915492957744</v>
      </c>
      <c r="L101" s="54">
        <f t="shared" si="8"/>
        <v>0.23197183098591548</v>
      </c>
      <c r="M101" s="54">
        <f t="shared" si="8"/>
        <v>0.21929577464788733</v>
      </c>
      <c r="N101" s="51">
        <f>FORESTS2[[#This Row],[Area_2020]]-FORESTS2[[#This Row],[Area_1990]]</f>
        <v>0.74000000000000021</v>
      </c>
      <c r="O101" s="51">
        <f>ABS(FORESTS2[[#This Row],[Area_Delta]])</f>
        <v>0.74000000000000021</v>
      </c>
      <c r="P101" s="54">
        <f>FORESTS2[[#This Row],[Area_2020_%]]-FORESTS2[[#This Row],[Area_1990_%]]</f>
        <v>1.0422535211267597E-2</v>
      </c>
      <c r="Q101" s="54" t="b">
        <f t="shared" si="10"/>
        <v>1</v>
      </c>
      <c r="R101" s="51">
        <f t="shared" si="11"/>
        <v>0.74000000000000021</v>
      </c>
      <c r="S101" s="51">
        <f t="shared" si="12"/>
        <v>0</v>
      </c>
      <c r="T101" s="48">
        <f t="shared" si="13"/>
        <v>2</v>
      </c>
      <c r="U101" s="48">
        <v>21.93</v>
      </c>
      <c r="V101" s="30">
        <v>0.24</v>
      </c>
      <c r="W101" s="30" t="s">
        <v>247</v>
      </c>
      <c r="X101" s="38">
        <f t="shared" si="14"/>
        <v>2.1800000000000015</v>
      </c>
      <c r="Y101" s="38">
        <f t="shared" si="14"/>
        <v>0.72999999999999687</v>
      </c>
      <c r="Z101" s="38">
        <f t="shared" si="14"/>
        <v>-1.2699999999999996</v>
      </c>
      <c r="AA101" s="38">
        <f t="shared" si="9"/>
        <v>-0.89999999999999858</v>
      </c>
      <c r="AB101" s="38">
        <f>FORESTS2[[#This Row],[Column7]]+FORESTS2[[#This Row],[Column8]]</f>
        <v>-2.1699999999999982</v>
      </c>
      <c r="AC101" s="63">
        <f t="shared" si="15"/>
        <v>0.21800000000000014</v>
      </c>
      <c r="AD101" s="63">
        <f t="shared" si="15"/>
        <v>7.299999999999969E-2</v>
      </c>
      <c r="AE101" s="63">
        <f t="shared" si="16"/>
        <v>-0.25399999999999989</v>
      </c>
      <c r="AF101" s="63">
        <f t="shared" si="16"/>
        <v>-0.17999999999999972</v>
      </c>
      <c r="AG101" s="28">
        <v>1</v>
      </c>
    </row>
    <row r="102" spans="1:46" hidden="1" x14ac:dyDescent="0.2">
      <c r="A102" s="28">
        <v>450</v>
      </c>
      <c r="B102" s="28" t="s">
        <v>96</v>
      </c>
      <c r="C102" s="46">
        <v>13693.45</v>
      </c>
      <c r="D102" s="46">
        <v>13030.67</v>
      </c>
      <c r="E102" s="46">
        <v>12561.98</v>
      </c>
      <c r="F102" s="46">
        <v>12495.89</v>
      </c>
      <c r="G102" s="46">
        <v>12429.81</v>
      </c>
      <c r="H102" s="46">
        <v>58180</v>
      </c>
      <c r="I102" s="54">
        <f t="shared" si="8"/>
        <v>0.23536352698521831</v>
      </c>
      <c r="J102" s="54">
        <f t="shared" si="8"/>
        <v>0.22397163973874185</v>
      </c>
      <c r="K102" s="54">
        <f t="shared" si="8"/>
        <v>0.21591577861808181</v>
      </c>
      <c r="L102" s="54">
        <f t="shared" si="8"/>
        <v>0.21477982124441389</v>
      </c>
      <c r="M102" s="54">
        <f t="shared" si="8"/>
        <v>0.21364403575111721</v>
      </c>
      <c r="N102" s="51">
        <f>FORESTS2[[#This Row],[Area_2020]]-FORESTS2[[#This Row],[Area_1990]]</f>
        <v>-1263.6400000000012</v>
      </c>
      <c r="O102" s="51">
        <f>ABS(FORESTS2[[#This Row],[Area_Delta]])</f>
        <v>1263.6400000000012</v>
      </c>
      <c r="P102" s="54">
        <f>FORESTS2[[#This Row],[Area_2020_%]]-FORESTS2[[#This Row],[Area_1990_%]]</f>
        <v>-2.1719491234101107E-2</v>
      </c>
      <c r="Q102" s="54" t="b">
        <f t="shared" si="10"/>
        <v>0</v>
      </c>
      <c r="R102" s="51">
        <f t="shared" si="11"/>
        <v>0</v>
      </c>
      <c r="S102" s="51">
        <f t="shared" si="12"/>
        <v>1263.6400000000012</v>
      </c>
      <c r="T102" s="62">
        <f t="shared" si="13"/>
        <v>4</v>
      </c>
      <c r="U102" s="43">
        <v>21.36</v>
      </c>
      <c r="V102" s="30" t="s">
        <v>247</v>
      </c>
      <c r="W102" s="38" t="s">
        <v>247</v>
      </c>
      <c r="X102" s="38">
        <f t="shared" si="14"/>
        <v>-662.78000000000065</v>
      </c>
      <c r="Y102" s="38">
        <f t="shared" si="14"/>
        <v>-468.69000000000051</v>
      </c>
      <c r="Z102" s="38">
        <f t="shared" si="14"/>
        <v>-66.090000000000146</v>
      </c>
      <c r="AA102" s="38">
        <f t="shared" si="9"/>
        <v>-66.079999999999927</v>
      </c>
      <c r="AB102" s="38">
        <f>FORESTS2[[#This Row],[Column7]]+FORESTS2[[#This Row],[Column8]]</f>
        <v>-132.17000000000007</v>
      </c>
      <c r="AC102" s="63">
        <f t="shared" si="15"/>
        <v>-66.278000000000063</v>
      </c>
      <c r="AD102" s="63">
        <f t="shared" si="15"/>
        <v>-46.86900000000005</v>
      </c>
      <c r="AE102" s="63">
        <f t="shared" si="16"/>
        <v>-13.218000000000028</v>
      </c>
      <c r="AF102" s="63">
        <f t="shared" si="16"/>
        <v>-13.215999999999985</v>
      </c>
      <c r="AG102" s="28">
        <v>1</v>
      </c>
    </row>
    <row r="103" spans="1:46" hidden="1" x14ac:dyDescent="0.2">
      <c r="A103" s="28">
        <v>60</v>
      </c>
      <c r="B103" s="28" t="s">
        <v>218</v>
      </c>
      <c r="C103" s="30">
        <v>1</v>
      </c>
      <c r="D103" s="30">
        <v>1</v>
      </c>
      <c r="E103" s="30">
        <v>1</v>
      </c>
      <c r="F103" s="30">
        <v>1</v>
      </c>
      <c r="G103" s="30">
        <v>1</v>
      </c>
      <c r="H103" s="30">
        <v>5</v>
      </c>
      <c r="I103" s="54">
        <f t="shared" si="8"/>
        <v>0.2</v>
      </c>
      <c r="J103" s="54">
        <f t="shared" si="8"/>
        <v>0.2</v>
      </c>
      <c r="K103" s="54">
        <f t="shared" si="8"/>
        <v>0.2</v>
      </c>
      <c r="L103" s="54">
        <f t="shared" si="8"/>
        <v>0.2</v>
      </c>
      <c r="M103" s="54">
        <f t="shared" si="8"/>
        <v>0.2</v>
      </c>
      <c r="N103" s="51">
        <f>FORESTS2[[#This Row],[Area_2020]]-FORESTS2[[#This Row],[Area_1990]]</f>
        <v>0</v>
      </c>
      <c r="O103" s="51">
        <f>ABS(FORESTS2[[#This Row],[Area_Delta]])</f>
        <v>0</v>
      </c>
      <c r="P103" s="54">
        <f>FORESTS2[[#This Row],[Area_2020_%]]-FORESTS2[[#This Row],[Area_1990_%]]</f>
        <v>0</v>
      </c>
      <c r="Q103" s="54" t="b">
        <f t="shared" si="10"/>
        <v>0</v>
      </c>
      <c r="R103" s="51">
        <f t="shared" si="11"/>
        <v>0</v>
      </c>
      <c r="S103" s="51">
        <f t="shared" si="12"/>
        <v>0</v>
      </c>
      <c r="T103" s="48">
        <f t="shared" si="13"/>
        <v>0</v>
      </c>
      <c r="U103" s="48">
        <v>20</v>
      </c>
      <c r="V103" s="30" t="s">
        <v>247</v>
      </c>
      <c r="W103" s="30" t="s">
        <v>247</v>
      </c>
      <c r="X103" s="38">
        <f t="shared" si="14"/>
        <v>0</v>
      </c>
      <c r="Y103" s="38">
        <f t="shared" si="14"/>
        <v>0</v>
      </c>
      <c r="Z103" s="38">
        <f t="shared" si="14"/>
        <v>0</v>
      </c>
      <c r="AA103" s="38">
        <f t="shared" si="9"/>
        <v>0</v>
      </c>
      <c r="AB103" s="38">
        <f>FORESTS2[[#This Row],[Column7]]+FORESTS2[[#This Row],[Column8]]</f>
        <v>0</v>
      </c>
      <c r="AC103" s="63">
        <f t="shared" si="15"/>
        <v>0</v>
      </c>
      <c r="AD103" s="63">
        <f t="shared" si="15"/>
        <v>0</v>
      </c>
      <c r="AE103" s="63">
        <f t="shared" si="16"/>
        <v>0</v>
      </c>
      <c r="AF103" s="63">
        <f t="shared" si="16"/>
        <v>0</v>
      </c>
    </row>
    <row r="104" spans="1:46" hidden="1" x14ac:dyDescent="0.2">
      <c r="A104" s="28">
        <v>480</v>
      </c>
      <c r="B104" s="28" t="s">
        <v>105</v>
      </c>
      <c r="C104" s="30">
        <v>41.07</v>
      </c>
      <c r="D104" s="30">
        <v>41.93</v>
      </c>
      <c r="E104" s="30">
        <v>38.39</v>
      </c>
      <c r="F104" s="30">
        <v>38.299999999999997</v>
      </c>
      <c r="G104" s="30">
        <v>38.770000000000003</v>
      </c>
      <c r="H104" s="30">
        <v>203</v>
      </c>
      <c r="I104" s="54">
        <f t="shared" si="8"/>
        <v>0.20231527093596061</v>
      </c>
      <c r="J104" s="54">
        <f t="shared" si="8"/>
        <v>0.20655172413793102</v>
      </c>
      <c r="K104" s="54">
        <f t="shared" si="8"/>
        <v>0.18911330049261085</v>
      </c>
      <c r="L104" s="54">
        <f t="shared" si="8"/>
        <v>0.18866995073891624</v>
      </c>
      <c r="M104" s="54">
        <f t="shared" si="8"/>
        <v>0.19098522167487686</v>
      </c>
      <c r="N104" s="51">
        <f>FORESTS2[[#This Row],[Area_2020]]-FORESTS2[[#This Row],[Area_1990]]</f>
        <v>-2.2999999999999972</v>
      </c>
      <c r="O104" s="51">
        <f>ABS(FORESTS2[[#This Row],[Area_Delta]])</f>
        <v>2.2999999999999972</v>
      </c>
      <c r="P104" s="54">
        <f>FORESTS2[[#This Row],[Area_2020_%]]-FORESTS2[[#This Row],[Area_1990_%]]</f>
        <v>-1.1330049261083747E-2</v>
      </c>
      <c r="Q104" s="54" t="b">
        <f t="shared" si="10"/>
        <v>0</v>
      </c>
      <c r="R104" s="51">
        <f t="shared" si="11"/>
        <v>0</v>
      </c>
      <c r="S104" s="51">
        <f t="shared" si="12"/>
        <v>2.2999999999999972</v>
      </c>
      <c r="T104" s="48">
        <f t="shared" si="13"/>
        <v>2</v>
      </c>
      <c r="U104" s="48">
        <v>19.100000000000001</v>
      </c>
      <c r="V104" s="30">
        <v>0.12</v>
      </c>
      <c r="W104" s="30">
        <v>0.08</v>
      </c>
      <c r="X104" s="38">
        <f t="shared" si="14"/>
        <v>0.85999999999999943</v>
      </c>
      <c r="Y104" s="38">
        <f t="shared" si="14"/>
        <v>-3.5399999999999991</v>
      </c>
      <c r="Z104" s="38">
        <f t="shared" si="14"/>
        <v>-9.0000000000003411E-2</v>
      </c>
      <c r="AA104" s="38">
        <f t="shared" si="9"/>
        <v>0.47000000000000597</v>
      </c>
      <c r="AB104" s="38">
        <f>FORESTS2[[#This Row],[Column7]]+FORESTS2[[#This Row],[Column8]]</f>
        <v>0.38000000000000256</v>
      </c>
      <c r="AC104" s="63">
        <f t="shared" si="15"/>
        <v>8.5999999999999938E-2</v>
      </c>
      <c r="AD104" s="63">
        <f t="shared" si="15"/>
        <v>-0.35399999999999993</v>
      </c>
      <c r="AE104" s="63">
        <f t="shared" si="16"/>
        <v>-1.8000000000000682E-2</v>
      </c>
      <c r="AF104" s="63">
        <f t="shared" si="16"/>
        <v>9.4000000000001194E-2</v>
      </c>
      <c r="AG104" s="28">
        <v>1</v>
      </c>
    </row>
    <row r="105" spans="1:46" hidden="1" x14ac:dyDescent="0.2">
      <c r="A105" s="28">
        <v>196</v>
      </c>
      <c r="B105" s="28" t="s">
        <v>40</v>
      </c>
      <c r="C105" s="30">
        <v>161.11000000000001</v>
      </c>
      <c r="D105" s="30">
        <v>171.61</v>
      </c>
      <c r="E105" s="30">
        <v>172.84</v>
      </c>
      <c r="F105" s="30">
        <v>172.71</v>
      </c>
      <c r="G105" s="30">
        <v>172.53</v>
      </c>
      <c r="H105" s="30">
        <v>924</v>
      </c>
      <c r="I105" s="54">
        <f t="shared" si="8"/>
        <v>0.17436147186147188</v>
      </c>
      <c r="J105" s="54">
        <f t="shared" si="8"/>
        <v>0.18572510822510824</v>
      </c>
      <c r="K105" s="54">
        <f t="shared" si="8"/>
        <v>0.18705627705627706</v>
      </c>
      <c r="L105" s="54">
        <f t="shared" si="8"/>
        <v>0.18691558441558442</v>
      </c>
      <c r="M105" s="54">
        <f t="shared" si="8"/>
        <v>0.18672077922077923</v>
      </c>
      <c r="N105" s="51">
        <f>FORESTS2[[#This Row],[Area_2020]]-FORESTS2[[#This Row],[Area_1990]]</f>
        <v>11.419999999999987</v>
      </c>
      <c r="O105" s="51">
        <f>ABS(FORESTS2[[#This Row],[Area_Delta]])</f>
        <v>11.419999999999987</v>
      </c>
      <c r="P105" s="54">
        <f>FORESTS2[[#This Row],[Area_2020_%]]-FORESTS2[[#This Row],[Area_1990_%]]</f>
        <v>1.2359307359307348E-2</v>
      </c>
      <c r="Q105" s="54" t="b">
        <f t="shared" si="10"/>
        <v>1</v>
      </c>
      <c r="R105" s="51">
        <f t="shared" si="11"/>
        <v>11.419999999999987</v>
      </c>
      <c r="S105" s="51">
        <f t="shared" si="12"/>
        <v>0</v>
      </c>
      <c r="T105" s="48">
        <f t="shared" si="13"/>
        <v>2</v>
      </c>
      <c r="U105" s="48">
        <v>18.670000000000002</v>
      </c>
      <c r="V105" s="30" t="s">
        <v>247</v>
      </c>
      <c r="W105" s="30">
        <v>0.03</v>
      </c>
      <c r="X105" s="38">
        <f t="shared" si="14"/>
        <v>10.5</v>
      </c>
      <c r="Y105" s="38">
        <f t="shared" si="14"/>
        <v>1.2299999999999898</v>
      </c>
      <c r="Z105" s="38">
        <f t="shared" si="14"/>
        <v>-0.12999999999999545</v>
      </c>
      <c r="AA105" s="38">
        <f t="shared" si="9"/>
        <v>-0.18000000000000682</v>
      </c>
      <c r="AB105" s="38">
        <f>FORESTS2[[#This Row],[Column7]]+FORESTS2[[#This Row],[Column8]]</f>
        <v>-0.31000000000000227</v>
      </c>
      <c r="AC105" s="63">
        <f t="shared" si="15"/>
        <v>1.05</v>
      </c>
      <c r="AD105" s="63">
        <f t="shared" si="15"/>
        <v>0.12299999999999897</v>
      </c>
      <c r="AE105" s="63">
        <f t="shared" si="16"/>
        <v>-2.599999999999909E-2</v>
      </c>
      <c r="AF105" s="63">
        <f t="shared" si="16"/>
        <v>-3.6000000000001364E-2</v>
      </c>
    </row>
    <row r="106" spans="1:46" hidden="1" x14ac:dyDescent="0.2">
      <c r="A106" s="28">
        <v>28</v>
      </c>
      <c r="B106" s="28" t="s">
        <v>204</v>
      </c>
      <c r="C106" s="46">
        <v>10.11</v>
      </c>
      <c r="D106" s="46">
        <v>9.4499999999999993</v>
      </c>
      <c r="E106" s="46">
        <v>8.7799999999999994</v>
      </c>
      <c r="F106" s="46">
        <v>8.4499999999999993</v>
      </c>
      <c r="G106" s="46">
        <v>8.1199999999999992</v>
      </c>
      <c r="H106" s="46">
        <v>44</v>
      </c>
      <c r="I106" s="54">
        <f t="shared" ref="I106:M156" si="17">C106/$H106</f>
        <v>0.22977272727272727</v>
      </c>
      <c r="J106" s="54">
        <f t="shared" si="17"/>
        <v>0.21477272727272725</v>
      </c>
      <c r="K106" s="54">
        <f t="shared" si="17"/>
        <v>0.19954545454545453</v>
      </c>
      <c r="L106" s="54">
        <f t="shared" si="17"/>
        <v>0.19204545454545452</v>
      </c>
      <c r="M106" s="54">
        <f t="shared" si="17"/>
        <v>0.18454545454545454</v>
      </c>
      <c r="N106" s="51">
        <f>FORESTS2[[#This Row],[Area_2020]]-FORESTS2[[#This Row],[Area_1990]]</f>
        <v>-1.9900000000000002</v>
      </c>
      <c r="O106" s="51">
        <f>ABS(FORESTS2[[#This Row],[Area_Delta]])</f>
        <v>1.9900000000000002</v>
      </c>
      <c r="P106" s="54">
        <f>FORESTS2[[#This Row],[Area_2020_%]]-FORESTS2[[#This Row],[Area_1990_%]]</f>
        <v>-4.5227272727272727E-2</v>
      </c>
      <c r="Q106" s="54" t="b">
        <f t="shared" si="10"/>
        <v>0</v>
      </c>
      <c r="R106" s="51">
        <f t="shared" si="11"/>
        <v>0</v>
      </c>
      <c r="S106" s="51">
        <f t="shared" si="12"/>
        <v>1.9900000000000002</v>
      </c>
      <c r="T106" s="48">
        <f t="shared" si="13"/>
        <v>4</v>
      </c>
      <c r="U106" s="48">
        <v>18.45</v>
      </c>
      <c r="V106" s="30" t="s">
        <v>247</v>
      </c>
      <c r="W106" s="30" t="s">
        <v>247</v>
      </c>
      <c r="X106" s="38">
        <f t="shared" si="14"/>
        <v>-0.66000000000000014</v>
      </c>
      <c r="Y106" s="38">
        <f t="shared" si="14"/>
        <v>-0.66999999999999993</v>
      </c>
      <c r="Z106" s="38">
        <f t="shared" si="14"/>
        <v>-0.33000000000000007</v>
      </c>
      <c r="AA106" s="38">
        <f t="shared" si="9"/>
        <v>-0.33000000000000007</v>
      </c>
      <c r="AB106" s="38">
        <f>FORESTS2[[#This Row],[Column7]]+FORESTS2[[#This Row],[Column8]]</f>
        <v>-0.66000000000000014</v>
      </c>
      <c r="AC106" s="63">
        <f t="shared" si="15"/>
        <v>-6.6000000000000017E-2</v>
      </c>
      <c r="AD106" s="63">
        <f t="shared" si="15"/>
        <v>-6.699999999999999E-2</v>
      </c>
      <c r="AE106" s="63">
        <f t="shared" si="16"/>
        <v>-6.6000000000000017E-2</v>
      </c>
      <c r="AF106" s="63">
        <f t="shared" si="16"/>
        <v>-6.6000000000000017E-2</v>
      </c>
    </row>
    <row r="107" spans="1:46" hidden="1" x14ac:dyDescent="0.2">
      <c r="A107" s="28">
        <v>174</v>
      </c>
      <c r="B107" s="28" t="s">
        <v>34</v>
      </c>
      <c r="C107" s="46">
        <v>46.06</v>
      </c>
      <c r="D107" s="46">
        <v>41.68</v>
      </c>
      <c r="E107" s="46">
        <v>37.299999999999997</v>
      </c>
      <c r="F107" s="46">
        <v>35.11</v>
      </c>
      <c r="G107" s="46">
        <v>32.92</v>
      </c>
      <c r="H107" s="46">
        <v>186</v>
      </c>
      <c r="I107" s="54">
        <f t="shared" si="17"/>
        <v>0.24763440860215055</v>
      </c>
      <c r="J107" s="54">
        <f t="shared" si="17"/>
        <v>0.22408602150537635</v>
      </c>
      <c r="K107" s="54">
        <f t="shared" si="17"/>
        <v>0.20053763440860214</v>
      </c>
      <c r="L107" s="54">
        <f t="shared" si="17"/>
        <v>0.18876344086021504</v>
      </c>
      <c r="M107" s="54">
        <f t="shared" si="17"/>
        <v>0.17698924731182797</v>
      </c>
      <c r="N107" s="51">
        <f>FORESTS2[[#This Row],[Area_2020]]-FORESTS2[[#This Row],[Area_1990]]</f>
        <v>-13.14</v>
      </c>
      <c r="O107" s="51">
        <f>ABS(FORESTS2[[#This Row],[Area_Delta]])</f>
        <v>13.14</v>
      </c>
      <c r="P107" s="54">
        <f>FORESTS2[[#This Row],[Area_2020_%]]-FORESTS2[[#This Row],[Area_1990_%]]</f>
        <v>-7.0645161290322583E-2</v>
      </c>
      <c r="Q107" s="54" t="b">
        <f t="shared" si="10"/>
        <v>0</v>
      </c>
      <c r="R107" s="51">
        <f t="shared" si="11"/>
        <v>0</v>
      </c>
      <c r="S107" s="51">
        <f t="shared" si="12"/>
        <v>13.14</v>
      </c>
      <c r="T107" s="48">
        <f t="shared" si="13"/>
        <v>4</v>
      </c>
      <c r="U107" s="48">
        <v>17.7</v>
      </c>
      <c r="V107" s="30" t="s">
        <v>247</v>
      </c>
      <c r="W107" s="30" t="s">
        <v>247</v>
      </c>
      <c r="X107" s="38">
        <f t="shared" si="14"/>
        <v>-4.3800000000000026</v>
      </c>
      <c r="Y107" s="38">
        <f t="shared" si="14"/>
        <v>-4.3800000000000026</v>
      </c>
      <c r="Z107" s="38">
        <f t="shared" si="14"/>
        <v>-2.1899999999999977</v>
      </c>
      <c r="AA107" s="38">
        <f t="shared" si="9"/>
        <v>-2.1899999999999977</v>
      </c>
      <c r="AB107" s="38">
        <f>FORESTS2[[#This Row],[Column7]]+FORESTS2[[#This Row],[Column8]]</f>
        <v>-4.3799999999999955</v>
      </c>
      <c r="AC107" s="63">
        <f t="shared" si="15"/>
        <v>-0.43800000000000028</v>
      </c>
      <c r="AD107" s="63">
        <f t="shared" si="15"/>
        <v>-0.43800000000000028</v>
      </c>
      <c r="AE107" s="63">
        <f t="shared" si="16"/>
        <v>-0.43799999999999956</v>
      </c>
      <c r="AF107" s="63">
        <f t="shared" si="16"/>
        <v>-0.43799999999999956</v>
      </c>
    </row>
    <row r="108" spans="1:46" hidden="1" x14ac:dyDescent="0.2">
      <c r="A108" s="36">
        <v>36</v>
      </c>
      <c r="B108" s="36" t="s">
        <v>7</v>
      </c>
      <c r="C108" s="39">
        <v>133882.20000000001</v>
      </c>
      <c r="D108" s="39">
        <v>131814.1</v>
      </c>
      <c r="E108" s="39">
        <v>129546.1</v>
      </c>
      <c r="F108" s="39">
        <v>133094.5</v>
      </c>
      <c r="G108" s="39">
        <v>134005.1</v>
      </c>
      <c r="H108" s="39">
        <v>768230</v>
      </c>
      <c r="I108" s="54">
        <f t="shared" si="17"/>
        <v>0.17427358994051262</v>
      </c>
      <c r="J108" s="54">
        <f t="shared" si="17"/>
        <v>0.171581557606446</v>
      </c>
      <c r="K108" s="54">
        <f t="shared" si="17"/>
        <v>0.16862931674108014</v>
      </c>
      <c r="L108" s="54">
        <f t="shared" si="17"/>
        <v>0.17324824596800437</v>
      </c>
      <c r="M108" s="54">
        <f t="shared" si="17"/>
        <v>0.17443356807206176</v>
      </c>
      <c r="N108" s="51">
        <f>FORESTS2[[#This Row],[Area_2020]]-FORESTS2[[#This Row],[Area_1990]]</f>
        <v>122.89999999999418</v>
      </c>
      <c r="O108" s="51">
        <f>ABS(FORESTS2[[#This Row],[Area_Delta]])</f>
        <v>122.89999999999418</v>
      </c>
      <c r="P108" s="54">
        <f>FORESTS2[[#This Row],[Area_2020_%]]-FORESTS2[[#This Row],[Area_1990_%]]</f>
        <v>1.5997813154913776E-4</v>
      </c>
      <c r="Q108" s="54" t="b">
        <f t="shared" si="10"/>
        <v>1</v>
      </c>
      <c r="R108" s="51">
        <f t="shared" si="11"/>
        <v>122.89999999999418</v>
      </c>
      <c r="S108" s="51">
        <f t="shared" si="12"/>
        <v>0</v>
      </c>
      <c r="T108" s="62">
        <f t="shared" si="13"/>
        <v>2</v>
      </c>
      <c r="U108" s="43">
        <v>17.440000000000001</v>
      </c>
      <c r="V108" s="37" t="s">
        <v>247</v>
      </c>
      <c r="W108" s="39">
        <v>14774.38</v>
      </c>
      <c r="X108" s="38">
        <f t="shared" si="14"/>
        <v>-2068.1000000000058</v>
      </c>
      <c r="Y108" s="38">
        <f t="shared" si="14"/>
        <v>-2268</v>
      </c>
      <c r="Z108" s="38">
        <f t="shared" si="14"/>
        <v>3548.3999999999942</v>
      </c>
      <c r="AA108" s="38">
        <f t="shared" si="9"/>
        <v>910.60000000000582</v>
      </c>
      <c r="AB108" s="38">
        <f>FORESTS2[[#This Row],[Column7]]+FORESTS2[[#This Row],[Column8]]</f>
        <v>4459</v>
      </c>
      <c r="AC108" s="63">
        <f t="shared" si="15"/>
        <v>-206.81000000000057</v>
      </c>
      <c r="AD108" s="63">
        <f t="shared" si="15"/>
        <v>-226.8</v>
      </c>
      <c r="AE108" s="63">
        <f t="shared" si="16"/>
        <v>709.67999999999881</v>
      </c>
      <c r="AF108" s="63">
        <f t="shared" si="16"/>
        <v>182.12000000000117</v>
      </c>
      <c r="AG108" s="28">
        <v>1</v>
      </c>
    </row>
    <row r="109" spans="1:46" hidden="1" x14ac:dyDescent="0.2">
      <c r="A109" s="28">
        <v>804</v>
      </c>
      <c r="B109" s="28" t="s">
        <v>173</v>
      </c>
      <c r="C109" s="38">
        <v>9274</v>
      </c>
      <c r="D109" s="38">
        <v>9510</v>
      </c>
      <c r="E109" s="38">
        <v>9548</v>
      </c>
      <c r="F109" s="38">
        <v>9657</v>
      </c>
      <c r="G109" s="38">
        <v>9690</v>
      </c>
      <c r="H109" s="38">
        <v>57929</v>
      </c>
      <c r="I109" s="54">
        <f t="shared" si="17"/>
        <v>0.160092527058986</v>
      </c>
      <c r="J109" s="54">
        <f t="shared" si="17"/>
        <v>0.16416647965613079</v>
      </c>
      <c r="K109" s="54">
        <f t="shared" si="17"/>
        <v>0.16482245507431512</v>
      </c>
      <c r="L109" s="54">
        <f t="shared" si="17"/>
        <v>0.16670406877384383</v>
      </c>
      <c r="M109" s="54">
        <f t="shared" si="17"/>
        <v>0.16727373163700393</v>
      </c>
      <c r="N109" s="51">
        <f>FORESTS2[[#This Row],[Area_2020]]-FORESTS2[[#This Row],[Area_1990]]</f>
        <v>416</v>
      </c>
      <c r="O109" s="51">
        <f>ABS(FORESTS2[[#This Row],[Area_Delta]])</f>
        <v>416</v>
      </c>
      <c r="P109" s="54">
        <f>FORESTS2[[#This Row],[Area_2020_%]]-FORESTS2[[#This Row],[Area_1990_%]]</f>
        <v>7.1812045780179357E-3</v>
      </c>
      <c r="Q109" s="54" t="b">
        <f t="shared" si="10"/>
        <v>1</v>
      </c>
      <c r="R109" s="51">
        <f t="shared" si="11"/>
        <v>416</v>
      </c>
      <c r="S109" s="51">
        <f t="shared" si="12"/>
        <v>0</v>
      </c>
      <c r="T109" s="48">
        <f t="shared" si="13"/>
        <v>0</v>
      </c>
      <c r="U109" s="43">
        <v>16.73</v>
      </c>
      <c r="V109" s="30">
        <v>0.1</v>
      </c>
      <c r="W109" s="38">
        <v>14.7</v>
      </c>
      <c r="X109" s="38">
        <f t="shared" si="14"/>
        <v>236</v>
      </c>
      <c r="Y109" s="38">
        <f t="shared" si="14"/>
        <v>38</v>
      </c>
      <c r="Z109" s="38">
        <f t="shared" si="14"/>
        <v>109</v>
      </c>
      <c r="AA109" s="38">
        <f t="shared" si="9"/>
        <v>33</v>
      </c>
      <c r="AB109" s="38">
        <f>FORESTS2[[#This Row],[Column7]]+FORESTS2[[#This Row],[Column8]]</f>
        <v>142</v>
      </c>
      <c r="AC109" s="63">
        <f t="shared" si="15"/>
        <v>23.6</v>
      </c>
      <c r="AD109" s="63">
        <f t="shared" si="15"/>
        <v>3.8</v>
      </c>
      <c r="AE109" s="63">
        <f t="shared" si="16"/>
        <v>21.8</v>
      </c>
      <c r="AF109" s="63">
        <f t="shared" si="16"/>
        <v>6.6</v>
      </c>
      <c r="AG109" s="28">
        <v>1</v>
      </c>
    </row>
    <row r="110" spans="1:46" hidden="1" x14ac:dyDescent="0.2">
      <c r="A110" s="28">
        <v>674</v>
      </c>
      <c r="B110" s="28" t="s">
        <v>237</v>
      </c>
      <c r="C110" s="30">
        <v>1</v>
      </c>
      <c r="D110" s="30">
        <v>1</v>
      </c>
      <c r="E110" s="30">
        <v>1</v>
      </c>
      <c r="F110" s="30">
        <v>1</v>
      </c>
      <c r="G110" s="30">
        <v>1</v>
      </c>
      <c r="H110" s="30">
        <v>6</v>
      </c>
      <c r="I110" s="54">
        <f t="shared" si="17"/>
        <v>0.16666666666666666</v>
      </c>
      <c r="J110" s="54">
        <f t="shared" si="17"/>
        <v>0.16666666666666666</v>
      </c>
      <c r="K110" s="54">
        <f t="shared" si="17"/>
        <v>0.16666666666666666</v>
      </c>
      <c r="L110" s="54">
        <f t="shared" si="17"/>
        <v>0.16666666666666666</v>
      </c>
      <c r="M110" s="54">
        <f t="shared" si="17"/>
        <v>0.16666666666666666</v>
      </c>
      <c r="N110" s="51">
        <f>FORESTS2[[#This Row],[Area_2020]]-FORESTS2[[#This Row],[Area_1990]]</f>
        <v>0</v>
      </c>
      <c r="O110" s="51">
        <f>ABS(FORESTS2[[#This Row],[Area_Delta]])</f>
        <v>0</v>
      </c>
      <c r="P110" s="54">
        <f>FORESTS2[[#This Row],[Area_2020_%]]-FORESTS2[[#This Row],[Area_1990_%]]</f>
        <v>0</v>
      </c>
      <c r="Q110" s="54" t="b">
        <f t="shared" si="10"/>
        <v>0</v>
      </c>
      <c r="R110" s="51">
        <f t="shared" si="11"/>
        <v>0</v>
      </c>
      <c r="S110" s="51">
        <f t="shared" si="12"/>
        <v>0</v>
      </c>
      <c r="T110" s="48">
        <f t="shared" si="13"/>
        <v>0</v>
      </c>
      <c r="U110" s="48">
        <v>16.670000000000002</v>
      </c>
      <c r="V110" s="30">
        <v>0</v>
      </c>
      <c r="W110" s="30" t="s">
        <v>247</v>
      </c>
      <c r="X110" s="38">
        <f t="shared" si="14"/>
        <v>0</v>
      </c>
      <c r="Y110" s="38">
        <f t="shared" si="14"/>
        <v>0</v>
      </c>
      <c r="Z110" s="38">
        <f t="shared" si="14"/>
        <v>0</v>
      </c>
      <c r="AA110" s="38">
        <f t="shared" si="9"/>
        <v>0</v>
      </c>
      <c r="AB110" s="38">
        <f>FORESTS2[[#This Row],[Column7]]+FORESTS2[[#This Row],[Column8]]</f>
        <v>0</v>
      </c>
      <c r="AC110" s="63">
        <f t="shared" si="15"/>
        <v>0</v>
      </c>
      <c r="AD110" s="63">
        <f t="shared" si="15"/>
        <v>0</v>
      </c>
      <c r="AE110" s="63">
        <f t="shared" si="16"/>
        <v>0</v>
      </c>
      <c r="AF110" s="63">
        <f t="shared" si="16"/>
        <v>0</v>
      </c>
      <c r="AG110" s="28">
        <v>1</v>
      </c>
    </row>
    <row r="111" spans="1:46" hidden="1" x14ac:dyDescent="0.2">
      <c r="A111" s="28">
        <v>231</v>
      </c>
      <c r="B111" s="28" t="s">
        <v>54</v>
      </c>
      <c r="C111" s="46">
        <v>19258.5</v>
      </c>
      <c r="D111" s="46">
        <v>18528.5</v>
      </c>
      <c r="E111" s="46">
        <v>17798.5</v>
      </c>
      <c r="F111" s="46">
        <v>17433.5</v>
      </c>
      <c r="G111" s="46">
        <v>17068.5</v>
      </c>
      <c r="H111" s="46">
        <v>111971.55</v>
      </c>
      <c r="I111" s="54">
        <f t="shared" si="17"/>
        <v>0.17199458255244301</v>
      </c>
      <c r="J111" s="54">
        <f t="shared" si="17"/>
        <v>0.16547506933680922</v>
      </c>
      <c r="K111" s="54">
        <f t="shared" si="17"/>
        <v>0.15895555612117543</v>
      </c>
      <c r="L111" s="54">
        <f t="shared" si="17"/>
        <v>0.15569579951335852</v>
      </c>
      <c r="M111" s="54">
        <f t="shared" si="17"/>
        <v>0.15243604290554164</v>
      </c>
      <c r="N111" s="51">
        <f>FORESTS2[[#This Row],[Area_2020]]-FORESTS2[[#This Row],[Area_1990]]</f>
        <v>-2190</v>
      </c>
      <c r="O111" s="51">
        <f>ABS(FORESTS2[[#This Row],[Area_Delta]])</f>
        <v>2190</v>
      </c>
      <c r="P111" s="54">
        <f>FORESTS2[[#This Row],[Area_2020_%]]-FORESTS2[[#This Row],[Area_1990_%]]</f>
        <v>-1.9558539646901379E-2</v>
      </c>
      <c r="Q111" s="54" t="b">
        <f t="shared" si="10"/>
        <v>0</v>
      </c>
      <c r="R111" s="51">
        <f t="shared" si="11"/>
        <v>0</v>
      </c>
      <c r="S111" s="51">
        <f t="shared" si="12"/>
        <v>2190</v>
      </c>
      <c r="T111" s="62">
        <f t="shared" si="13"/>
        <v>4</v>
      </c>
      <c r="U111" s="43">
        <v>15.24</v>
      </c>
      <c r="V111" s="30">
        <v>92</v>
      </c>
      <c r="W111" s="38" t="s">
        <v>247</v>
      </c>
      <c r="X111" s="38">
        <f t="shared" si="14"/>
        <v>-730</v>
      </c>
      <c r="Y111" s="38">
        <f t="shared" si="14"/>
        <v>-730</v>
      </c>
      <c r="Z111" s="38">
        <f t="shared" si="14"/>
        <v>-365</v>
      </c>
      <c r="AA111" s="38">
        <f t="shared" si="9"/>
        <v>-365</v>
      </c>
      <c r="AB111" s="38">
        <f>FORESTS2[[#This Row],[Column7]]+FORESTS2[[#This Row],[Column8]]</f>
        <v>-730</v>
      </c>
      <c r="AC111" s="63">
        <f t="shared" si="15"/>
        <v>-73</v>
      </c>
      <c r="AD111" s="63">
        <f t="shared" si="15"/>
        <v>-73</v>
      </c>
      <c r="AE111" s="63">
        <f t="shared" si="16"/>
        <v>-73</v>
      </c>
      <c r="AF111" s="63">
        <f t="shared" si="16"/>
        <v>-73</v>
      </c>
      <c r="AG111" s="28">
        <v>1</v>
      </c>
    </row>
    <row r="112" spans="1:46" hidden="1" x14ac:dyDescent="0.2">
      <c r="A112" s="28">
        <v>208</v>
      </c>
      <c r="B112" s="28" t="s">
        <v>43</v>
      </c>
      <c r="C112" s="30">
        <v>531.44000000000005</v>
      </c>
      <c r="D112" s="30">
        <v>571.6</v>
      </c>
      <c r="E112" s="30">
        <v>586.49</v>
      </c>
      <c r="F112" s="30">
        <v>624.67999999999995</v>
      </c>
      <c r="G112" s="30">
        <v>628.44000000000005</v>
      </c>
      <c r="H112" s="30">
        <v>4199</v>
      </c>
      <c r="I112" s="54">
        <f t="shared" si="17"/>
        <v>0.12656346749226008</v>
      </c>
      <c r="J112" s="54">
        <f t="shared" si="17"/>
        <v>0.13612764944034295</v>
      </c>
      <c r="K112" s="54">
        <f t="shared" si="17"/>
        <v>0.1396737318409145</v>
      </c>
      <c r="L112" s="54">
        <f t="shared" si="17"/>
        <v>0.14876875446534887</v>
      </c>
      <c r="M112" s="54">
        <f t="shared" si="17"/>
        <v>0.14966420576327699</v>
      </c>
      <c r="N112" s="51">
        <f>FORESTS2[[#This Row],[Area_2020]]-FORESTS2[[#This Row],[Area_1990]]</f>
        <v>97</v>
      </c>
      <c r="O112" s="51">
        <f>ABS(FORESTS2[[#This Row],[Area_Delta]])</f>
        <v>97</v>
      </c>
      <c r="P112" s="54">
        <f>FORESTS2[[#This Row],[Area_2020_%]]-FORESTS2[[#This Row],[Area_1990_%]]</f>
        <v>2.3100738271016913E-2</v>
      </c>
      <c r="Q112" s="54" t="b">
        <f t="shared" si="10"/>
        <v>1</v>
      </c>
      <c r="R112" s="51">
        <f t="shared" si="11"/>
        <v>97</v>
      </c>
      <c r="S112" s="51">
        <f t="shared" si="12"/>
        <v>0</v>
      </c>
      <c r="T112" s="48">
        <f t="shared" si="13"/>
        <v>0</v>
      </c>
      <c r="U112" s="48">
        <v>14.97</v>
      </c>
      <c r="V112" s="30">
        <v>0.62</v>
      </c>
      <c r="W112" s="30">
        <v>0</v>
      </c>
      <c r="X112" s="38">
        <f t="shared" si="14"/>
        <v>40.159999999999968</v>
      </c>
      <c r="Y112" s="38">
        <f t="shared" si="14"/>
        <v>14.889999999999986</v>
      </c>
      <c r="Z112" s="38">
        <f t="shared" si="14"/>
        <v>38.189999999999941</v>
      </c>
      <c r="AA112" s="38">
        <f t="shared" si="9"/>
        <v>3.7600000000001046</v>
      </c>
      <c r="AB112" s="38">
        <f>FORESTS2[[#This Row],[Column7]]+FORESTS2[[#This Row],[Column8]]</f>
        <v>41.950000000000045</v>
      </c>
      <c r="AC112" s="63">
        <f t="shared" si="15"/>
        <v>4.0159999999999965</v>
      </c>
      <c r="AD112" s="63">
        <f t="shared" si="15"/>
        <v>1.4889999999999985</v>
      </c>
      <c r="AE112" s="63">
        <f t="shared" si="16"/>
        <v>7.6379999999999884</v>
      </c>
      <c r="AF112" s="63">
        <f t="shared" si="16"/>
        <v>0.75200000000002087</v>
      </c>
    </row>
    <row r="113" spans="1:33" hidden="1" x14ac:dyDescent="0.2">
      <c r="A113" s="28">
        <v>52</v>
      </c>
      <c r="B113" s="28" t="s">
        <v>12</v>
      </c>
      <c r="C113" s="30">
        <v>6.3</v>
      </c>
      <c r="D113" s="30">
        <v>6.3</v>
      </c>
      <c r="E113" s="30">
        <v>6.3</v>
      </c>
      <c r="F113" s="30">
        <v>6.3</v>
      </c>
      <c r="G113" s="30">
        <v>6.3</v>
      </c>
      <c r="H113" s="30">
        <v>43</v>
      </c>
      <c r="I113" s="54">
        <f t="shared" si="17"/>
        <v>0.14651162790697675</v>
      </c>
      <c r="J113" s="54">
        <f t="shared" si="17"/>
        <v>0.14651162790697675</v>
      </c>
      <c r="K113" s="54">
        <f t="shared" si="17"/>
        <v>0.14651162790697675</v>
      </c>
      <c r="L113" s="54">
        <f t="shared" si="17"/>
        <v>0.14651162790697675</v>
      </c>
      <c r="M113" s="54">
        <f t="shared" si="17"/>
        <v>0.14651162790697675</v>
      </c>
      <c r="N113" s="51">
        <f>FORESTS2[[#This Row],[Area_2020]]-FORESTS2[[#This Row],[Area_1990]]</f>
        <v>0</v>
      </c>
      <c r="O113" s="51">
        <f>ABS(FORESTS2[[#This Row],[Area_Delta]])</f>
        <v>0</v>
      </c>
      <c r="P113" s="54">
        <f>FORESTS2[[#This Row],[Area_2020_%]]-FORESTS2[[#This Row],[Area_1990_%]]</f>
        <v>0</v>
      </c>
      <c r="Q113" s="54" t="b">
        <f t="shared" si="10"/>
        <v>0</v>
      </c>
      <c r="R113" s="51">
        <f t="shared" si="11"/>
        <v>0</v>
      </c>
      <c r="S113" s="51">
        <f t="shared" si="12"/>
        <v>0</v>
      </c>
      <c r="T113" s="48">
        <f t="shared" si="13"/>
        <v>0</v>
      </c>
      <c r="U113" s="48">
        <v>14.65</v>
      </c>
      <c r="V113" s="30" t="s">
        <v>247</v>
      </c>
      <c r="W113" s="30" t="s">
        <v>247</v>
      </c>
      <c r="X113" s="38">
        <f t="shared" si="14"/>
        <v>0</v>
      </c>
      <c r="Y113" s="38">
        <f t="shared" si="14"/>
        <v>0</v>
      </c>
      <c r="Z113" s="38">
        <f t="shared" si="14"/>
        <v>0</v>
      </c>
      <c r="AA113" s="38">
        <f t="shared" si="9"/>
        <v>0</v>
      </c>
      <c r="AB113" s="38">
        <f>FORESTS2[[#This Row],[Column7]]+FORESTS2[[#This Row],[Column8]]</f>
        <v>0</v>
      </c>
      <c r="AC113" s="63">
        <f t="shared" si="15"/>
        <v>0</v>
      </c>
      <c r="AD113" s="63">
        <f t="shared" si="15"/>
        <v>0</v>
      </c>
      <c r="AE113" s="63">
        <f t="shared" si="16"/>
        <v>0</v>
      </c>
      <c r="AF113" s="63">
        <f t="shared" si="16"/>
        <v>0</v>
      </c>
      <c r="AG113" s="28">
        <v>1</v>
      </c>
    </row>
    <row r="114" spans="1:33" hidden="1" x14ac:dyDescent="0.2">
      <c r="A114" s="28">
        <v>50</v>
      </c>
      <c r="B114" s="28" t="s">
        <v>11</v>
      </c>
      <c r="C114" s="38">
        <v>1920.33</v>
      </c>
      <c r="D114" s="38">
        <v>1920.33</v>
      </c>
      <c r="E114" s="38">
        <v>1888.34</v>
      </c>
      <c r="F114" s="38">
        <v>1883.4</v>
      </c>
      <c r="G114" s="38">
        <v>1883.4</v>
      </c>
      <c r="H114" s="38">
        <v>13017</v>
      </c>
      <c r="I114" s="54">
        <f t="shared" si="17"/>
        <v>0.1475247752938465</v>
      </c>
      <c r="J114" s="54">
        <f t="shared" si="17"/>
        <v>0.1475247752938465</v>
      </c>
      <c r="K114" s="54">
        <f t="shared" si="17"/>
        <v>0.14506721978950601</v>
      </c>
      <c r="L114" s="54">
        <f t="shared" si="17"/>
        <v>0.14468771606360914</v>
      </c>
      <c r="M114" s="54">
        <f t="shared" si="17"/>
        <v>0.14468771606360914</v>
      </c>
      <c r="N114" s="51">
        <f>FORESTS2[[#This Row],[Area_2020]]-FORESTS2[[#This Row],[Area_1990]]</f>
        <v>-36.929999999999836</v>
      </c>
      <c r="O114" s="51">
        <f>ABS(FORESTS2[[#This Row],[Area_Delta]])</f>
        <v>36.929999999999836</v>
      </c>
      <c r="P114" s="54">
        <f>FORESTS2[[#This Row],[Area_2020_%]]-FORESTS2[[#This Row],[Area_1990_%]]</f>
        <v>-2.8370592302373598E-3</v>
      </c>
      <c r="Q114" s="54" t="b">
        <f t="shared" si="10"/>
        <v>0</v>
      </c>
      <c r="R114" s="51">
        <f t="shared" si="11"/>
        <v>0</v>
      </c>
      <c r="S114" s="51">
        <f t="shared" si="12"/>
        <v>36.929999999999836</v>
      </c>
      <c r="T114" s="48">
        <f t="shared" si="13"/>
        <v>2</v>
      </c>
      <c r="U114" s="43">
        <v>14.47</v>
      </c>
      <c r="V114" s="30">
        <v>0</v>
      </c>
      <c r="W114" s="38" t="s">
        <v>247</v>
      </c>
      <c r="X114" s="38">
        <f t="shared" si="14"/>
        <v>0</v>
      </c>
      <c r="Y114" s="38">
        <f t="shared" si="14"/>
        <v>-31.990000000000009</v>
      </c>
      <c r="Z114" s="38">
        <f t="shared" si="14"/>
        <v>-4.9399999999998272</v>
      </c>
      <c r="AA114" s="38">
        <f t="shared" si="9"/>
        <v>0</v>
      </c>
      <c r="AB114" s="38">
        <f>FORESTS2[[#This Row],[Column7]]+FORESTS2[[#This Row],[Column8]]</f>
        <v>-4.9399999999998272</v>
      </c>
      <c r="AC114" s="63">
        <f t="shared" si="15"/>
        <v>0</v>
      </c>
      <c r="AD114" s="63">
        <f t="shared" si="15"/>
        <v>-3.1990000000000007</v>
      </c>
      <c r="AE114" s="63">
        <f t="shared" si="16"/>
        <v>-0.98799999999996546</v>
      </c>
      <c r="AF114" s="63">
        <f t="shared" si="16"/>
        <v>0</v>
      </c>
      <c r="AG114" s="28">
        <v>1</v>
      </c>
    </row>
    <row r="115" spans="1:33" hidden="1" x14ac:dyDescent="0.2">
      <c r="A115" s="28">
        <v>710</v>
      </c>
      <c r="B115" s="28" t="s">
        <v>153</v>
      </c>
      <c r="C115" s="46">
        <v>18142.09</v>
      </c>
      <c r="D115" s="46">
        <v>17778.09</v>
      </c>
      <c r="E115" s="46">
        <v>17414.09</v>
      </c>
      <c r="F115" s="46">
        <v>17232.09</v>
      </c>
      <c r="G115" s="46">
        <v>17050.09</v>
      </c>
      <c r="H115" s="46">
        <v>121309</v>
      </c>
      <c r="I115" s="54">
        <f t="shared" si="17"/>
        <v>0.14955271249453875</v>
      </c>
      <c r="J115" s="54">
        <f t="shared" si="17"/>
        <v>0.14655211072550264</v>
      </c>
      <c r="K115" s="54">
        <f t="shared" si="17"/>
        <v>0.14355150895646654</v>
      </c>
      <c r="L115" s="54">
        <f t="shared" si="17"/>
        <v>0.14205120807194849</v>
      </c>
      <c r="M115" s="54">
        <f t="shared" si="17"/>
        <v>0.14055090718743043</v>
      </c>
      <c r="N115" s="51">
        <f>FORESTS2[[#This Row],[Area_2020]]-FORESTS2[[#This Row],[Area_1990]]</f>
        <v>-1092</v>
      </c>
      <c r="O115" s="51">
        <f>ABS(FORESTS2[[#This Row],[Area_Delta]])</f>
        <v>1092</v>
      </c>
      <c r="P115" s="54">
        <f>FORESTS2[[#This Row],[Area_2020_%]]-FORESTS2[[#This Row],[Area_1990_%]]</f>
        <v>-9.0018053071083126E-3</v>
      </c>
      <c r="Q115" s="54" t="b">
        <f t="shared" si="10"/>
        <v>0</v>
      </c>
      <c r="R115" s="51">
        <f t="shared" si="11"/>
        <v>0</v>
      </c>
      <c r="S115" s="51">
        <f t="shared" si="12"/>
        <v>1092</v>
      </c>
      <c r="T115" s="62">
        <f t="shared" si="13"/>
        <v>4</v>
      </c>
      <c r="U115" s="43">
        <v>14.06</v>
      </c>
      <c r="V115" s="30">
        <v>199</v>
      </c>
      <c r="W115" s="38">
        <v>11.96</v>
      </c>
      <c r="X115" s="38">
        <f t="shared" si="14"/>
        <v>-364</v>
      </c>
      <c r="Y115" s="38">
        <f t="shared" si="14"/>
        <v>-364</v>
      </c>
      <c r="Z115" s="38">
        <f t="shared" si="14"/>
        <v>-182</v>
      </c>
      <c r="AA115" s="38">
        <f t="shared" si="9"/>
        <v>-182</v>
      </c>
      <c r="AB115" s="38">
        <f>FORESTS2[[#This Row],[Column7]]+FORESTS2[[#This Row],[Column8]]</f>
        <v>-364</v>
      </c>
      <c r="AC115" s="63">
        <f t="shared" si="15"/>
        <v>-36.4</v>
      </c>
      <c r="AD115" s="63">
        <f t="shared" si="15"/>
        <v>-36.4</v>
      </c>
      <c r="AE115" s="63">
        <f t="shared" si="16"/>
        <v>-36.4</v>
      </c>
      <c r="AF115" s="63">
        <f t="shared" si="16"/>
        <v>-36.4</v>
      </c>
    </row>
    <row r="116" spans="1:33" hidden="1" x14ac:dyDescent="0.2">
      <c r="A116" s="28">
        <v>422</v>
      </c>
      <c r="B116" s="28" t="s">
        <v>90</v>
      </c>
      <c r="C116" s="30">
        <v>139.69999999999999</v>
      </c>
      <c r="D116" s="30">
        <v>138.18</v>
      </c>
      <c r="E116" s="30">
        <v>137.35</v>
      </c>
      <c r="F116" s="30">
        <v>140.33000000000001</v>
      </c>
      <c r="G116" s="30">
        <v>143.33000000000001</v>
      </c>
      <c r="H116" s="30">
        <v>1023</v>
      </c>
      <c r="I116" s="54">
        <f t="shared" si="17"/>
        <v>0.13655913978494622</v>
      </c>
      <c r="J116" s="54">
        <f t="shared" si="17"/>
        <v>0.1350733137829912</v>
      </c>
      <c r="K116" s="54">
        <f t="shared" si="17"/>
        <v>0.13426197458455522</v>
      </c>
      <c r="L116" s="54">
        <f t="shared" si="17"/>
        <v>0.13717497556207234</v>
      </c>
      <c r="M116" s="54">
        <f t="shared" si="17"/>
        <v>0.14010752688172043</v>
      </c>
      <c r="N116" s="51">
        <f>FORESTS2[[#This Row],[Area_2020]]-FORESTS2[[#This Row],[Area_1990]]</f>
        <v>3.6300000000000239</v>
      </c>
      <c r="O116" s="51">
        <f>ABS(FORESTS2[[#This Row],[Area_Delta]])</f>
        <v>3.6300000000000239</v>
      </c>
      <c r="P116" s="54">
        <f>FORESTS2[[#This Row],[Area_2020_%]]-FORESTS2[[#This Row],[Area_1990_%]]</f>
        <v>3.5483870967742137E-3</v>
      </c>
      <c r="Q116" s="54" t="b">
        <f t="shared" si="10"/>
        <v>1</v>
      </c>
      <c r="R116" s="51">
        <f t="shared" si="11"/>
        <v>3.6300000000000239</v>
      </c>
      <c r="S116" s="51">
        <f t="shared" si="12"/>
        <v>0</v>
      </c>
      <c r="T116" s="48">
        <f t="shared" si="13"/>
        <v>2</v>
      </c>
      <c r="U116" s="48">
        <v>14.01</v>
      </c>
      <c r="V116" s="30" t="s">
        <v>247</v>
      </c>
      <c r="W116" s="30">
        <v>0.06</v>
      </c>
      <c r="X116" s="38">
        <f t="shared" si="14"/>
        <v>-1.5199999999999818</v>
      </c>
      <c r="Y116" s="38">
        <f t="shared" si="14"/>
        <v>-0.83000000000001251</v>
      </c>
      <c r="Z116" s="38">
        <f t="shared" si="14"/>
        <v>2.9800000000000182</v>
      </c>
      <c r="AA116" s="38">
        <f t="shared" si="9"/>
        <v>3</v>
      </c>
      <c r="AB116" s="38">
        <f>FORESTS2[[#This Row],[Column7]]+FORESTS2[[#This Row],[Column8]]</f>
        <v>5.9800000000000182</v>
      </c>
      <c r="AC116" s="63">
        <f t="shared" si="15"/>
        <v>-0.15199999999999819</v>
      </c>
      <c r="AD116" s="63">
        <f t="shared" si="15"/>
        <v>-8.3000000000001253E-2</v>
      </c>
      <c r="AE116" s="63">
        <f t="shared" si="16"/>
        <v>0.59600000000000364</v>
      </c>
      <c r="AF116" s="63">
        <f t="shared" si="16"/>
        <v>0.6</v>
      </c>
      <c r="AG116" s="28">
        <v>1</v>
      </c>
    </row>
    <row r="117" spans="1:33" hidden="1" x14ac:dyDescent="0.2">
      <c r="A117" s="28">
        <v>31</v>
      </c>
      <c r="B117" s="28" t="s">
        <v>9</v>
      </c>
      <c r="C117" s="38">
        <v>944.74</v>
      </c>
      <c r="D117" s="38">
        <v>987.22</v>
      </c>
      <c r="E117" s="38">
        <v>1032.49</v>
      </c>
      <c r="F117" s="38">
        <v>1077.8900000000001</v>
      </c>
      <c r="G117" s="38">
        <v>1131.77</v>
      </c>
      <c r="H117" s="38">
        <v>8266</v>
      </c>
      <c r="I117" s="54">
        <f t="shared" si="17"/>
        <v>0.11429228163561578</v>
      </c>
      <c r="J117" s="54">
        <f t="shared" si="17"/>
        <v>0.11943140575852891</v>
      </c>
      <c r="K117" s="54">
        <f t="shared" si="17"/>
        <v>0.12490805710137914</v>
      </c>
      <c r="L117" s="54">
        <f t="shared" si="17"/>
        <v>0.13040043551899347</v>
      </c>
      <c r="M117" s="54">
        <f t="shared" si="17"/>
        <v>0.13691870312121945</v>
      </c>
      <c r="N117" s="51">
        <f>FORESTS2[[#This Row],[Area_2020]]-FORESTS2[[#This Row],[Area_1990]]</f>
        <v>187.02999999999997</v>
      </c>
      <c r="O117" s="51">
        <f>ABS(FORESTS2[[#This Row],[Area_Delta]])</f>
        <v>187.02999999999997</v>
      </c>
      <c r="P117" s="54">
        <f>FORESTS2[[#This Row],[Area_2020_%]]-FORESTS2[[#This Row],[Area_1990_%]]</f>
        <v>2.2626421485603676E-2</v>
      </c>
      <c r="Q117" s="54" t="b">
        <f t="shared" si="10"/>
        <v>1</v>
      </c>
      <c r="R117" s="51">
        <f t="shared" si="11"/>
        <v>187.02999999999997</v>
      </c>
      <c r="S117" s="51">
        <f t="shared" si="12"/>
        <v>0</v>
      </c>
      <c r="T117" s="48">
        <f t="shared" si="13"/>
        <v>0</v>
      </c>
      <c r="U117" s="43">
        <v>13.69</v>
      </c>
      <c r="V117" s="30">
        <v>86.36</v>
      </c>
      <c r="W117" s="38" t="s">
        <v>247</v>
      </c>
      <c r="X117" s="38">
        <f t="shared" si="14"/>
        <v>42.480000000000018</v>
      </c>
      <c r="Y117" s="38">
        <f t="shared" si="14"/>
        <v>45.269999999999982</v>
      </c>
      <c r="Z117" s="38">
        <f t="shared" si="14"/>
        <v>45.400000000000091</v>
      </c>
      <c r="AA117" s="38">
        <f t="shared" si="9"/>
        <v>53.879999999999882</v>
      </c>
      <c r="AB117" s="38">
        <f>FORESTS2[[#This Row],[Column7]]+FORESTS2[[#This Row],[Column8]]</f>
        <v>99.279999999999973</v>
      </c>
      <c r="AC117" s="63">
        <f t="shared" si="15"/>
        <v>4.248000000000002</v>
      </c>
      <c r="AD117" s="63">
        <f t="shared" si="15"/>
        <v>4.5269999999999984</v>
      </c>
      <c r="AE117" s="63">
        <f t="shared" si="16"/>
        <v>9.0800000000000178</v>
      </c>
      <c r="AF117" s="63">
        <f t="shared" si="16"/>
        <v>10.775999999999977</v>
      </c>
    </row>
    <row r="118" spans="1:33" hidden="1" x14ac:dyDescent="0.2">
      <c r="A118" s="28">
        <v>826</v>
      </c>
      <c r="B118" s="28" t="s">
        <v>174</v>
      </c>
      <c r="C118" s="38">
        <v>2778</v>
      </c>
      <c r="D118" s="38">
        <v>2954</v>
      </c>
      <c r="E118" s="38">
        <v>3059</v>
      </c>
      <c r="F118" s="38">
        <v>3155</v>
      </c>
      <c r="G118" s="38">
        <v>3190</v>
      </c>
      <c r="H118" s="38">
        <v>24193</v>
      </c>
      <c r="I118" s="54">
        <f t="shared" si="17"/>
        <v>0.11482660273632869</v>
      </c>
      <c r="J118" s="54">
        <f t="shared" si="17"/>
        <v>0.12210143429917744</v>
      </c>
      <c r="K118" s="54">
        <f t="shared" si="17"/>
        <v>0.12644153267474062</v>
      </c>
      <c r="L118" s="54">
        <f t="shared" si="17"/>
        <v>0.13040962261811267</v>
      </c>
      <c r="M118" s="54">
        <f t="shared" si="17"/>
        <v>0.13185632207663373</v>
      </c>
      <c r="N118" s="51">
        <f>FORESTS2[[#This Row],[Area_2020]]-FORESTS2[[#This Row],[Area_1990]]</f>
        <v>412</v>
      </c>
      <c r="O118" s="51">
        <f>ABS(FORESTS2[[#This Row],[Area_Delta]])</f>
        <v>412</v>
      </c>
      <c r="P118" s="54">
        <f>FORESTS2[[#This Row],[Area_2020_%]]-FORESTS2[[#This Row],[Area_1990_%]]</f>
        <v>1.7029719340305033E-2</v>
      </c>
      <c r="Q118" s="54" t="b">
        <f t="shared" si="10"/>
        <v>1</v>
      </c>
      <c r="R118" s="51">
        <f t="shared" si="11"/>
        <v>412</v>
      </c>
      <c r="S118" s="51">
        <f t="shared" si="12"/>
        <v>0</v>
      </c>
      <c r="T118" s="48">
        <f t="shared" si="13"/>
        <v>0</v>
      </c>
      <c r="U118" s="43">
        <v>13.19</v>
      </c>
      <c r="V118" s="30" t="s">
        <v>247</v>
      </c>
      <c r="W118" s="38">
        <v>1</v>
      </c>
      <c r="X118" s="38">
        <f t="shared" si="14"/>
        <v>176</v>
      </c>
      <c r="Y118" s="38">
        <f t="shared" si="14"/>
        <v>105</v>
      </c>
      <c r="Z118" s="38">
        <f t="shared" si="14"/>
        <v>96</v>
      </c>
      <c r="AA118" s="38">
        <f t="shared" si="9"/>
        <v>35</v>
      </c>
      <c r="AB118" s="38">
        <f>FORESTS2[[#This Row],[Column7]]+FORESTS2[[#This Row],[Column8]]</f>
        <v>131</v>
      </c>
      <c r="AC118" s="63">
        <f t="shared" si="15"/>
        <v>17.600000000000001</v>
      </c>
      <c r="AD118" s="63">
        <f t="shared" si="15"/>
        <v>10.5</v>
      </c>
      <c r="AE118" s="63">
        <f t="shared" si="16"/>
        <v>19.2</v>
      </c>
      <c r="AF118" s="63">
        <f t="shared" si="16"/>
        <v>7</v>
      </c>
      <c r="AG118" s="28">
        <v>1</v>
      </c>
    </row>
    <row r="119" spans="1:33" hidden="1" x14ac:dyDescent="0.2">
      <c r="A119" s="28">
        <v>504</v>
      </c>
      <c r="B119" s="28" t="s">
        <v>111</v>
      </c>
      <c r="C119" s="38">
        <v>5485.29</v>
      </c>
      <c r="D119" s="38">
        <v>5506.54</v>
      </c>
      <c r="E119" s="38">
        <v>5674.57</v>
      </c>
      <c r="F119" s="38">
        <v>5684.69</v>
      </c>
      <c r="G119" s="38">
        <v>5742.49</v>
      </c>
      <c r="H119" s="38">
        <v>44630</v>
      </c>
      <c r="I119" s="54">
        <f t="shared" si="17"/>
        <v>0.12290589289715438</v>
      </c>
      <c r="J119" s="54">
        <f t="shared" si="17"/>
        <v>0.12338203002464709</v>
      </c>
      <c r="K119" s="54">
        <f t="shared" si="17"/>
        <v>0.12714698633206362</v>
      </c>
      <c r="L119" s="54">
        <f t="shared" si="17"/>
        <v>0.12737373963701545</v>
      </c>
      <c r="M119" s="54">
        <f t="shared" si="17"/>
        <v>0.12866883262379564</v>
      </c>
      <c r="N119" s="51">
        <f>FORESTS2[[#This Row],[Area_2020]]-FORESTS2[[#This Row],[Area_1990]]</f>
        <v>257.19999999999982</v>
      </c>
      <c r="O119" s="51">
        <f>ABS(FORESTS2[[#This Row],[Area_Delta]])</f>
        <v>257.19999999999982</v>
      </c>
      <c r="P119" s="54">
        <f>FORESTS2[[#This Row],[Area_2020_%]]-FORESTS2[[#This Row],[Area_1990_%]]</f>
        <v>5.7629397266412558E-3</v>
      </c>
      <c r="Q119" s="54" t="b">
        <f t="shared" si="10"/>
        <v>1</v>
      </c>
      <c r="R119" s="51">
        <f t="shared" si="11"/>
        <v>257.19999999999982</v>
      </c>
      <c r="S119" s="51">
        <f t="shared" si="12"/>
        <v>0</v>
      </c>
      <c r="T119" s="48">
        <f t="shared" si="13"/>
        <v>0</v>
      </c>
      <c r="U119" s="43">
        <v>12.87</v>
      </c>
      <c r="V119" s="30">
        <v>0</v>
      </c>
      <c r="W119" s="38">
        <v>0.99</v>
      </c>
      <c r="X119" s="38">
        <f t="shared" si="14"/>
        <v>21.25</v>
      </c>
      <c r="Y119" s="38">
        <f t="shared" si="14"/>
        <v>168.02999999999975</v>
      </c>
      <c r="Z119" s="38">
        <f t="shared" si="14"/>
        <v>10.119999999999891</v>
      </c>
      <c r="AA119" s="38">
        <f t="shared" si="9"/>
        <v>57.800000000000182</v>
      </c>
      <c r="AB119" s="38">
        <f>FORESTS2[[#This Row],[Column7]]+FORESTS2[[#This Row],[Column8]]</f>
        <v>67.920000000000073</v>
      </c>
      <c r="AC119" s="63">
        <f t="shared" si="15"/>
        <v>2.125</v>
      </c>
      <c r="AD119" s="63">
        <f t="shared" si="15"/>
        <v>16.802999999999976</v>
      </c>
      <c r="AE119" s="63">
        <f t="shared" si="16"/>
        <v>2.0239999999999783</v>
      </c>
      <c r="AF119" s="63">
        <f t="shared" si="16"/>
        <v>11.560000000000036</v>
      </c>
      <c r="AG119" s="28">
        <v>1</v>
      </c>
    </row>
    <row r="120" spans="1:33" hidden="1" x14ac:dyDescent="0.2">
      <c r="A120" s="28">
        <v>332</v>
      </c>
      <c r="B120" s="28" t="s">
        <v>71</v>
      </c>
      <c r="C120" s="46">
        <v>382.92</v>
      </c>
      <c r="D120" s="46">
        <v>380.65</v>
      </c>
      <c r="E120" s="46">
        <v>378.38</v>
      </c>
      <c r="F120" s="46">
        <v>362.85</v>
      </c>
      <c r="G120" s="46">
        <v>347.3</v>
      </c>
      <c r="H120" s="46">
        <v>2756</v>
      </c>
      <c r="I120" s="54">
        <f t="shared" si="17"/>
        <v>0.13894049346879536</v>
      </c>
      <c r="J120" s="54">
        <f t="shared" si="17"/>
        <v>0.13811683599419447</v>
      </c>
      <c r="K120" s="54">
        <f t="shared" si="17"/>
        <v>0.13729317851959361</v>
      </c>
      <c r="L120" s="54">
        <f t="shared" si="17"/>
        <v>0.13165820029027578</v>
      </c>
      <c r="M120" s="54">
        <f t="shared" si="17"/>
        <v>0.12601596516690858</v>
      </c>
      <c r="N120" s="51">
        <f>FORESTS2[[#This Row],[Area_2020]]-FORESTS2[[#This Row],[Area_1990]]</f>
        <v>-35.620000000000005</v>
      </c>
      <c r="O120" s="51">
        <f>ABS(FORESTS2[[#This Row],[Area_Delta]])</f>
        <v>35.620000000000005</v>
      </c>
      <c r="P120" s="54">
        <f>FORESTS2[[#This Row],[Area_2020_%]]-FORESTS2[[#This Row],[Area_1990_%]]</f>
        <v>-1.2924528301886784E-2</v>
      </c>
      <c r="Q120" s="54" t="b">
        <f t="shared" si="10"/>
        <v>0</v>
      </c>
      <c r="R120" s="51">
        <f t="shared" si="11"/>
        <v>0</v>
      </c>
      <c r="S120" s="51">
        <f t="shared" si="12"/>
        <v>35.620000000000005</v>
      </c>
      <c r="T120" s="48">
        <f t="shared" si="13"/>
        <v>4</v>
      </c>
      <c r="U120" s="48">
        <v>12.6</v>
      </c>
      <c r="V120" s="30" t="s">
        <v>247</v>
      </c>
      <c r="W120" s="30">
        <v>0.08</v>
      </c>
      <c r="X120" s="38">
        <f t="shared" si="14"/>
        <v>-2.2700000000000387</v>
      </c>
      <c r="Y120" s="38">
        <f t="shared" si="14"/>
        <v>-2.2699999999999818</v>
      </c>
      <c r="Z120" s="38">
        <f t="shared" si="14"/>
        <v>-15.529999999999973</v>
      </c>
      <c r="AA120" s="38">
        <f t="shared" si="9"/>
        <v>-15.550000000000011</v>
      </c>
      <c r="AB120" s="38">
        <f>FORESTS2[[#This Row],[Column7]]+FORESTS2[[#This Row],[Column8]]</f>
        <v>-31.079999999999984</v>
      </c>
      <c r="AC120" s="63">
        <f t="shared" si="15"/>
        <v>-0.22700000000000387</v>
      </c>
      <c r="AD120" s="63">
        <f t="shared" si="15"/>
        <v>-0.22699999999999818</v>
      </c>
      <c r="AE120" s="63">
        <f t="shared" si="16"/>
        <v>-3.1059999999999945</v>
      </c>
      <c r="AF120" s="63">
        <f t="shared" si="16"/>
        <v>-3.1100000000000021</v>
      </c>
    </row>
    <row r="121" spans="1:33" hidden="1" x14ac:dyDescent="0.2">
      <c r="A121" s="28">
        <v>776</v>
      </c>
      <c r="B121" s="28" t="s">
        <v>167</v>
      </c>
      <c r="C121" s="30">
        <v>8.9499999999999993</v>
      </c>
      <c r="D121" s="30">
        <v>8.9499999999999993</v>
      </c>
      <c r="E121" s="30">
        <v>8.9499999999999993</v>
      </c>
      <c r="F121" s="30">
        <v>8.9499999999999993</v>
      </c>
      <c r="G121" s="30">
        <v>8.9499999999999993</v>
      </c>
      <c r="H121" s="30">
        <v>72</v>
      </c>
      <c r="I121" s="54">
        <f t="shared" si="17"/>
        <v>0.12430555555555554</v>
      </c>
      <c r="J121" s="54">
        <f t="shared" si="17"/>
        <v>0.12430555555555554</v>
      </c>
      <c r="K121" s="54">
        <f t="shared" si="17"/>
        <v>0.12430555555555554</v>
      </c>
      <c r="L121" s="54">
        <f t="shared" si="17"/>
        <v>0.12430555555555554</v>
      </c>
      <c r="M121" s="54">
        <f t="shared" si="17"/>
        <v>0.12430555555555554</v>
      </c>
      <c r="N121" s="51">
        <f>FORESTS2[[#This Row],[Area_2020]]-FORESTS2[[#This Row],[Area_1990]]</f>
        <v>0</v>
      </c>
      <c r="O121" s="51">
        <f>ABS(FORESTS2[[#This Row],[Area_Delta]])</f>
        <v>0</v>
      </c>
      <c r="P121" s="54">
        <f>FORESTS2[[#This Row],[Area_2020_%]]-FORESTS2[[#This Row],[Area_1990_%]]</f>
        <v>0</v>
      </c>
      <c r="Q121" s="54" t="b">
        <f t="shared" si="10"/>
        <v>0</v>
      </c>
      <c r="R121" s="51">
        <f t="shared" si="11"/>
        <v>0</v>
      </c>
      <c r="S121" s="51">
        <f t="shared" si="12"/>
        <v>0</v>
      </c>
      <c r="T121" s="48">
        <f t="shared" si="13"/>
        <v>0</v>
      </c>
      <c r="U121" s="48">
        <v>12.43</v>
      </c>
      <c r="V121" s="30" t="s">
        <v>247</v>
      </c>
      <c r="W121" s="30">
        <v>0</v>
      </c>
      <c r="X121" s="38">
        <f t="shared" si="14"/>
        <v>0</v>
      </c>
      <c r="Y121" s="38">
        <f t="shared" si="14"/>
        <v>0</v>
      </c>
      <c r="Z121" s="38">
        <f t="shared" si="14"/>
        <v>0</v>
      </c>
      <c r="AA121" s="38">
        <f t="shared" si="9"/>
        <v>0</v>
      </c>
      <c r="AB121" s="38">
        <f>FORESTS2[[#This Row],[Column7]]+FORESTS2[[#This Row],[Column8]]</f>
        <v>0</v>
      </c>
      <c r="AC121" s="63">
        <f t="shared" si="15"/>
        <v>0</v>
      </c>
      <c r="AD121" s="63">
        <f t="shared" si="15"/>
        <v>0</v>
      </c>
      <c r="AE121" s="63">
        <f t="shared" si="16"/>
        <v>0</v>
      </c>
      <c r="AF121" s="63">
        <f t="shared" si="16"/>
        <v>0</v>
      </c>
      <c r="AG121" s="28">
        <v>1</v>
      </c>
    </row>
    <row r="122" spans="1:33" hidden="1" x14ac:dyDescent="0.2">
      <c r="A122" s="28">
        <v>574</v>
      </c>
      <c r="B122" s="28" t="s">
        <v>239</v>
      </c>
      <c r="C122" s="30">
        <v>0.49</v>
      </c>
      <c r="D122" s="30">
        <v>0.49</v>
      </c>
      <c r="E122" s="30">
        <v>0.49</v>
      </c>
      <c r="F122" s="30">
        <v>0.49</v>
      </c>
      <c r="G122" s="30">
        <v>0.49</v>
      </c>
      <c r="H122" s="30">
        <v>4</v>
      </c>
      <c r="I122" s="54">
        <f t="shared" si="17"/>
        <v>0.1225</v>
      </c>
      <c r="J122" s="54">
        <f t="shared" si="17"/>
        <v>0.1225</v>
      </c>
      <c r="K122" s="54">
        <f t="shared" si="17"/>
        <v>0.1225</v>
      </c>
      <c r="L122" s="54">
        <f t="shared" si="17"/>
        <v>0.1225</v>
      </c>
      <c r="M122" s="54">
        <f t="shared" si="17"/>
        <v>0.1225</v>
      </c>
      <c r="N122" s="51">
        <f>FORESTS2[[#This Row],[Area_2020]]-FORESTS2[[#This Row],[Area_1990]]</f>
        <v>0</v>
      </c>
      <c r="O122" s="51">
        <f>ABS(FORESTS2[[#This Row],[Area_Delta]])</f>
        <v>0</v>
      </c>
      <c r="P122" s="54">
        <f>FORESTS2[[#This Row],[Area_2020_%]]-FORESTS2[[#This Row],[Area_1990_%]]</f>
        <v>0</v>
      </c>
      <c r="Q122" s="54" t="b">
        <f t="shared" si="10"/>
        <v>0</v>
      </c>
      <c r="R122" s="51">
        <f t="shared" si="11"/>
        <v>0</v>
      </c>
      <c r="S122" s="51">
        <f t="shared" si="12"/>
        <v>0</v>
      </c>
      <c r="T122" s="48">
        <f t="shared" si="13"/>
        <v>0</v>
      </c>
      <c r="U122" s="48">
        <v>12.25</v>
      </c>
      <c r="V122" s="30" t="s">
        <v>247</v>
      </c>
      <c r="W122" s="30" t="s">
        <v>247</v>
      </c>
      <c r="X122" s="38">
        <f t="shared" si="14"/>
        <v>0</v>
      </c>
      <c r="Y122" s="38">
        <f t="shared" si="14"/>
        <v>0</v>
      </c>
      <c r="Z122" s="38">
        <f t="shared" si="14"/>
        <v>0</v>
      </c>
      <c r="AA122" s="38">
        <f t="shared" si="9"/>
        <v>0</v>
      </c>
      <c r="AB122" s="38">
        <f>FORESTS2[[#This Row],[Column7]]+FORESTS2[[#This Row],[Column8]]</f>
        <v>0</v>
      </c>
      <c r="AC122" s="63">
        <f t="shared" si="15"/>
        <v>0</v>
      </c>
      <c r="AD122" s="63">
        <f t="shared" si="15"/>
        <v>0</v>
      </c>
      <c r="AE122" s="63">
        <f t="shared" si="16"/>
        <v>0</v>
      </c>
      <c r="AF122" s="63">
        <f t="shared" si="16"/>
        <v>0</v>
      </c>
      <c r="AG122" s="28">
        <v>1</v>
      </c>
    </row>
    <row r="123" spans="1:33" hidden="1" x14ac:dyDescent="0.2">
      <c r="A123" s="28">
        <v>498</v>
      </c>
      <c r="B123" s="28" t="s">
        <v>136</v>
      </c>
      <c r="C123" s="30">
        <v>325.39999999999998</v>
      </c>
      <c r="D123" s="30">
        <v>344.4</v>
      </c>
      <c r="E123" s="30">
        <v>374.5</v>
      </c>
      <c r="F123" s="30">
        <v>386.4</v>
      </c>
      <c r="G123" s="30">
        <v>386.5</v>
      </c>
      <c r="H123" s="30">
        <v>3288</v>
      </c>
      <c r="I123" s="54">
        <f t="shared" si="17"/>
        <v>9.8965936739659366E-2</v>
      </c>
      <c r="J123" s="54">
        <f t="shared" si="17"/>
        <v>0.10474452554744525</v>
      </c>
      <c r="K123" s="54">
        <f t="shared" si="17"/>
        <v>0.11389902676399027</v>
      </c>
      <c r="L123" s="54">
        <f t="shared" si="17"/>
        <v>0.11751824817518247</v>
      </c>
      <c r="M123" s="54">
        <f t="shared" si="17"/>
        <v>0.11754866180048662</v>
      </c>
      <c r="N123" s="51">
        <f>FORESTS2[[#This Row],[Area_2020]]-FORESTS2[[#This Row],[Area_1990]]</f>
        <v>61.100000000000023</v>
      </c>
      <c r="O123" s="51">
        <f>ABS(FORESTS2[[#This Row],[Area_Delta]])</f>
        <v>61.100000000000023</v>
      </c>
      <c r="P123" s="54">
        <f>FORESTS2[[#This Row],[Area_2020_%]]-FORESTS2[[#This Row],[Area_1990_%]]</f>
        <v>1.8582725060827254E-2</v>
      </c>
      <c r="Q123" s="54" t="b">
        <f t="shared" si="10"/>
        <v>1</v>
      </c>
      <c r="R123" s="51">
        <f t="shared" si="11"/>
        <v>61.100000000000023</v>
      </c>
      <c r="S123" s="51">
        <f t="shared" si="12"/>
        <v>0</v>
      </c>
      <c r="T123" s="48">
        <f t="shared" si="13"/>
        <v>0</v>
      </c>
      <c r="U123" s="48">
        <v>11.75</v>
      </c>
      <c r="V123" s="30">
        <v>0.34</v>
      </c>
      <c r="W123" s="30">
        <v>0.35</v>
      </c>
      <c r="X123" s="38">
        <f t="shared" si="14"/>
        <v>19</v>
      </c>
      <c r="Y123" s="38">
        <f t="shared" si="14"/>
        <v>30.100000000000023</v>
      </c>
      <c r="Z123" s="38">
        <f t="shared" si="14"/>
        <v>11.899999999999977</v>
      </c>
      <c r="AA123" s="38">
        <f t="shared" si="9"/>
        <v>0.10000000000002274</v>
      </c>
      <c r="AB123" s="38">
        <f>FORESTS2[[#This Row],[Column7]]+FORESTS2[[#This Row],[Column8]]</f>
        <v>12</v>
      </c>
      <c r="AC123" s="63">
        <f t="shared" si="15"/>
        <v>1.9</v>
      </c>
      <c r="AD123" s="63">
        <f t="shared" si="15"/>
        <v>3.0100000000000025</v>
      </c>
      <c r="AE123" s="63">
        <f t="shared" si="16"/>
        <v>2.3799999999999955</v>
      </c>
      <c r="AF123" s="63">
        <f t="shared" si="16"/>
        <v>2.0000000000004549E-2</v>
      </c>
      <c r="AG123" s="28">
        <v>1</v>
      </c>
    </row>
    <row r="124" spans="1:33" hidden="1" x14ac:dyDescent="0.2">
      <c r="A124" s="28">
        <v>800</v>
      </c>
      <c r="B124" s="28" t="s">
        <v>172</v>
      </c>
      <c r="C124" s="46">
        <v>3575.47</v>
      </c>
      <c r="D124" s="46">
        <v>3162.95</v>
      </c>
      <c r="E124" s="46">
        <v>2750.42</v>
      </c>
      <c r="F124" s="46">
        <v>2544.16</v>
      </c>
      <c r="G124" s="46">
        <v>2337.9</v>
      </c>
      <c r="H124" s="46">
        <v>20052</v>
      </c>
      <c r="I124" s="54">
        <f t="shared" si="17"/>
        <v>0.17830989427488528</v>
      </c>
      <c r="J124" s="54">
        <f t="shared" si="17"/>
        <v>0.15773738280470775</v>
      </c>
      <c r="K124" s="54">
        <f t="shared" si="17"/>
        <v>0.13716437263115899</v>
      </c>
      <c r="L124" s="54">
        <f t="shared" si="17"/>
        <v>0.1268781168960702</v>
      </c>
      <c r="M124" s="54">
        <f t="shared" si="17"/>
        <v>0.11659186116098146</v>
      </c>
      <c r="N124" s="51">
        <f>FORESTS2[[#This Row],[Area_2020]]-FORESTS2[[#This Row],[Area_1990]]</f>
        <v>-1237.5699999999997</v>
      </c>
      <c r="O124" s="51">
        <f>ABS(FORESTS2[[#This Row],[Area_Delta]])</f>
        <v>1237.5699999999997</v>
      </c>
      <c r="P124" s="54">
        <f>FORESTS2[[#This Row],[Area_2020_%]]-FORESTS2[[#This Row],[Area_1990_%]]</f>
        <v>-6.1718033113903822E-2</v>
      </c>
      <c r="Q124" s="54" t="b">
        <f t="shared" si="10"/>
        <v>0</v>
      </c>
      <c r="R124" s="51">
        <f t="shared" si="11"/>
        <v>0</v>
      </c>
      <c r="S124" s="51">
        <f t="shared" si="12"/>
        <v>1237.5699999999997</v>
      </c>
      <c r="T124" s="48">
        <f t="shared" si="13"/>
        <v>4</v>
      </c>
      <c r="U124" s="43">
        <v>11.66</v>
      </c>
      <c r="V124" s="30">
        <v>51.09</v>
      </c>
      <c r="W124" s="38" t="s">
        <v>247</v>
      </c>
      <c r="X124" s="38">
        <f t="shared" si="14"/>
        <v>-412.52</v>
      </c>
      <c r="Y124" s="38">
        <f t="shared" si="14"/>
        <v>-412.52999999999975</v>
      </c>
      <c r="Z124" s="38">
        <f t="shared" si="14"/>
        <v>-206.26000000000022</v>
      </c>
      <c r="AA124" s="38">
        <f t="shared" si="9"/>
        <v>-206.25999999999976</v>
      </c>
      <c r="AB124" s="38">
        <f>FORESTS2[[#This Row],[Column7]]+FORESTS2[[#This Row],[Column8]]</f>
        <v>-412.52</v>
      </c>
      <c r="AC124" s="63">
        <f t="shared" si="15"/>
        <v>-41.251999999999995</v>
      </c>
      <c r="AD124" s="63">
        <f t="shared" si="15"/>
        <v>-41.252999999999972</v>
      </c>
      <c r="AE124" s="63">
        <f t="shared" si="16"/>
        <v>-41.252000000000045</v>
      </c>
      <c r="AF124" s="63">
        <f t="shared" si="16"/>
        <v>-41.251999999999953</v>
      </c>
      <c r="AG124" s="28">
        <v>1</v>
      </c>
    </row>
    <row r="125" spans="1:33" x14ac:dyDescent="0.2">
      <c r="A125" s="28">
        <v>170</v>
      </c>
      <c r="B125" s="28" t="s">
        <v>33</v>
      </c>
      <c r="C125" s="46">
        <v>64958.14</v>
      </c>
      <c r="D125" s="46">
        <v>62735.5</v>
      </c>
      <c r="E125" s="46">
        <v>60807.79</v>
      </c>
      <c r="F125" s="46">
        <v>60134.66</v>
      </c>
      <c r="G125" s="46">
        <v>59141.91</v>
      </c>
      <c r="H125" s="46">
        <v>110950</v>
      </c>
      <c r="I125" s="54">
        <f t="shared" si="17"/>
        <v>0.58547219468228928</v>
      </c>
      <c r="J125" s="54">
        <f t="shared" si="17"/>
        <v>0.56543938711131136</v>
      </c>
      <c r="K125" s="54">
        <f t="shared" si="17"/>
        <v>0.5480648039657503</v>
      </c>
      <c r="L125" s="54">
        <f t="shared" si="17"/>
        <v>0.54199783686345204</v>
      </c>
      <c r="M125" s="54">
        <f t="shared" si="17"/>
        <v>0.53305011266336189</v>
      </c>
      <c r="N125" s="51">
        <f>FORESTS2[[#This Row],[Area_2020]]-FORESTS2[[#This Row],[Area_1990]]</f>
        <v>-5816.2299999999959</v>
      </c>
      <c r="O125" s="51">
        <f>ABS(FORESTS2[[#This Row],[Area_Delta]])</f>
        <v>5816.2299999999959</v>
      </c>
      <c r="P125" s="54">
        <f>FORESTS2[[#This Row],[Area_2020_%]]-FORESTS2[[#This Row],[Area_1990_%]]</f>
        <v>-5.2422082018927396E-2</v>
      </c>
      <c r="Q125" s="48" t="b">
        <f t="shared" si="10"/>
        <v>0</v>
      </c>
      <c r="R125" s="51">
        <f t="shared" si="11"/>
        <v>0</v>
      </c>
      <c r="S125" s="51">
        <f t="shared" si="12"/>
        <v>5816.2299999999959</v>
      </c>
      <c r="T125" s="62">
        <f t="shared" si="13"/>
        <v>4</v>
      </c>
      <c r="U125" s="43">
        <v>53.31</v>
      </c>
      <c r="V125" s="30">
        <v>199.23</v>
      </c>
      <c r="W125" s="38" t="s">
        <v>247</v>
      </c>
      <c r="X125" s="38">
        <f t="shared" si="14"/>
        <v>-2222.6399999999994</v>
      </c>
      <c r="Y125" s="38">
        <f t="shared" si="14"/>
        <v>-1927.7099999999991</v>
      </c>
      <c r="Z125" s="38">
        <f t="shared" si="14"/>
        <v>-673.12999999999738</v>
      </c>
      <c r="AA125" s="38">
        <f t="shared" si="9"/>
        <v>-992.75</v>
      </c>
      <c r="AB125" s="38">
        <f>FORESTS2[[#This Row],[Column7]]+FORESTS2[[#This Row],[Column8]]</f>
        <v>-1665.8799999999974</v>
      </c>
      <c r="AC125" s="63">
        <f t="shared" si="15"/>
        <v>-222.26399999999995</v>
      </c>
      <c r="AD125" s="63">
        <f t="shared" si="15"/>
        <v>-192.7709999999999</v>
      </c>
      <c r="AE125" s="63">
        <f t="shared" si="16"/>
        <v>-134.62599999999946</v>
      </c>
      <c r="AF125" s="63">
        <f t="shared" si="16"/>
        <v>-198.55</v>
      </c>
      <c r="AG125" s="28">
        <v>1</v>
      </c>
    </row>
    <row r="126" spans="1:33" hidden="1" x14ac:dyDescent="0.2">
      <c r="A126" s="28">
        <v>51</v>
      </c>
      <c r="B126" s="28" t="s">
        <v>6</v>
      </c>
      <c r="C126" s="46">
        <v>334.73</v>
      </c>
      <c r="D126" s="46">
        <v>332.64</v>
      </c>
      <c r="E126" s="46">
        <v>330.56</v>
      </c>
      <c r="F126" s="46">
        <v>329.52</v>
      </c>
      <c r="G126" s="46">
        <v>328.47</v>
      </c>
      <c r="H126" s="46">
        <v>2847</v>
      </c>
      <c r="I126" s="54">
        <f t="shared" si="17"/>
        <v>0.11757288373726731</v>
      </c>
      <c r="J126" s="54">
        <f t="shared" si="17"/>
        <v>0.11683877766069546</v>
      </c>
      <c r="K126" s="54">
        <f t="shared" si="17"/>
        <v>0.11610818405338953</v>
      </c>
      <c r="L126" s="54">
        <f t="shared" si="17"/>
        <v>0.11574288724973655</v>
      </c>
      <c r="M126" s="54">
        <f t="shared" si="17"/>
        <v>0.11537407797681772</v>
      </c>
      <c r="N126" s="51">
        <f>FORESTS2[[#This Row],[Area_2020]]-FORESTS2[[#This Row],[Area_1990]]</f>
        <v>-6.2599999999999909</v>
      </c>
      <c r="O126" s="51">
        <f>ABS(FORESTS2[[#This Row],[Area_Delta]])</f>
        <v>6.2599999999999909</v>
      </c>
      <c r="P126" s="54">
        <f>FORESTS2[[#This Row],[Area_2020_%]]-FORESTS2[[#This Row],[Area_1990_%]]</f>
        <v>-2.1988057604495903E-3</v>
      </c>
      <c r="Q126" s="54" t="b">
        <f t="shared" si="10"/>
        <v>0</v>
      </c>
      <c r="R126" s="51">
        <f t="shared" si="11"/>
        <v>0</v>
      </c>
      <c r="S126" s="51">
        <f t="shared" si="12"/>
        <v>6.2599999999999909</v>
      </c>
      <c r="T126" s="48">
        <f t="shared" si="13"/>
        <v>4</v>
      </c>
      <c r="U126" s="48">
        <v>11.54</v>
      </c>
      <c r="V126" s="30" t="s">
        <v>247</v>
      </c>
      <c r="W126" s="30" t="s">
        <v>247</v>
      </c>
      <c r="X126" s="38">
        <f t="shared" si="14"/>
        <v>-2.0900000000000318</v>
      </c>
      <c r="Y126" s="38">
        <f t="shared" si="14"/>
        <v>-2.0799999999999841</v>
      </c>
      <c r="Z126" s="38">
        <f t="shared" si="14"/>
        <v>-1.0400000000000205</v>
      </c>
      <c r="AA126" s="38">
        <f t="shared" si="9"/>
        <v>-1.0499999999999545</v>
      </c>
      <c r="AB126" s="38">
        <f>FORESTS2[[#This Row],[Column7]]+FORESTS2[[#This Row],[Column8]]</f>
        <v>-2.089999999999975</v>
      </c>
      <c r="AC126" s="63">
        <f t="shared" si="15"/>
        <v>-0.20900000000000318</v>
      </c>
      <c r="AD126" s="63">
        <f t="shared" si="15"/>
        <v>-0.20799999999999841</v>
      </c>
      <c r="AE126" s="63">
        <f t="shared" si="16"/>
        <v>-0.2080000000000041</v>
      </c>
      <c r="AF126" s="63">
        <f t="shared" si="16"/>
        <v>-0.20999999999999092</v>
      </c>
    </row>
    <row r="127" spans="1:33" hidden="1" x14ac:dyDescent="0.2">
      <c r="A127" s="28">
        <v>372</v>
      </c>
      <c r="B127" s="28" t="s">
        <v>79</v>
      </c>
      <c r="C127" s="38">
        <v>461.64</v>
      </c>
      <c r="D127" s="38">
        <v>630.36</v>
      </c>
      <c r="E127" s="38">
        <v>720.38</v>
      </c>
      <c r="F127" s="38">
        <v>754.67</v>
      </c>
      <c r="G127" s="38">
        <v>782.02</v>
      </c>
      <c r="H127" s="38">
        <v>6889</v>
      </c>
      <c r="I127" s="54">
        <f t="shared" si="17"/>
        <v>6.7011177239076791E-2</v>
      </c>
      <c r="J127" s="54">
        <f t="shared" si="17"/>
        <v>9.1502395122659314E-2</v>
      </c>
      <c r="K127" s="54">
        <f t="shared" si="17"/>
        <v>0.10456960371606909</v>
      </c>
      <c r="L127" s="54">
        <f t="shared" si="17"/>
        <v>0.10954710407896646</v>
      </c>
      <c r="M127" s="54">
        <f t="shared" si="17"/>
        <v>0.11351720133546232</v>
      </c>
      <c r="N127" s="51">
        <f>FORESTS2[[#This Row],[Area_2020]]-FORESTS2[[#This Row],[Area_1990]]</f>
        <v>320.38</v>
      </c>
      <c r="O127" s="51">
        <f>ABS(FORESTS2[[#This Row],[Area_Delta]])</f>
        <v>320.38</v>
      </c>
      <c r="P127" s="54">
        <f>FORESTS2[[#This Row],[Area_2020_%]]-FORESTS2[[#This Row],[Area_1990_%]]</f>
        <v>4.6506024096385531E-2</v>
      </c>
      <c r="Q127" s="54" t="b">
        <f t="shared" si="10"/>
        <v>1</v>
      </c>
      <c r="R127" s="51">
        <f t="shared" si="11"/>
        <v>320.38</v>
      </c>
      <c r="S127" s="51">
        <f t="shared" si="12"/>
        <v>0</v>
      </c>
      <c r="T127" s="48">
        <f t="shared" si="13"/>
        <v>0</v>
      </c>
      <c r="U127" s="43">
        <v>11.35</v>
      </c>
      <c r="V127" s="30">
        <v>0.62</v>
      </c>
      <c r="W127" s="38">
        <v>0.18</v>
      </c>
      <c r="X127" s="38">
        <f t="shared" si="14"/>
        <v>168.72000000000003</v>
      </c>
      <c r="Y127" s="38">
        <f t="shared" si="14"/>
        <v>90.019999999999982</v>
      </c>
      <c r="Z127" s="38">
        <f t="shared" si="14"/>
        <v>34.289999999999964</v>
      </c>
      <c r="AA127" s="38">
        <f t="shared" si="9"/>
        <v>27.350000000000023</v>
      </c>
      <c r="AB127" s="38">
        <f>FORESTS2[[#This Row],[Column7]]+FORESTS2[[#This Row],[Column8]]</f>
        <v>61.639999999999986</v>
      </c>
      <c r="AC127" s="63">
        <f t="shared" si="15"/>
        <v>16.872000000000003</v>
      </c>
      <c r="AD127" s="63">
        <f t="shared" si="15"/>
        <v>9.0019999999999989</v>
      </c>
      <c r="AE127" s="63">
        <f t="shared" si="16"/>
        <v>6.8579999999999925</v>
      </c>
      <c r="AF127" s="63">
        <f t="shared" si="16"/>
        <v>5.4700000000000042</v>
      </c>
    </row>
    <row r="128" spans="1:33" hidden="1" x14ac:dyDescent="0.2">
      <c r="A128" s="28">
        <v>132</v>
      </c>
      <c r="B128" s="28" t="s">
        <v>25</v>
      </c>
      <c r="C128" s="30">
        <v>15.38</v>
      </c>
      <c r="D128" s="30">
        <v>39.72</v>
      </c>
      <c r="E128" s="30">
        <v>42.72</v>
      </c>
      <c r="F128" s="30">
        <v>44.22</v>
      </c>
      <c r="G128" s="30">
        <v>45.72</v>
      </c>
      <c r="H128" s="30">
        <v>403</v>
      </c>
      <c r="I128" s="54">
        <f t="shared" si="17"/>
        <v>3.816377171215881E-2</v>
      </c>
      <c r="J128" s="54">
        <f t="shared" si="17"/>
        <v>9.8560794044665015E-2</v>
      </c>
      <c r="K128" s="54">
        <f t="shared" si="17"/>
        <v>0.10600496277915633</v>
      </c>
      <c r="L128" s="54">
        <f t="shared" si="17"/>
        <v>0.10972704714640198</v>
      </c>
      <c r="M128" s="54">
        <f t="shared" si="17"/>
        <v>0.11344913151364763</v>
      </c>
      <c r="N128" s="51">
        <f>FORESTS2[[#This Row],[Area_2020]]-FORESTS2[[#This Row],[Area_1990]]</f>
        <v>30.339999999999996</v>
      </c>
      <c r="O128" s="51">
        <f>ABS(FORESTS2[[#This Row],[Area_Delta]])</f>
        <v>30.339999999999996</v>
      </c>
      <c r="P128" s="54">
        <f>FORESTS2[[#This Row],[Area_2020_%]]-FORESTS2[[#This Row],[Area_1990_%]]</f>
        <v>7.5285359801488816E-2</v>
      </c>
      <c r="Q128" s="54" t="b">
        <f t="shared" si="10"/>
        <v>1</v>
      </c>
      <c r="R128" s="51">
        <f t="shared" si="11"/>
        <v>30.339999999999996</v>
      </c>
      <c r="S128" s="51">
        <f t="shared" si="12"/>
        <v>0</v>
      </c>
      <c r="T128" s="48">
        <f t="shared" si="13"/>
        <v>0</v>
      </c>
      <c r="U128" s="48">
        <v>11.34</v>
      </c>
      <c r="V128" s="30">
        <v>0.82</v>
      </c>
      <c r="W128" s="30">
        <v>0.8</v>
      </c>
      <c r="X128" s="38">
        <f t="shared" si="14"/>
        <v>24.339999999999996</v>
      </c>
      <c r="Y128" s="38">
        <f t="shared" si="14"/>
        <v>3</v>
      </c>
      <c r="Z128" s="38">
        <f t="shared" si="14"/>
        <v>1.5</v>
      </c>
      <c r="AA128" s="38">
        <f t="shared" si="9"/>
        <v>1.5</v>
      </c>
      <c r="AB128" s="38">
        <f>FORESTS2[[#This Row],[Column7]]+FORESTS2[[#This Row],[Column8]]</f>
        <v>3</v>
      </c>
      <c r="AC128" s="63">
        <f t="shared" si="15"/>
        <v>2.4339999999999997</v>
      </c>
      <c r="AD128" s="63">
        <f t="shared" si="15"/>
        <v>0.3</v>
      </c>
      <c r="AE128" s="63">
        <f t="shared" si="16"/>
        <v>0.3</v>
      </c>
      <c r="AF128" s="63">
        <f t="shared" si="16"/>
        <v>0.3</v>
      </c>
    </row>
    <row r="129" spans="1:32" hidden="1" x14ac:dyDescent="0.2">
      <c r="A129" s="28">
        <v>728</v>
      </c>
      <c r="B129" s="28" t="s">
        <v>154</v>
      </c>
      <c r="C129" s="38">
        <v>7157</v>
      </c>
      <c r="D129" s="38">
        <v>7157</v>
      </c>
      <c r="E129" s="38">
        <v>7157</v>
      </c>
      <c r="F129" s="38">
        <v>7157</v>
      </c>
      <c r="G129" s="38">
        <v>7157</v>
      </c>
      <c r="H129" s="38">
        <v>63173</v>
      </c>
      <c r="I129" s="54">
        <f t="shared" si="17"/>
        <v>0.11329207097969068</v>
      </c>
      <c r="J129" s="54">
        <f t="shared" si="17"/>
        <v>0.11329207097969068</v>
      </c>
      <c r="K129" s="54">
        <f t="shared" si="17"/>
        <v>0.11329207097969068</v>
      </c>
      <c r="L129" s="54">
        <f t="shared" si="17"/>
        <v>0.11329207097969068</v>
      </c>
      <c r="M129" s="54">
        <f t="shared" si="17"/>
        <v>0.11329207097969068</v>
      </c>
      <c r="N129" s="51">
        <f>FORESTS2[[#This Row],[Area_2020]]-FORESTS2[[#This Row],[Area_1990]]</f>
        <v>0</v>
      </c>
      <c r="O129" s="51">
        <f>ABS(FORESTS2[[#This Row],[Area_Delta]])</f>
        <v>0</v>
      </c>
      <c r="P129" s="54">
        <f>FORESTS2[[#This Row],[Area_2020_%]]-FORESTS2[[#This Row],[Area_1990_%]]</f>
        <v>0</v>
      </c>
      <c r="Q129" s="54" t="b">
        <f t="shared" si="10"/>
        <v>0</v>
      </c>
      <c r="R129" s="51">
        <f t="shared" si="11"/>
        <v>0</v>
      </c>
      <c r="S129" s="51">
        <f t="shared" si="12"/>
        <v>0</v>
      </c>
      <c r="T129" s="48">
        <f t="shared" si="13"/>
        <v>0</v>
      </c>
      <c r="U129" s="43">
        <v>11.33</v>
      </c>
      <c r="V129" s="30" t="s">
        <v>247</v>
      </c>
      <c r="W129" s="38" t="s">
        <v>247</v>
      </c>
      <c r="X129" s="38">
        <f t="shared" si="14"/>
        <v>0</v>
      </c>
      <c r="Y129" s="38">
        <f t="shared" si="14"/>
        <v>0</v>
      </c>
      <c r="Z129" s="38">
        <f t="shared" si="14"/>
        <v>0</v>
      </c>
      <c r="AA129" s="38">
        <f t="shared" si="9"/>
        <v>0</v>
      </c>
      <c r="AB129" s="38">
        <f>FORESTS2[[#This Row],[Column7]]+FORESTS2[[#This Row],[Column8]]</f>
        <v>0</v>
      </c>
      <c r="AC129" s="63">
        <f t="shared" si="15"/>
        <v>0</v>
      </c>
      <c r="AD129" s="63">
        <f t="shared" si="15"/>
        <v>0</v>
      </c>
      <c r="AE129" s="63">
        <f t="shared" si="16"/>
        <v>0</v>
      </c>
      <c r="AF129" s="63">
        <f t="shared" si="16"/>
        <v>0</v>
      </c>
    </row>
    <row r="130" spans="1:32" hidden="1" x14ac:dyDescent="0.2">
      <c r="A130" s="28">
        <v>646</v>
      </c>
      <c r="B130" s="28" t="s">
        <v>199</v>
      </c>
      <c r="C130" s="30">
        <v>317</v>
      </c>
      <c r="D130" s="30">
        <v>287</v>
      </c>
      <c r="E130" s="30">
        <v>265</v>
      </c>
      <c r="F130" s="30">
        <v>270</v>
      </c>
      <c r="G130" s="30">
        <v>276</v>
      </c>
      <c r="H130" s="30">
        <v>2467</v>
      </c>
      <c r="I130" s="54">
        <f t="shared" si="17"/>
        <v>0.12849614916903121</v>
      </c>
      <c r="J130" s="54">
        <f t="shared" si="17"/>
        <v>0.11633563032022699</v>
      </c>
      <c r="K130" s="54">
        <f t="shared" si="17"/>
        <v>0.10741791649777058</v>
      </c>
      <c r="L130" s="54">
        <f t="shared" si="17"/>
        <v>0.10944466963923793</v>
      </c>
      <c r="M130" s="54">
        <f t="shared" si="17"/>
        <v>0.11187677340899878</v>
      </c>
      <c r="N130" s="51">
        <f>FORESTS2[[#This Row],[Area_2020]]-FORESTS2[[#This Row],[Area_1990]]</f>
        <v>-41</v>
      </c>
      <c r="O130" s="51">
        <f>ABS(FORESTS2[[#This Row],[Area_Delta]])</f>
        <v>41</v>
      </c>
      <c r="P130" s="54">
        <f>FORESTS2[[#This Row],[Area_2020_%]]-FORESTS2[[#This Row],[Area_1990_%]]</f>
        <v>-1.6619375760032432E-2</v>
      </c>
      <c r="Q130" s="54" t="b">
        <f t="shared" si="10"/>
        <v>0</v>
      </c>
      <c r="R130" s="51">
        <f t="shared" si="11"/>
        <v>0</v>
      </c>
      <c r="S130" s="51">
        <f t="shared" si="12"/>
        <v>41</v>
      </c>
      <c r="T130" s="48">
        <f t="shared" si="13"/>
        <v>2</v>
      </c>
      <c r="U130" s="48">
        <v>11.19</v>
      </c>
      <c r="V130" s="30" t="s">
        <v>247</v>
      </c>
      <c r="W130" s="30" t="s">
        <v>247</v>
      </c>
      <c r="X130" s="38">
        <f t="shared" si="14"/>
        <v>-30</v>
      </c>
      <c r="Y130" s="38">
        <f t="shared" si="14"/>
        <v>-22</v>
      </c>
      <c r="Z130" s="38">
        <f t="shared" si="14"/>
        <v>5</v>
      </c>
      <c r="AA130" s="38">
        <f t="shared" si="9"/>
        <v>6</v>
      </c>
      <c r="AB130" s="38">
        <f>FORESTS2[[#This Row],[Column7]]+FORESTS2[[#This Row],[Column8]]</f>
        <v>11</v>
      </c>
      <c r="AC130" s="63">
        <f t="shared" si="15"/>
        <v>-3</v>
      </c>
      <c r="AD130" s="63">
        <f t="shared" si="15"/>
        <v>-2.2000000000000002</v>
      </c>
      <c r="AE130" s="63">
        <f t="shared" si="16"/>
        <v>1</v>
      </c>
      <c r="AF130" s="63">
        <f t="shared" si="16"/>
        <v>1.2</v>
      </c>
    </row>
    <row r="131" spans="1:32" hidden="1" x14ac:dyDescent="0.2">
      <c r="A131" s="28">
        <v>796</v>
      </c>
      <c r="B131" s="28" t="s">
        <v>215</v>
      </c>
      <c r="C131" s="30">
        <v>10.52</v>
      </c>
      <c r="D131" s="30">
        <v>10.52</v>
      </c>
      <c r="E131" s="30">
        <v>10.52</v>
      </c>
      <c r="F131" s="30">
        <v>10.52</v>
      </c>
      <c r="G131" s="30">
        <v>10.52</v>
      </c>
      <c r="H131" s="30">
        <v>95</v>
      </c>
      <c r="I131" s="54">
        <f t="shared" si="17"/>
        <v>0.11073684210526315</v>
      </c>
      <c r="J131" s="54">
        <f t="shared" si="17"/>
        <v>0.11073684210526315</v>
      </c>
      <c r="K131" s="54">
        <f t="shared" si="17"/>
        <v>0.11073684210526315</v>
      </c>
      <c r="L131" s="54">
        <f t="shared" si="17"/>
        <v>0.11073684210526315</v>
      </c>
      <c r="M131" s="54">
        <f t="shared" si="17"/>
        <v>0.11073684210526315</v>
      </c>
      <c r="N131" s="51">
        <f>FORESTS2[[#This Row],[Area_2020]]-FORESTS2[[#This Row],[Area_1990]]</f>
        <v>0</v>
      </c>
      <c r="O131" s="51">
        <f>ABS(FORESTS2[[#This Row],[Area_Delta]])</f>
        <v>0</v>
      </c>
      <c r="P131" s="54">
        <f>FORESTS2[[#This Row],[Area_2020_%]]-FORESTS2[[#This Row],[Area_1990_%]]</f>
        <v>0</v>
      </c>
      <c r="Q131" s="54" t="b">
        <f t="shared" si="10"/>
        <v>0</v>
      </c>
      <c r="R131" s="51">
        <f t="shared" si="11"/>
        <v>0</v>
      </c>
      <c r="S131" s="51">
        <f t="shared" si="12"/>
        <v>0</v>
      </c>
      <c r="T131" s="48">
        <f t="shared" si="13"/>
        <v>0</v>
      </c>
      <c r="U131" s="48">
        <v>11.07</v>
      </c>
      <c r="V131" s="30" t="s">
        <v>247</v>
      </c>
      <c r="W131" s="30">
        <v>0</v>
      </c>
      <c r="X131" s="38">
        <f t="shared" si="14"/>
        <v>0</v>
      </c>
      <c r="Y131" s="38">
        <f t="shared" si="14"/>
        <v>0</v>
      </c>
      <c r="Z131" s="38">
        <f t="shared" si="14"/>
        <v>0</v>
      </c>
      <c r="AA131" s="38">
        <f t="shared" si="14"/>
        <v>0</v>
      </c>
      <c r="AB131" s="38">
        <f>FORESTS2[[#This Row],[Column7]]+FORESTS2[[#This Row],[Column8]]</f>
        <v>0</v>
      </c>
      <c r="AC131" s="63">
        <f t="shared" si="15"/>
        <v>0</v>
      </c>
      <c r="AD131" s="63">
        <f t="shared" si="15"/>
        <v>0</v>
      </c>
      <c r="AE131" s="63">
        <f t="shared" si="16"/>
        <v>0</v>
      </c>
      <c r="AF131" s="63">
        <f t="shared" si="16"/>
        <v>0</v>
      </c>
    </row>
    <row r="132" spans="1:32" hidden="1" x14ac:dyDescent="0.2">
      <c r="A132" s="28">
        <v>44</v>
      </c>
      <c r="B132" s="28" t="s">
        <v>10</v>
      </c>
      <c r="C132" s="30">
        <v>509.86</v>
      </c>
      <c r="D132" s="30">
        <v>509.86</v>
      </c>
      <c r="E132" s="30">
        <v>509.86</v>
      </c>
      <c r="F132" s="30">
        <v>509.86</v>
      </c>
      <c r="G132" s="30">
        <v>509.86</v>
      </c>
      <c r="H132" s="30">
        <v>1001</v>
      </c>
      <c r="I132" s="54">
        <f t="shared" si="17"/>
        <v>0.50935064935064933</v>
      </c>
      <c r="J132" s="54">
        <f t="shared" si="17"/>
        <v>0.50935064935064933</v>
      </c>
      <c r="K132" s="54">
        <f t="shared" si="17"/>
        <v>0.50935064935064933</v>
      </c>
      <c r="L132" s="54">
        <f t="shared" si="17"/>
        <v>0.50935064935064933</v>
      </c>
      <c r="M132" s="54">
        <f t="shared" si="17"/>
        <v>0.50935064935064933</v>
      </c>
      <c r="N132" s="51">
        <f>FORESTS2[[#This Row],[Area_2020]]-FORESTS2[[#This Row],[Area_1990]]</f>
        <v>0</v>
      </c>
      <c r="O132" s="51">
        <f>ABS(FORESTS2[[#This Row],[Area_Delta]])</f>
        <v>0</v>
      </c>
      <c r="P132" s="54">
        <f>FORESTS2[[#This Row],[Area_2020_%]]-FORESTS2[[#This Row],[Area_1990_%]]</f>
        <v>0</v>
      </c>
      <c r="Q132" s="54" t="b">
        <f t="shared" ref="Q132:Q195" si="18">IF(G132&gt;C132, TRUE, FALSE)</f>
        <v>0</v>
      </c>
      <c r="R132" s="51">
        <f t="shared" ref="R132:R195" si="19">IF(Q132=TRUE,G132-C132,0)</f>
        <v>0</v>
      </c>
      <c r="S132" s="51">
        <f t="shared" ref="S132:S195" si="20">IF(Q132=TRUE,0,C132-G132)</f>
        <v>0</v>
      </c>
      <c r="T132" s="48">
        <f t="shared" ref="T132:T195" si="21">IF(J132&lt;I132,1,0)+IF(K132&lt;J132,1,0)+IF(L132&lt;K132,1,0)+IF(M132&lt;L132,1,0)</f>
        <v>0</v>
      </c>
      <c r="U132" s="48">
        <v>50.94</v>
      </c>
      <c r="V132" s="30" t="s">
        <v>247</v>
      </c>
      <c r="W132" s="30">
        <v>0.28000000000000003</v>
      </c>
      <c r="X132" s="38">
        <f t="shared" ref="X132:AA195" si="22">D132-C132</f>
        <v>0</v>
      </c>
      <c r="Y132" s="38">
        <f t="shared" si="22"/>
        <v>0</v>
      </c>
      <c r="Z132" s="38">
        <f t="shared" si="22"/>
        <v>0</v>
      </c>
      <c r="AA132" s="38">
        <f t="shared" si="22"/>
        <v>0</v>
      </c>
      <c r="AB132" s="38">
        <f>FORESTS2[[#This Row],[Column7]]+FORESTS2[[#This Row],[Column8]]</f>
        <v>0</v>
      </c>
      <c r="AC132" s="63">
        <f t="shared" ref="AC132:AD195" si="23">(D132-C132)/10</f>
        <v>0</v>
      </c>
      <c r="AD132" s="63">
        <f t="shared" si="23"/>
        <v>0</v>
      </c>
      <c r="AE132" s="63">
        <f t="shared" ref="AE132:AF195" si="24">(F132-E132)/5</f>
        <v>0</v>
      </c>
      <c r="AF132" s="63">
        <f t="shared" si="24"/>
        <v>0</v>
      </c>
    </row>
    <row r="133" spans="1:32" hidden="1" x14ac:dyDescent="0.2">
      <c r="A133" s="28">
        <v>308</v>
      </c>
      <c r="B133" s="28" t="s">
        <v>65</v>
      </c>
      <c r="C133" s="30">
        <v>17.7</v>
      </c>
      <c r="D133" s="30">
        <v>17.7</v>
      </c>
      <c r="E133" s="30">
        <v>17.7</v>
      </c>
      <c r="F133" s="30">
        <v>17.7</v>
      </c>
      <c r="G133" s="30">
        <v>17.7</v>
      </c>
      <c r="H133" s="30">
        <v>34</v>
      </c>
      <c r="I133" s="54">
        <f t="shared" si="17"/>
        <v>0.52058823529411757</v>
      </c>
      <c r="J133" s="54">
        <f t="shared" si="17"/>
        <v>0.52058823529411757</v>
      </c>
      <c r="K133" s="54">
        <f t="shared" si="17"/>
        <v>0.52058823529411757</v>
      </c>
      <c r="L133" s="54">
        <f t="shared" si="17"/>
        <v>0.52058823529411757</v>
      </c>
      <c r="M133" s="54">
        <f t="shared" si="17"/>
        <v>0.52058823529411757</v>
      </c>
      <c r="N133" s="51">
        <f>FORESTS2[[#This Row],[Area_2020]]-FORESTS2[[#This Row],[Area_1990]]</f>
        <v>0</v>
      </c>
      <c r="O133" s="51">
        <f>ABS(FORESTS2[[#This Row],[Area_Delta]])</f>
        <v>0</v>
      </c>
      <c r="P133" s="54">
        <f>FORESTS2[[#This Row],[Area_2020_%]]-FORESTS2[[#This Row],[Area_1990_%]]</f>
        <v>0</v>
      </c>
      <c r="Q133" s="54" t="b">
        <f t="shared" si="18"/>
        <v>0</v>
      </c>
      <c r="R133" s="51">
        <f t="shared" si="19"/>
        <v>0</v>
      </c>
      <c r="S133" s="51">
        <f t="shared" si="20"/>
        <v>0</v>
      </c>
      <c r="T133" s="48">
        <f t="shared" si="21"/>
        <v>0</v>
      </c>
      <c r="U133" s="48">
        <v>52.06</v>
      </c>
      <c r="V133" s="30" t="s">
        <v>247</v>
      </c>
      <c r="W133" s="30">
        <v>0</v>
      </c>
      <c r="X133" s="38">
        <f t="shared" si="22"/>
        <v>0</v>
      </c>
      <c r="Y133" s="38">
        <f t="shared" si="22"/>
        <v>0</v>
      </c>
      <c r="Z133" s="38">
        <f t="shared" si="22"/>
        <v>0</v>
      </c>
      <c r="AA133" s="38">
        <f t="shared" si="22"/>
        <v>0</v>
      </c>
      <c r="AB133" s="38">
        <f>FORESTS2[[#This Row],[Column7]]+FORESTS2[[#This Row],[Column8]]</f>
        <v>0</v>
      </c>
      <c r="AC133" s="63">
        <f t="shared" si="23"/>
        <v>0</v>
      </c>
      <c r="AD133" s="63">
        <f t="shared" si="23"/>
        <v>0</v>
      </c>
      <c r="AE133" s="63">
        <f t="shared" si="24"/>
        <v>0</v>
      </c>
      <c r="AF133" s="63">
        <f t="shared" si="24"/>
        <v>0</v>
      </c>
    </row>
    <row r="134" spans="1:32" hidden="1" x14ac:dyDescent="0.2">
      <c r="A134" s="28">
        <v>584</v>
      </c>
      <c r="B134" s="28" t="s">
        <v>102</v>
      </c>
      <c r="C134" s="30">
        <v>9.4</v>
      </c>
      <c r="D134" s="30">
        <v>9.4</v>
      </c>
      <c r="E134" s="30">
        <v>9.4</v>
      </c>
      <c r="F134" s="30">
        <v>9.4</v>
      </c>
      <c r="G134" s="30">
        <v>9.4</v>
      </c>
      <c r="H134" s="30">
        <v>18</v>
      </c>
      <c r="I134" s="54">
        <f t="shared" si="17"/>
        <v>0.52222222222222225</v>
      </c>
      <c r="J134" s="54">
        <f t="shared" si="17"/>
        <v>0.52222222222222225</v>
      </c>
      <c r="K134" s="54">
        <f t="shared" si="17"/>
        <v>0.52222222222222225</v>
      </c>
      <c r="L134" s="54">
        <f t="shared" si="17"/>
        <v>0.52222222222222225</v>
      </c>
      <c r="M134" s="54">
        <f t="shared" si="17"/>
        <v>0.52222222222222225</v>
      </c>
      <c r="N134" s="51">
        <f>FORESTS2[[#This Row],[Area_2020]]-FORESTS2[[#This Row],[Area_1990]]</f>
        <v>0</v>
      </c>
      <c r="O134" s="51">
        <f>ABS(FORESTS2[[#This Row],[Area_Delta]])</f>
        <v>0</v>
      </c>
      <c r="P134" s="54">
        <f>FORESTS2[[#This Row],[Area_2020_%]]-FORESTS2[[#This Row],[Area_1990_%]]</f>
        <v>0</v>
      </c>
      <c r="Q134" s="54" t="b">
        <f t="shared" si="18"/>
        <v>0</v>
      </c>
      <c r="R134" s="51">
        <f t="shared" si="19"/>
        <v>0</v>
      </c>
      <c r="S134" s="51">
        <f t="shared" si="20"/>
        <v>0</v>
      </c>
      <c r="T134" s="48">
        <f t="shared" si="21"/>
        <v>0</v>
      </c>
      <c r="U134" s="48">
        <v>52.22</v>
      </c>
      <c r="V134" s="30" t="s">
        <v>247</v>
      </c>
      <c r="W134" s="30" t="s">
        <v>247</v>
      </c>
      <c r="X134" s="38">
        <f t="shared" si="22"/>
        <v>0</v>
      </c>
      <c r="Y134" s="38">
        <f t="shared" si="22"/>
        <v>0</v>
      </c>
      <c r="Z134" s="38">
        <f t="shared" si="22"/>
        <v>0</v>
      </c>
      <c r="AA134" s="38">
        <f t="shared" si="22"/>
        <v>0</v>
      </c>
      <c r="AB134" s="38">
        <f>FORESTS2[[#This Row],[Column7]]+FORESTS2[[#This Row],[Column8]]</f>
        <v>0</v>
      </c>
      <c r="AC134" s="63">
        <f t="shared" si="23"/>
        <v>0</v>
      </c>
      <c r="AD134" s="63">
        <f t="shared" si="23"/>
        <v>0</v>
      </c>
      <c r="AE134" s="63">
        <f t="shared" si="24"/>
        <v>0</v>
      </c>
      <c r="AF134" s="63">
        <f t="shared" si="24"/>
        <v>0</v>
      </c>
    </row>
    <row r="135" spans="1:32" hidden="1" x14ac:dyDescent="0.2">
      <c r="A135" s="28">
        <v>660</v>
      </c>
      <c r="B135" s="28" t="s">
        <v>203</v>
      </c>
      <c r="C135" s="30">
        <v>5.5</v>
      </c>
      <c r="D135" s="30">
        <v>5.5</v>
      </c>
      <c r="E135" s="30">
        <v>5.5</v>
      </c>
      <c r="F135" s="30">
        <v>5.5</v>
      </c>
      <c r="G135" s="30">
        <v>5.5</v>
      </c>
      <c r="H135" s="30">
        <v>9</v>
      </c>
      <c r="I135" s="54">
        <f t="shared" si="17"/>
        <v>0.61111111111111116</v>
      </c>
      <c r="J135" s="54">
        <f t="shared" si="17"/>
        <v>0.61111111111111116</v>
      </c>
      <c r="K135" s="54">
        <f t="shared" si="17"/>
        <v>0.61111111111111116</v>
      </c>
      <c r="L135" s="54">
        <f t="shared" si="17"/>
        <v>0.61111111111111116</v>
      </c>
      <c r="M135" s="54">
        <f t="shared" si="17"/>
        <v>0.61111111111111116</v>
      </c>
      <c r="N135" s="51">
        <f>FORESTS2[[#This Row],[Area_2020]]-FORESTS2[[#This Row],[Area_1990]]</f>
        <v>0</v>
      </c>
      <c r="O135" s="51">
        <f>ABS(FORESTS2[[#This Row],[Area_Delta]])</f>
        <v>0</v>
      </c>
      <c r="P135" s="54">
        <f>FORESTS2[[#This Row],[Area_2020_%]]-FORESTS2[[#This Row],[Area_1990_%]]</f>
        <v>0</v>
      </c>
      <c r="Q135" s="54" t="b">
        <f t="shared" si="18"/>
        <v>0</v>
      </c>
      <c r="R135" s="51">
        <f t="shared" si="19"/>
        <v>0</v>
      </c>
      <c r="S135" s="51">
        <f t="shared" si="20"/>
        <v>0</v>
      </c>
      <c r="T135" s="48">
        <f t="shared" si="21"/>
        <v>0</v>
      </c>
      <c r="U135" s="48">
        <v>61.11</v>
      </c>
      <c r="V135" s="30" t="s">
        <v>247</v>
      </c>
      <c r="W135" s="30" t="s">
        <v>247</v>
      </c>
      <c r="X135" s="38">
        <f t="shared" si="22"/>
        <v>0</v>
      </c>
      <c r="Y135" s="38">
        <f t="shared" si="22"/>
        <v>0</v>
      </c>
      <c r="Z135" s="38">
        <f t="shared" si="22"/>
        <v>0</v>
      </c>
      <c r="AA135" s="38">
        <f t="shared" si="22"/>
        <v>0</v>
      </c>
      <c r="AB135" s="38">
        <f>FORESTS2[[#This Row],[Column7]]+FORESTS2[[#This Row],[Column8]]</f>
        <v>0</v>
      </c>
      <c r="AC135" s="63">
        <f t="shared" si="23"/>
        <v>0</v>
      </c>
      <c r="AD135" s="63">
        <f t="shared" si="23"/>
        <v>0</v>
      </c>
      <c r="AE135" s="63">
        <f t="shared" si="24"/>
        <v>0</v>
      </c>
      <c r="AF135" s="63">
        <f t="shared" si="24"/>
        <v>0</v>
      </c>
    </row>
    <row r="136" spans="1:32" hidden="1" x14ac:dyDescent="0.2">
      <c r="A136" s="28">
        <v>612</v>
      </c>
      <c r="B136" s="28" t="s">
        <v>244</v>
      </c>
      <c r="C136" s="30">
        <v>3.5</v>
      </c>
      <c r="D136" s="30">
        <v>3.5</v>
      </c>
      <c r="E136" s="30">
        <v>3.5</v>
      </c>
      <c r="F136" s="30">
        <v>3.5</v>
      </c>
      <c r="G136" s="30">
        <v>3.5</v>
      </c>
      <c r="H136" s="30">
        <v>5</v>
      </c>
      <c r="I136" s="54">
        <f t="shared" si="17"/>
        <v>0.7</v>
      </c>
      <c r="J136" s="54">
        <f t="shared" si="17"/>
        <v>0.7</v>
      </c>
      <c r="K136" s="54">
        <f t="shared" si="17"/>
        <v>0.7</v>
      </c>
      <c r="L136" s="54">
        <f t="shared" si="17"/>
        <v>0.7</v>
      </c>
      <c r="M136" s="54">
        <f t="shared" si="17"/>
        <v>0.7</v>
      </c>
      <c r="N136" s="51">
        <f>FORESTS2[[#This Row],[Area_2020]]-FORESTS2[[#This Row],[Area_1990]]</f>
        <v>0</v>
      </c>
      <c r="O136" s="51">
        <f>ABS(FORESTS2[[#This Row],[Area_Delta]])</f>
        <v>0</v>
      </c>
      <c r="P136" s="54">
        <f>FORESTS2[[#This Row],[Area_2020_%]]-FORESTS2[[#This Row],[Area_1990_%]]</f>
        <v>0</v>
      </c>
      <c r="Q136" s="54" t="b">
        <f t="shared" si="18"/>
        <v>0</v>
      </c>
      <c r="R136" s="51">
        <f t="shared" si="19"/>
        <v>0</v>
      </c>
      <c r="S136" s="51">
        <f t="shared" si="20"/>
        <v>0</v>
      </c>
      <c r="T136" s="48">
        <f t="shared" si="21"/>
        <v>0</v>
      </c>
      <c r="U136" s="48">
        <v>70</v>
      </c>
      <c r="V136" s="30" t="s">
        <v>247</v>
      </c>
      <c r="W136" s="30" t="s">
        <v>247</v>
      </c>
      <c r="X136" s="38">
        <f t="shared" si="22"/>
        <v>0</v>
      </c>
      <c r="Y136" s="38">
        <f t="shared" si="22"/>
        <v>0</v>
      </c>
      <c r="Z136" s="38">
        <f t="shared" si="22"/>
        <v>0</v>
      </c>
      <c r="AA136" s="38">
        <f t="shared" si="22"/>
        <v>0</v>
      </c>
      <c r="AB136" s="38">
        <f>FORESTS2[[#This Row],[Column7]]+FORESTS2[[#This Row],[Column8]]</f>
        <v>0</v>
      </c>
      <c r="AC136" s="63">
        <f t="shared" si="23"/>
        <v>0</v>
      </c>
      <c r="AD136" s="63">
        <f t="shared" si="23"/>
        <v>0</v>
      </c>
      <c r="AE136" s="63">
        <f t="shared" si="24"/>
        <v>0</v>
      </c>
      <c r="AF136" s="63">
        <f t="shared" si="24"/>
        <v>0</v>
      </c>
    </row>
    <row r="137" spans="1:32" hidden="1" x14ac:dyDescent="0.2">
      <c r="A137" s="28">
        <v>690</v>
      </c>
      <c r="B137" s="28" t="s">
        <v>146</v>
      </c>
      <c r="C137" s="30">
        <v>33.700000000000003</v>
      </c>
      <c r="D137" s="30">
        <v>33.700000000000003</v>
      </c>
      <c r="E137" s="30">
        <v>33.700000000000003</v>
      </c>
      <c r="F137" s="30">
        <v>33.700000000000003</v>
      </c>
      <c r="G137" s="30">
        <v>33.700000000000003</v>
      </c>
      <c r="H137" s="30">
        <v>46</v>
      </c>
      <c r="I137" s="54">
        <f t="shared" si="17"/>
        <v>0.73260869565217401</v>
      </c>
      <c r="J137" s="54">
        <f t="shared" si="17"/>
        <v>0.73260869565217401</v>
      </c>
      <c r="K137" s="54">
        <f t="shared" si="17"/>
        <v>0.73260869565217401</v>
      </c>
      <c r="L137" s="54">
        <f t="shared" si="17"/>
        <v>0.73260869565217401</v>
      </c>
      <c r="M137" s="54">
        <f t="shared" si="17"/>
        <v>0.73260869565217401</v>
      </c>
      <c r="N137" s="51">
        <f>FORESTS2[[#This Row],[Area_2020]]-FORESTS2[[#This Row],[Area_1990]]</f>
        <v>0</v>
      </c>
      <c r="O137" s="51">
        <f>ABS(FORESTS2[[#This Row],[Area_Delta]])</f>
        <v>0</v>
      </c>
      <c r="P137" s="54">
        <f>FORESTS2[[#This Row],[Area_2020_%]]-FORESTS2[[#This Row],[Area_1990_%]]</f>
        <v>0</v>
      </c>
      <c r="Q137" s="54" t="b">
        <f t="shared" si="18"/>
        <v>0</v>
      </c>
      <c r="R137" s="51">
        <f t="shared" si="19"/>
        <v>0</v>
      </c>
      <c r="S137" s="51">
        <f t="shared" si="20"/>
        <v>0</v>
      </c>
      <c r="T137" s="48">
        <f t="shared" si="21"/>
        <v>0</v>
      </c>
      <c r="U137" s="48">
        <v>73.260000000000005</v>
      </c>
      <c r="V137" s="30" t="s">
        <v>247</v>
      </c>
      <c r="W137" s="30" t="s">
        <v>247</v>
      </c>
      <c r="X137" s="38">
        <f t="shared" si="22"/>
        <v>0</v>
      </c>
      <c r="Y137" s="38">
        <f t="shared" si="22"/>
        <v>0</v>
      </c>
      <c r="Z137" s="38">
        <f t="shared" si="22"/>
        <v>0</v>
      </c>
      <c r="AA137" s="38">
        <f t="shared" si="22"/>
        <v>0</v>
      </c>
      <c r="AB137" s="38">
        <f>FORESTS2[[#This Row],[Column7]]+FORESTS2[[#This Row],[Column8]]</f>
        <v>0</v>
      </c>
      <c r="AC137" s="63">
        <f t="shared" si="23"/>
        <v>0</v>
      </c>
      <c r="AD137" s="63">
        <f t="shared" si="23"/>
        <v>0</v>
      </c>
      <c r="AE137" s="63">
        <f t="shared" si="24"/>
        <v>0</v>
      </c>
      <c r="AF137" s="63">
        <f t="shared" si="24"/>
        <v>0</v>
      </c>
    </row>
    <row r="138" spans="1:32" hidden="1" x14ac:dyDescent="0.2">
      <c r="A138" s="28">
        <v>528</v>
      </c>
      <c r="B138" s="28" t="s">
        <v>116</v>
      </c>
      <c r="C138" s="30">
        <v>345.33</v>
      </c>
      <c r="D138" s="30">
        <v>359.5</v>
      </c>
      <c r="E138" s="30">
        <v>373.48</v>
      </c>
      <c r="F138" s="30">
        <v>364.83</v>
      </c>
      <c r="G138" s="30">
        <v>369.5</v>
      </c>
      <c r="H138" s="30">
        <v>3369</v>
      </c>
      <c r="I138" s="54">
        <f t="shared" si="17"/>
        <v>0.10250222617987532</v>
      </c>
      <c r="J138" s="54">
        <f t="shared" si="17"/>
        <v>0.10670822202433956</v>
      </c>
      <c r="K138" s="54">
        <f t="shared" si="17"/>
        <v>0.11085782131196201</v>
      </c>
      <c r="L138" s="54">
        <f t="shared" si="17"/>
        <v>0.10829029385574354</v>
      </c>
      <c r="M138" s="54">
        <f t="shared" si="17"/>
        <v>0.10967646185811813</v>
      </c>
      <c r="N138" s="51">
        <f>FORESTS2[[#This Row],[Area_2020]]-FORESTS2[[#This Row],[Area_1990]]</f>
        <v>24.170000000000016</v>
      </c>
      <c r="O138" s="51">
        <f>ABS(FORESTS2[[#This Row],[Area_Delta]])</f>
        <v>24.170000000000016</v>
      </c>
      <c r="P138" s="54">
        <f>FORESTS2[[#This Row],[Area_2020_%]]-FORESTS2[[#This Row],[Area_1990_%]]</f>
        <v>7.1742356782428102E-3</v>
      </c>
      <c r="Q138" s="54" t="b">
        <f t="shared" si="18"/>
        <v>1</v>
      </c>
      <c r="R138" s="51">
        <f t="shared" si="19"/>
        <v>24.170000000000016</v>
      </c>
      <c r="S138" s="51">
        <f t="shared" si="20"/>
        <v>0</v>
      </c>
      <c r="T138" s="48">
        <f t="shared" si="21"/>
        <v>1</v>
      </c>
      <c r="U138" s="48">
        <v>10.97</v>
      </c>
      <c r="V138" s="30">
        <v>2.19</v>
      </c>
      <c r="W138" s="30">
        <v>0.02</v>
      </c>
      <c r="X138" s="38">
        <f t="shared" si="22"/>
        <v>14.170000000000016</v>
      </c>
      <c r="Y138" s="38">
        <f t="shared" si="22"/>
        <v>13.980000000000018</v>
      </c>
      <c r="Z138" s="38">
        <f t="shared" si="22"/>
        <v>-8.6500000000000341</v>
      </c>
      <c r="AA138" s="38">
        <f t="shared" si="22"/>
        <v>4.6700000000000159</v>
      </c>
      <c r="AB138" s="38">
        <f>FORESTS2[[#This Row],[Column7]]+FORESTS2[[#This Row],[Column8]]</f>
        <v>-3.9800000000000182</v>
      </c>
      <c r="AC138" s="63">
        <f t="shared" si="23"/>
        <v>1.4170000000000016</v>
      </c>
      <c r="AD138" s="63">
        <f t="shared" si="23"/>
        <v>1.3980000000000019</v>
      </c>
      <c r="AE138" s="63">
        <f t="shared" si="24"/>
        <v>-1.7300000000000069</v>
      </c>
      <c r="AF138" s="63">
        <f t="shared" si="24"/>
        <v>0.93400000000000316</v>
      </c>
    </row>
    <row r="139" spans="1:32" hidden="1" x14ac:dyDescent="0.2">
      <c r="A139" s="28">
        <v>466</v>
      </c>
      <c r="B139" s="28" t="s">
        <v>100</v>
      </c>
      <c r="C139" s="38">
        <v>13296</v>
      </c>
      <c r="D139" s="38">
        <v>13296</v>
      </c>
      <c r="E139" s="38">
        <v>13296</v>
      </c>
      <c r="F139" s="38">
        <v>13296</v>
      </c>
      <c r="G139" s="38">
        <v>13296</v>
      </c>
      <c r="H139" s="38">
        <v>122019</v>
      </c>
      <c r="I139" s="54">
        <f t="shared" si="17"/>
        <v>0.10896663634352027</v>
      </c>
      <c r="J139" s="54">
        <f t="shared" si="17"/>
        <v>0.10896663634352027</v>
      </c>
      <c r="K139" s="54">
        <f t="shared" si="17"/>
        <v>0.10896663634352027</v>
      </c>
      <c r="L139" s="54">
        <f t="shared" si="17"/>
        <v>0.10896663634352027</v>
      </c>
      <c r="M139" s="54">
        <f t="shared" si="17"/>
        <v>0.10896663634352027</v>
      </c>
      <c r="N139" s="51">
        <f>FORESTS2[[#This Row],[Area_2020]]-FORESTS2[[#This Row],[Area_1990]]</f>
        <v>0</v>
      </c>
      <c r="O139" s="51">
        <f>ABS(FORESTS2[[#This Row],[Area_Delta]])</f>
        <v>0</v>
      </c>
      <c r="P139" s="54">
        <f>FORESTS2[[#This Row],[Area_2020_%]]-FORESTS2[[#This Row],[Area_1990_%]]</f>
        <v>0</v>
      </c>
      <c r="Q139" s="54" t="b">
        <f t="shared" si="18"/>
        <v>0</v>
      </c>
      <c r="R139" s="51">
        <f t="shared" si="19"/>
        <v>0</v>
      </c>
      <c r="S139" s="51">
        <f t="shared" si="20"/>
        <v>0</v>
      </c>
      <c r="T139" s="62">
        <f t="shared" si="21"/>
        <v>0</v>
      </c>
      <c r="U139" s="43">
        <v>10.9</v>
      </c>
      <c r="V139" s="30">
        <v>0</v>
      </c>
      <c r="W139" s="38" t="s">
        <v>247</v>
      </c>
      <c r="X139" s="38">
        <f t="shared" si="22"/>
        <v>0</v>
      </c>
      <c r="Y139" s="38">
        <f t="shared" si="22"/>
        <v>0</v>
      </c>
      <c r="Z139" s="38">
        <f t="shared" si="22"/>
        <v>0</v>
      </c>
      <c r="AA139" s="38">
        <f t="shared" si="22"/>
        <v>0</v>
      </c>
      <c r="AB139" s="38">
        <f>FORESTS2[[#This Row],[Column7]]+FORESTS2[[#This Row],[Column8]]</f>
        <v>0</v>
      </c>
      <c r="AC139" s="63">
        <f t="shared" si="23"/>
        <v>0</v>
      </c>
      <c r="AD139" s="63">
        <f t="shared" si="23"/>
        <v>0</v>
      </c>
      <c r="AE139" s="63">
        <f t="shared" si="24"/>
        <v>0</v>
      </c>
      <c r="AF139" s="63">
        <f t="shared" si="24"/>
        <v>0</v>
      </c>
    </row>
    <row r="140" spans="1:32" hidden="1" x14ac:dyDescent="0.2">
      <c r="A140" s="28">
        <v>108</v>
      </c>
      <c r="B140" s="28" t="s">
        <v>24</v>
      </c>
      <c r="C140" s="30">
        <v>276.48</v>
      </c>
      <c r="D140" s="30">
        <v>193.94</v>
      </c>
      <c r="E140" s="30">
        <v>193.94</v>
      </c>
      <c r="F140" s="30">
        <v>279.64</v>
      </c>
      <c r="G140" s="30">
        <v>279.64</v>
      </c>
      <c r="H140" s="30">
        <v>2568</v>
      </c>
      <c r="I140" s="54">
        <f t="shared" si="17"/>
        <v>0.10766355140186916</v>
      </c>
      <c r="J140" s="54">
        <f t="shared" si="17"/>
        <v>7.5521806853582549E-2</v>
      </c>
      <c r="K140" s="54">
        <f t="shared" si="17"/>
        <v>7.5521806853582549E-2</v>
      </c>
      <c r="L140" s="54">
        <f t="shared" si="17"/>
        <v>0.10889408099688473</v>
      </c>
      <c r="M140" s="54">
        <f t="shared" si="17"/>
        <v>0.10889408099688473</v>
      </c>
      <c r="N140" s="51">
        <f>FORESTS2[[#This Row],[Area_2020]]-FORESTS2[[#This Row],[Area_1990]]</f>
        <v>3.1599999999999682</v>
      </c>
      <c r="O140" s="51">
        <f>ABS(FORESTS2[[#This Row],[Area_Delta]])</f>
        <v>3.1599999999999682</v>
      </c>
      <c r="P140" s="54">
        <f>FORESTS2[[#This Row],[Area_2020_%]]-FORESTS2[[#This Row],[Area_1990_%]]</f>
        <v>1.2305295950155726E-3</v>
      </c>
      <c r="Q140" s="54" t="b">
        <f t="shared" si="18"/>
        <v>1</v>
      </c>
      <c r="R140" s="51">
        <f t="shared" si="19"/>
        <v>3.1599999999999682</v>
      </c>
      <c r="S140" s="51">
        <f t="shared" si="20"/>
        <v>0</v>
      </c>
      <c r="T140" s="48">
        <f t="shared" si="21"/>
        <v>1</v>
      </c>
      <c r="U140" s="48">
        <v>10.89</v>
      </c>
      <c r="V140" s="30">
        <v>0</v>
      </c>
      <c r="W140" s="30">
        <v>47.32</v>
      </c>
      <c r="X140" s="38">
        <f t="shared" si="22"/>
        <v>-82.54000000000002</v>
      </c>
      <c r="Y140" s="38">
        <f t="shared" si="22"/>
        <v>0</v>
      </c>
      <c r="Z140" s="38">
        <f t="shared" si="22"/>
        <v>85.699999999999989</v>
      </c>
      <c r="AA140" s="38">
        <f t="shared" si="22"/>
        <v>0</v>
      </c>
      <c r="AB140" s="38">
        <f>FORESTS2[[#This Row],[Column7]]+FORESTS2[[#This Row],[Column8]]</f>
        <v>85.699999999999989</v>
      </c>
      <c r="AC140" s="63">
        <f t="shared" si="23"/>
        <v>-8.2540000000000013</v>
      </c>
      <c r="AD140" s="63">
        <f t="shared" si="23"/>
        <v>0</v>
      </c>
      <c r="AE140" s="63">
        <f t="shared" si="24"/>
        <v>17.139999999999997</v>
      </c>
      <c r="AF140" s="63">
        <f t="shared" si="24"/>
        <v>0</v>
      </c>
    </row>
    <row r="141" spans="1:32" hidden="1" x14ac:dyDescent="0.2">
      <c r="A141" s="28">
        <v>534</v>
      </c>
      <c r="B141" s="28" t="s">
        <v>214</v>
      </c>
      <c r="C141" s="30">
        <v>0.37</v>
      </c>
      <c r="D141" s="30">
        <v>0.37</v>
      </c>
      <c r="E141" s="30">
        <v>0.37</v>
      </c>
      <c r="F141" s="30">
        <v>0.37</v>
      </c>
      <c r="G141" s="30">
        <v>0.37</v>
      </c>
      <c r="H141" s="30">
        <v>3.4</v>
      </c>
      <c r="I141" s="54">
        <f t="shared" si="17"/>
        <v>0.10882352941176471</v>
      </c>
      <c r="J141" s="54">
        <f t="shared" si="17"/>
        <v>0.10882352941176471</v>
      </c>
      <c r="K141" s="54">
        <f t="shared" si="17"/>
        <v>0.10882352941176471</v>
      </c>
      <c r="L141" s="54">
        <f t="shared" si="17"/>
        <v>0.10882352941176471</v>
      </c>
      <c r="M141" s="54">
        <f t="shared" si="17"/>
        <v>0.10882352941176471</v>
      </c>
      <c r="N141" s="51">
        <f>FORESTS2[[#This Row],[Area_2020]]-FORESTS2[[#This Row],[Area_1990]]</f>
        <v>0</v>
      </c>
      <c r="O141" s="51">
        <f>ABS(FORESTS2[[#This Row],[Area_Delta]])</f>
        <v>0</v>
      </c>
      <c r="P141" s="54">
        <f>FORESTS2[[#This Row],[Area_2020_%]]-FORESTS2[[#This Row],[Area_1990_%]]</f>
        <v>0</v>
      </c>
      <c r="Q141" s="54" t="b">
        <f t="shared" si="18"/>
        <v>0</v>
      </c>
      <c r="R141" s="51">
        <f t="shared" si="19"/>
        <v>0</v>
      </c>
      <c r="S141" s="51">
        <f t="shared" si="20"/>
        <v>0</v>
      </c>
      <c r="T141" s="48">
        <f t="shared" si="21"/>
        <v>0</v>
      </c>
      <c r="U141" s="48">
        <v>10.88</v>
      </c>
      <c r="V141" s="30" t="s">
        <v>247</v>
      </c>
      <c r="W141" s="30" t="s">
        <v>247</v>
      </c>
      <c r="X141" s="38">
        <f t="shared" si="22"/>
        <v>0</v>
      </c>
      <c r="Y141" s="38">
        <f t="shared" si="22"/>
        <v>0</v>
      </c>
      <c r="Z141" s="38">
        <f t="shared" si="22"/>
        <v>0</v>
      </c>
      <c r="AA141" s="38">
        <f t="shared" si="22"/>
        <v>0</v>
      </c>
      <c r="AB141" s="38">
        <f>FORESTS2[[#This Row],[Column7]]+FORESTS2[[#This Row],[Column8]]</f>
        <v>0</v>
      </c>
      <c r="AC141" s="63">
        <f t="shared" si="23"/>
        <v>0</v>
      </c>
      <c r="AD141" s="63">
        <f t="shared" si="23"/>
        <v>0</v>
      </c>
      <c r="AE141" s="63">
        <f t="shared" si="24"/>
        <v>0</v>
      </c>
      <c r="AF141" s="63">
        <f t="shared" si="24"/>
        <v>0</v>
      </c>
    </row>
    <row r="142" spans="1:32" hidden="1" x14ac:dyDescent="0.2">
      <c r="A142" s="28">
        <v>570</v>
      </c>
      <c r="B142" s="28" t="s">
        <v>121</v>
      </c>
      <c r="C142" s="30">
        <v>18.93</v>
      </c>
      <c r="D142" s="30">
        <v>18.829999999999998</v>
      </c>
      <c r="E142" s="30">
        <v>18.77</v>
      </c>
      <c r="F142" s="30">
        <v>18.82</v>
      </c>
      <c r="G142" s="30">
        <v>18.87</v>
      </c>
      <c r="H142" s="30">
        <v>26</v>
      </c>
      <c r="I142" s="54">
        <f t="shared" si="17"/>
        <v>0.72807692307692307</v>
      </c>
      <c r="J142" s="54">
        <f t="shared" si="17"/>
        <v>0.72423076923076912</v>
      </c>
      <c r="K142" s="54">
        <f t="shared" si="17"/>
        <v>0.72192307692307689</v>
      </c>
      <c r="L142" s="54">
        <f t="shared" si="17"/>
        <v>0.72384615384615381</v>
      </c>
      <c r="M142" s="54">
        <f t="shared" si="17"/>
        <v>0.72576923076923083</v>
      </c>
      <c r="N142" s="51">
        <f>FORESTS2[[#This Row],[Area_2020]]-FORESTS2[[#This Row],[Area_1990]]</f>
        <v>-5.9999999999998721E-2</v>
      </c>
      <c r="O142" s="51">
        <f>ABS(FORESTS2[[#This Row],[Area_Delta]])</f>
        <v>5.9999999999998721E-2</v>
      </c>
      <c r="P142" s="54">
        <f>FORESTS2[[#This Row],[Area_2020_%]]-FORESTS2[[#This Row],[Area_1990_%]]</f>
        <v>-2.3076923076922329E-3</v>
      </c>
      <c r="Q142" s="54" t="b">
        <f t="shared" si="18"/>
        <v>0</v>
      </c>
      <c r="R142" s="51">
        <f t="shared" si="19"/>
        <v>0</v>
      </c>
      <c r="S142" s="51">
        <f t="shared" si="20"/>
        <v>5.9999999999998721E-2</v>
      </c>
      <c r="T142" s="48">
        <f t="shared" si="21"/>
        <v>2</v>
      </c>
      <c r="U142" s="48">
        <v>72.58</v>
      </c>
      <c r="V142" s="30" t="s">
        <v>247</v>
      </c>
      <c r="W142" s="30" t="s">
        <v>247</v>
      </c>
      <c r="X142" s="38">
        <f t="shared" si="22"/>
        <v>-0.10000000000000142</v>
      </c>
      <c r="Y142" s="38">
        <f t="shared" si="22"/>
        <v>-5.9999999999998721E-2</v>
      </c>
      <c r="Z142" s="38">
        <f t="shared" si="22"/>
        <v>5.0000000000000711E-2</v>
      </c>
      <c r="AA142" s="38">
        <f t="shared" si="22"/>
        <v>5.0000000000000711E-2</v>
      </c>
      <c r="AB142" s="38">
        <f>FORESTS2[[#This Row],[Column7]]+FORESTS2[[#This Row],[Column8]]</f>
        <v>0.10000000000000142</v>
      </c>
      <c r="AC142" s="63">
        <f t="shared" si="23"/>
        <v>-1.0000000000000142E-2</v>
      </c>
      <c r="AD142" s="63">
        <f t="shared" si="23"/>
        <v>-5.9999999999998718E-3</v>
      </c>
      <c r="AE142" s="63">
        <f t="shared" si="24"/>
        <v>1.0000000000000142E-2</v>
      </c>
      <c r="AF142" s="63">
        <f t="shared" si="24"/>
        <v>1.0000000000000142E-2</v>
      </c>
    </row>
    <row r="143" spans="1:32" hidden="1" x14ac:dyDescent="0.2">
      <c r="A143" s="28">
        <v>232</v>
      </c>
      <c r="B143" s="28" t="s">
        <v>51</v>
      </c>
      <c r="C143" s="46">
        <v>1150.06</v>
      </c>
      <c r="D143" s="46">
        <v>1118.46</v>
      </c>
      <c r="E143" s="46">
        <v>1086.8599999999999</v>
      </c>
      <c r="F143" s="46">
        <v>1071.06</v>
      </c>
      <c r="G143" s="46">
        <v>1055.26</v>
      </c>
      <c r="H143" s="46">
        <v>10100</v>
      </c>
      <c r="I143" s="54">
        <f t="shared" si="17"/>
        <v>0.11386732673267326</v>
      </c>
      <c r="J143" s="54">
        <f t="shared" si="17"/>
        <v>0.11073861386138614</v>
      </c>
      <c r="K143" s="54">
        <f t="shared" si="17"/>
        <v>0.107609900990099</v>
      </c>
      <c r="L143" s="54">
        <f t="shared" si="17"/>
        <v>0.10604554455445545</v>
      </c>
      <c r="M143" s="54">
        <f t="shared" si="17"/>
        <v>0.10448118811881188</v>
      </c>
      <c r="N143" s="51">
        <f>FORESTS2[[#This Row],[Area_2020]]-FORESTS2[[#This Row],[Area_1990]]</f>
        <v>-94.799999999999955</v>
      </c>
      <c r="O143" s="51">
        <f>ABS(FORESTS2[[#This Row],[Area_Delta]])</f>
        <v>94.799999999999955</v>
      </c>
      <c r="P143" s="54">
        <f>FORESTS2[[#This Row],[Area_2020_%]]-FORESTS2[[#This Row],[Area_1990_%]]</f>
        <v>-9.3861386138613806E-3</v>
      </c>
      <c r="Q143" s="54" t="b">
        <f t="shared" si="18"/>
        <v>0</v>
      </c>
      <c r="R143" s="51">
        <f t="shared" si="19"/>
        <v>0</v>
      </c>
      <c r="S143" s="51">
        <f t="shared" si="20"/>
        <v>94.799999999999955</v>
      </c>
      <c r="T143" s="48">
        <f t="shared" si="21"/>
        <v>4</v>
      </c>
      <c r="U143" s="43">
        <v>10.45</v>
      </c>
      <c r="V143" s="30" t="s">
        <v>247</v>
      </c>
      <c r="W143" s="38" t="s">
        <v>247</v>
      </c>
      <c r="X143" s="38">
        <f t="shared" si="22"/>
        <v>-31.599999999999909</v>
      </c>
      <c r="Y143" s="38">
        <f t="shared" si="22"/>
        <v>-31.600000000000136</v>
      </c>
      <c r="Z143" s="38">
        <f t="shared" si="22"/>
        <v>-15.799999999999955</v>
      </c>
      <c r="AA143" s="38">
        <f t="shared" si="22"/>
        <v>-15.799999999999955</v>
      </c>
      <c r="AB143" s="38">
        <f>FORESTS2[[#This Row],[Column7]]+FORESTS2[[#This Row],[Column8]]</f>
        <v>-31.599999999999909</v>
      </c>
      <c r="AC143" s="63">
        <f t="shared" si="23"/>
        <v>-3.1599999999999908</v>
      </c>
      <c r="AD143" s="63">
        <f t="shared" si="23"/>
        <v>-3.1600000000000135</v>
      </c>
      <c r="AE143" s="63">
        <f t="shared" si="24"/>
        <v>-3.1599999999999908</v>
      </c>
      <c r="AF143" s="63">
        <f t="shared" si="24"/>
        <v>-3.1599999999999908</v>
      </c>
    </row>
    <row r="144" spans="1:32" hidden="1" x14ac:dyDescent="0.2">
      <c r="A144" s="28">
        <v>136</v>
      </c>
      <c r="B144" s="28" t="s">
        <v>208</v>
      </c>
      <c r="C144" s="30">
        <v>13.13</v>
      </c>
      <c r="D144" s="30">
        <v>12.93</v>
      </c>
      <c r="E144" s="30">
        <v>12.72</v>
      </c>
      <c r="F144" s="30">
        <v>12.72</v>
      </c>
      <c r="G144" s="30">
        <v>12.72</v>
      </c>
      <c r="H144" s="30">
        <v>24</v>
      </c>
      <c r="I144" s="54">
        <f t="shared" si="17"/>
        <v>0.54708333333333337</v>
      </c>
      <c r="J144" s="54">
        <f t="shared" si="17"/>
        <v>0.53874999999999995</v>
      </c>
      <c r="K144" s="54">
        <f t="shared" si="17"/>
        <v>0.53</v>
      </c>
      <c r="L144" s="54">
        <f t="shared" si="17"/>
        <v>0.53</v>
      </c>
      <c r="M144" s="54">
        <f t="shared" si="17"/>
        <v>0.53</v>
      </c>
      <c r="N144" s="51">
        <f>FORESTS2[[#This Row],[Area_2020]]-FORESTS2[[#This Row],[Area_1990]]</f>
        <v>-0.41000000000000014</v>
      </c>
      <c r="O144" s="51">
        <f>ABS(FORESTS2[[#This Row],[Area_Delta]])</f>
        <v>0.41000000000000014</v>
      </c>
      <c r="P144" s="54">
        <f>FORESTS2[[#This Row],[Area_2020_%]]-FORESTS2[[#This Row],[Area_1990_%]]</f>
        <v>-1.7083333333333339E-2</v>
      </c>
      <c r="Q144" s="54" t="b">
        <f t="shared" si="18"/>
        <v>0</v>
      </c>
      <c r="R144" s="51">
        <f t="shared" si="19"/>
        <v>0</v>
      </c>
      <c r="S144" s="51">
        <f t="shared" si="20"/>
        <v>0.41000000000000014</v>
      </c>
      <c r="T144" s="48">
        <f t="shared" si="21"/>
        <v>2</v>
      </c>
      <c r="U144" s="48">
        <v>53</v>
      </c>
      <c r="V144" s="30">
        <v>0</v>
      </c>
      <c r="W144" s="30">
        <v>0</v>
      </c>
      <c r="X144" s="38">
        <f t="shared" si="22"/>
        <v>-0.20000000000000107</v>
      </c>
      <c r="Y144" s="38">
        <f t="shared" si="22"/>
        <v>-0.20999999999999908</v>
      </c>
      <c r="Z144" s="38">
        <f t="shared" si="22"/>
        <v>0</v>
      </c>
      <c r="AA144" s="38">
        <f t="shared" si="22"/>
        <v>0</v>
      </c>
      <c r="AB144" s="38">
        <f>FORESTS2[[#This Row],[Column7]]+FORESTS2[[#This Row],[Column8]]</f>
        <v>0</v>
      </c>
      <c r="AC144" s="63">
        <f t="shared" si="23"/>
        <v>-2.0000000000000108E-2</v>
      </c>
      <c r="AD144" s="63">
        <f t="shared" si="23"/>
        <v>-2.0999999999999908E-2</v>
      </c>
      <c r="AE144" s="63">
        <f t="shared" si="24"/>
        <v>0</v>
      </c>
      <c r="AF144" s="63">
        <f t="shared" si="24"/>
        <v>0</v>
      </c>
    </row>
    <row r="145" spans="1:32" x14ac:dyDescent="0.2">
      <c r="A145" s="28">
        <v>68</v>
      </c>
      <c r="B145" s="28" t="s">
        <v>18</v>
      </c>
      <c r="C145" s="46">
        <v>57804.72</v>
      </c>
      <c r="D145" s="46">
        <v>55101.39</v>
      </c>
      <c r="E145" s="46">
        <v>53086.01</v>
      </c>
      <c r="F145" s="46">
        <v>52027.22</v>
      </c>
      <c r="G145" s="46">
        <v>50833.760000000002</v>
      </c>
      <c r="H145" s="46">
        <v>108330</v>
      </c>
      <c r="I145" s="54">
        <f t="shared" si="17"/>
        <v>0.53359844918305177</v>
      </c>
      <c r="J145" s="54">
        <f t="shared" si="17"/>
        <v>0.50864386596510658</v>
      </c>
      <c r="K145" s="54">
        <f t="shared" si="17"/>
        <v>0.49003978583956431</v>
      </c>
      <c r="L145" s="54">
        <f t="shared" si="17"/>
        <v>0.48026603895504477</v>
      </c>
      <c r="M145" s="54">
        <f t="shared" si="17"/>
        <v>0.46924914612757318</v>
      </c>
      <c r="N145" s="51">
        <f>FORESTS2[[#This Row],[Area_2020]]-FORESTS2[[#This Row],[Area_1990]]</f>
        <v>-6970.9599999999991</v>
      </c>
      <c r="O145" s="51">
        <f>ABS(FORESTS2[[#This Row],[Area_Delta]])</f>
        <v>6970.9599999999991</v>
      </c>
      <c r="P145" s="54">
        <f>FORESTS2[[#This Row],[Area_2020_%]]-FORESTS2[[#This Row],[Area_1990_%]]</f>
        <v>-6.4349303055478591E-2</v>
      </c>
      <c r="Q145" s="48" t="b">
        <f t="shared" si="18"/>
        <v>0</v>
      </c>
      <c r="R145" s="51">
        <f t="shared" si="19"/>
        <v>0</v>
      </c>
      <c r="S145" s="51">
        <f t="shared" si="20"/>
        <v>6970.9599999999991</v>
      </c>
      <c r="T145" s="62">
        <f t="shared" si="21"/>
        <v>4</v>
      </c>
      <c r="U145" s="43">
        <v>46.92</v>
      </c>
      <c r="V145" s="30">
        <v>242.54</v>
      </c>
      <c r="W145" s="38">
        <v>255.87</v>
      </c>
      <c r="X145" s="38">
        <f t="shared" si="22"/>
        <v>-2703.3300000000017</v>
      </c>
      <c r="Y145" s="38">
        <f t="shared" si="22"/>
        <v>-2015.3799999999974</v>
      </c>
      <c r="Z145" s="38">
        <f t="shared" si="22"/>
        <v>-1058.7900000000009</v>
      </c>
      <c r="AA145" s="38">
        <f t="shared" si="22"/>
        <v>-1193.4599999999991</v>
      </c>
      <c r="AB145" s="38">
        <f>FORESTS2[[#This Row],[Column7]]+FORESTS2[[#This Row],[Column8]]</f>
        <v>-2252.25</v>
      </c>
      <c r="AC145" s="63">
        <f t="shared" si="23"/>
        <v>-270.3330000000002</v>
      </c>
      <c r="AD145" s="63">
        <f t="shared" si="23"/>
        <v>-201.53799999999973</v>
      </c>
      <c r="AE145" s="63">
        <f t="shared" si="24"/>
        <v>-211.75800000000018</v>
      </c>
      <c r="AF145" s="63">
        <f t="shared" si="24"/>
        <v>-238.69199999999984</v>
      </c>
    </row>
    <row r="146" spans="1:32" x14ac:dyDescent="0.2">
      <c r="A146" s="28">
        <v>862</v>
      </c>
      <c r="B146" s="28" t="s">
        <v>181</v>
      </c>
      <c r="C146" s="46">
        <v>52026</v>
      </c>
      <c r="D146" s="46">
        <v>49151</v>
      </c>
      <c r="E146" s="46">
        <v>47505</v>
      </c>
      <c r="F146" s="46">
        <v>46683</v>
      </c>
      <c r="G146" s="46">
        <v>46230.9</v>
      </c>
      <c r="H146" s="46">
        <v>88205</v>
      </c>
      <c r="I146" s="54">
        <f t="shared" si="17"/>
        <v>0.5898305084745763</v>
      </c>
      <c r="J146" s="54">
        <f t="shared" si="17"/>
        <v>0.5572359843546284</v>
      </c>
      <c r="K146" s="54">
        <f t="shared" si="17"/>
        <v>0.53857491071934693</v>
      </c>
      <c r="L146" s="54">
        <f t="shared" si="17"/>
        <v>0.52925571112748715</v>
      </c>
      <c r="M146" s="54">
        <f t="shared" si="17"/>
        <v>0.52413015135196417</v>
      </c>
      <c r="N146" s="51">
        <f>FORESTS2[[#This Row],[Area_2020]]-FORESTS2[[#This Row],[Area_1990]]</f>
        <v>-5795.0999999999985</v>
      </c>
      <c r="O146" s="51">
        <f>ABS(FORESTS2[[#This Row],[Area_Delta]])</f>
        <v>5795.0999999999985</v>
      </c>
      <c r="P146" s="54">
        <f>FORESTS2[[#This Row],[Area_2020_%]]-FORESTS2[[#This Row],[Area_1990_%]]</f>
        <v>-6.570035712261213E-2</v>
      </c>
      <c r="Q146" s="48" t="b">
        <f t="shared" si="18"/>
        <v>0</v>
      </c>
      <c r="R146" s="51">
        <f t="shared" si="19"/>
        <v>0</v>
      </c>
      <c r="S146" s="51">
        <f t="shared" si="20"/>
        <v>5795.0999999999985</v>
      </c>
      <c r="T146" s="62">
        <f t="shared" si="21"/>
        <v>4</v>
      </c>
      <c r="U146" s="43">
        <v>52.41</v>
      </c>
      <c r="V146" s="30">
        <v>108.29</v>
      </c>
      <c r="W146" s="38" t="s">
        <v>247</v>
      </c>
      <c r="X146" s="38">
        <f t="shared" si="22"/>
        <v>-2875</v>
      </c>
      <c r="Y146" s="38">
        <f t="shared" si="22"/>
        <v>-1646</v>
      </c>
      <c r="Z146" s="38">
        <f t="shared" si="22"/>
        <v>-822</v>
      </c>
      <c r="AA146" s="38">
        <f t="shared" si="22"/>
        <v>-452.09999999999854</v>
      </c>
      <c r="AB146" s="38">
        <f>FORESTS2[[#This Row],[Column7]]+FORESTS2[[#This Row],[Column8]]</f>
        <v>-1274.0999999999985</v>
      </c>
      <c r="AC146" s="63">
        <f t="shared" si="23"/>
        <v>-287.5</v>
      </c>
      <c r="AD146" s="63">
        <f t="shared" si="23"/>
        <v>-164.6</v>
      </c>
      <c r="AE146" s="63">
        <f t="shared" si="24"/>
        <v>-164.4</v>
      </c>
      <c r="AF146" s="63">
        <f t="shared" si="24"/>
        <v>-90.419999999999703</v>
      </c>
    </row>
    <row r="147" spans="1:32" hidden="1" x14ac:dyDescent="0.2">
      <c r="A147" s="28">
        <v>706</v>
      </c>
      <c r="B147" s="28" t="s">
        <v>152</v>
      </c>
      <c r="C147" s="46">
        <v>8282.5</v>
      </c>
      <c r="D147" s="46">
        <v>7515</v>
      </c>
      <c r="E147" s="46">
        <v>6747.5</v>
      </c>
      <c r="F147" s="46">
        <v>6363.75</v>
      </c>
      <c r="G147" s="46">
        <v>5980</v>
      </c>
      <c r="H147" s="46">
        <v>62734</v>
      </c>
      <c r="I147" s="54">
        <f t="shared" si="17"/>
        <v>0.13202569579494372</v>
      </c>
      <c r="J147" s="54">
        <f t="shared" si="17"/>
        <v>0.11979150062167246</v>
      </c>
      <c r="K147" s="54">
        <f t="shared" si="17"/>
        <v>0.10755730544840118</v>
      </c>
      <c r="L147" s="54">
        <f t="shared" si="17"/>
        <v>0.10144020786176555</v>
      </c>
      <c r="M147" s="54">
        <f t="shared" si="17"/>
        <v>9.5323110275129908E-2</v>
      </c>
      <c r="N147" s="51">
        <f>FORESTS2[[#This Row],[Area_2020]]-FORESTS2[[#This Row],[Area_1990]]</f>
        <v>-2302.5</v>
      </c>
      <c r="O147" s="51">
        <f>ABS(FORESTS2[[#This Row],[Area_Delta]])</f>
        <v>2302.5</v>
      </c>
      <c r="P147" s="54">
        <f>FORESTS2[[#This Row],[Area_2020_%]]-FORESTS2[[#This Row],[Area_1990_%]]</f>
        <v>-3.6702585519813813E-2</v>
      </c>
      <c r="Q147" s="54" t="b">
        <f t="shared" si="18"/>
        <v>0</v>
      </c>
      <c r="R147" s="51">
        <f t="shared" si="19"/>
        <v>0</v>
      </c>
      <c r="S147" s="51">
        <f t="shared" si="20"/>
        <v>2302.5</v>
      </c>
      <c r="T147" s="48">
        <f t="shared" si="21"/>
        <v>4</v>
      </c>
      <c r="U147" s="43">
        <v>9.5299999999999994</v>
      </c>
      <c r="V147" s="30">
        <v>76.75</v>
      </c>
      <c r="W147" s="38" t="s">
        <v>247</v>
      </c>
      <c r="X147" s="38">
        <f t="shared" si="22"/>
        <v>-767.5</v>
      </c>
      <c r="Y147" s="38">
        <f t="shared" si="22"/>
        <v>-767.5</v>
      </c>
      <c r="Z147" s="38">
        <f t="shared" si="22"/>
        <v>-383.75</v>
      </c>
      <c r="AA147" s="38">
        <f t="shared" si="22"/>
        <v>-383.75</v>
      </c>
      <c r="AB147" s="38">
        <f>FORESTS2[[#This Row],[Column7]]+FORESTS2[[#This Row],[Column8]]</f>
        <v>-767.5</v>
      </c>
      <c r="AC147" s="63">
        <f t="shared" si="23"/>
        <v>-76.75</v>
      </c>
      <c r="AD147" s="63">
        <f t="shared" si="23"/>
        <v>-76.75</v>
      </c>
      <c r="AE147" s="63">
        <f t="shared" si="24"/>
        <v>-76.75</v>
      </c>
      <c r="AF147" s="63">
        <f t="shared" si="24"/>
        <v>-76.75</v>
      </c>
    </row>
    <row r="148" spans="1:32" hidden="1" x14ac:dyDescent="0.2">
      <c r="A148" s="28">
        <v>16</v>
      </c>
      <c r="B148" s="28" t="s">
        <v>2</v>
      </c>
      <c r="C148" s="46">
        <v>18.07</v>
      </c>
      <c r="D148" s="46">
        <v>17.73</v>
      </c>
      <c r="E148" s="46">
        <v>17.43</v>
      </c>
      <c r="F148" s="46">
        <v>17.28</v>
      </c>
      <c r="G148" s="46">
        <v>17.13</v>
      </c>
      <c r="H148" s="46">
        <v>20</v>
      </c>
      <c r="I148" s="54">
        <f t="shared" si="17"/>
        <v>0.90349999999999997</v>
      </c>
      <c r="J148" s="54">
        <f t="shared" si="17"/>
        <v>0.88650000000000007</v>
      </c>
      <c r="K148" s="54">
        <f t="shared" si="17"/>
        <v>0.87149999999999994</v>
      </c>
      <c r="L148" s="54">
        <f t="shared" si="17"/>
        <v>0.8640000000000001</v>
      </c>
      <c r="M148" s="54">
        <f t="shared" si="17"/>
        <v>0.85649999999999993</v>
      </c>
      <c r="N148" s="51">
        <f>FORESTS2[[#This Row],[Area_2020]]-FORESTS2[[#This Row],[Area_1990]]</f>
        <v>-0.94000000000000128</v>
      </c>
      <c r="O148" s="51">
        <f>ABS(FORESTS2[[#This Row],[Area_Delta]])</f>
        <v>0.94000000000000128</v>
      </c>
      <c r="P148" s="54">
        <f>FORESTS2[[#This Row],[Area_2020_%]]-FORESTS2[[#This Row],[Area_1990_%]]</f>
        <v>-4.7000000000000042E-2</v>
      </c>
      <c r="Q148" s="54" t="b">
        <f t="shared" si="18"/>
        <v>0</v>
      </c>
      <c r="R148" s="51">
        <f t="shared" si="19"/>
        <v>0</v>
      </c>
      <c r="S148" s="51">
        <f t="shared" si="20"/>
        <v>0.94000000000000128</v>
      </c>
      <c r="T148" s="48">
        <f t="shared" si="21"/>
        <v>4</v>
      </c>
      <c r="U148" s="48">
        <v>85.65</v>
      </c>
      <c r="V148" s="30" t="s">
        <v>247</v>
      </c>
      <c r="W148" s="30">
        <v>0</v>
      </c>
      <c r="X148" s="38">
        <f t="shared" si="22"/>
        <v>-0.33999999999999986</v>
      </c>
      <c r="Y148" s="38">
        <f t="shared" si="22"/>
        <v>-0.30000000000000071</v>
      </c>
      <c r="Z148" s="38">
        <f t="shared" si="22"/>
        <v>-0.14999999999999858</v>
      </c>
      <c r="AA148" s="38">
        <f t="shared" si="22"/>
        <v>-0.15000000000000213</v>
      </c>
      <c r="AB148" s="38">
        <f>FORESTS2[[#This Row],[Column7]]+FORESTS2[[#This Row],[Column8]]</f>
        <v>-0.30000000000000071</v>
      </c>
      <c r="AC148" s="63">
        <f t="shared" si="23"/>
        <v>-3.3999999999999989E-2</v>
      </c>
      <c r="AD148" s="63">
        <f t="shared" si="23"/>
        <v>-3.0000000000000072E-2</v>
      </c>
      <c r="AE148" s="63">
        <f t="shared" si="24"/>
        <v>-2.9999999999999714E-2</v>
      </c>
      <c r="AF148" s="63">
        <f t="shared" si="24"/>
        <v>-3.0000000000000426E-2</v>
      </c>
    </row>
    <row r="149" spans="1:32" hidden="1" x14ac:dyDescent="0.2">
      <c r="A149" s="28">
        <v>496</v>
      </c>
      <c r="B149" s="28" t="s">
        <v>109</v>
      </c>
      <c r="C149" s="46">
        <v>14352</v>
      </c>
      <c r="D149" s="46">
        <v>14263.9</v>
      </c>
      <c r="E149" s="46">
        <v>14183.9</v>
      </c>
      <c r="F149" s="46">
        <v>14178.33</v>
      </c>
      <c r="G149" s="46">
        <v>14172.78</v>
      </c>
      <c r="H149" s="46">
        <v>155356</v>
      </c>
      <c r="I149" s="54">
        <f t="shared" si="17"/>
        <v>9.2381369242256497E-2</v>
      </c>
      <c r="J149" s="54">
        <f t="shared" si="17"/>
        <v>9.1814284610829314E-2</v>
      </c>
      <c r="K149" s="54">
        <f t="shared" si="17"/>
        <v>9.1299338293982846E-2</v>
      </c>
      <c r="L149" s="54">
        <f t="shared" si="17"/>
        <v>9.1263485156672416E-2</v>
      </c>
      <c r="M149" s="54">
        <f t="shared" si="17"/>
        <v>9.1227760755941203E-2</v>
      </c>
      <c r="N149" s="51">
        <f>FORESTS2[[#This Row],[Area_2020]]-FORESTS2[[#This Row],[Area_1990]]</f>
        <v>-179.21999999999935</v>
      </c>
      <c r="O149" s="51">
        <f>ABS(FORESTS2[[#This Row],[Area_Delta]])</f>
        <v>179.21999999999935</v>
      </c>
      <c r="P149" s="54">
        <f>FORESTS2[[#This Row],[Area_2020_%]]-FORESTS2[[#This Row],[Area_1990_%]]</f>
        <v>-1.153608486315294E-3</v>
      </c>
      <c r="Q149" s="54" t="b">
        <f t="shared" si="18"/>
        <v>0</v>
      </c>
      <c r="R149" s="51">
        <f t="shared" si="19"/>
        <v>0</v>
      </c>
      <c r="S149" s="51">
        <f t="shared" si="20"/>
        <v>179.21999999999935</v>
      </c>
      <c r="T149" s="62">
        <f t="shared" si="21"/>
        <v>4</v>
      </c>
      <c r="U149" s="43">
        <v>9.1199999999999992</v>
      </c>
      <c r="V149" s="30">
        <v>1.52</v>
      </c>
      <c r="W149" s="38">
        <v>45</v>
      </c>
      <c r="X149" s="38">
        <f t="shared" si="22"/>
        <v>-88.100000000000364</v>
      </c>
      <c r="Y149" s="38">
        <f t="shared" si="22"/>
        <v>-80</v>
      </c>
      <c r="Z149" s="38">
        <f t="shared" si="22"/>
        <v>-5.569999999999709</v>
      </c>
      <c r="AA149" s="38">
        <f t="shared" si="22"/>
        <v>-5.5499999999992724</v>
      </c>
      <c r="AB149" s="38">
        <f>FORESTS2[[#This Row],[Column7]]+FORESTS2[[#This Row],[Column8]]</f>
        <v>-11.119999999998981</v>
      </c>
      <c r="AC149" s="63">
        <f t="shared" si="23"/>
        <v>-8.810000000000036</v>
      </c>
      <c r="AD149" s="63">
        <f t="shared" si="23"/>
        <v>-8</v>
      </c>
      <c r="AE149" s="63">
        <f t="shared" si="24"/>
        <v>-1.1139999999999417</v>
      </c>
      <c r="AF149" s="63">
        <f t="shared" si="24"/>
        <v>-1.1099999999998544</v>
      </c>
    </row>
    <row r="150" spans="1:32" x14ac:dyDescent="0.2">
      <c r="A150" s="28">
        <v>508</v>
      </c>
      <c r="B150" s="28" t="s">
        <v>112</v>
      </c>
      <c r="C150" s="46">
        <v>43378</v>
      </c>
      <c r="D150" s="46">
        <v>41188</v>
      </c>
      <c r="E150" s="46">
        <v>38972.14</v>
      </c>
      <c r="F150" s="46">
        <v>37940</v>
      </c>
      <c r="G150" s="46">
        <v>36743.760000000002</v>
      </c>
      <c r="H150" s="46">
        <v>78638</v>
      </c>
      <c r="I150" s="54">
        <f t="shared" si="17"/>
        <v>0.55161626694473409</v>
      </c>
      <c r="J150" s="54">
        <f t="shared" si="17"/>
        <v>0.52376713548157383</v>
      </c>
      <c r="K150" s="54">
        <f t="shared" si="17"/>
        <v>0.49558915537017728</v>
      </c>
      <c r="L150" s="54">
        <f t="shared" si="17"/>
        <v>0.48246394872707848</v>
      </c>
      <c r="M150" s="54">
        <f t="shared" si="17"/>
        <v>0.46725196469900049</v>
      </c>
      <c r="N150" s="51">
        <f>FORESTS2[[#This Row],[Area_2020]]-FORESTS2[[#This Row],[Area_1990]]</f>
        <v>-6634.239999999998</v>
      </c>
      <c r="O150" s="51">
        <f>ABS(FORESTS2[[#This Row],[Area_Delta]])</f>
        <v>6634.239999999998</v>
      </c>
      <c r="P150" s="54">
        <f>FORESTS2[[#This Row],[Area_2020_%]]-FORESTS2[[#This Row],[Area_1990_%]]</f>
        <v>-8.4364302245733602E-2</v>
      </c>
      <c r="Q150" s="48" t="b">
        <f t="shared" si="18"/>
        <v>0</v>
      </c>
      <c r="R150" s="51">
        <f t="shared" si="19"/>
        <v>0</v>
      </c>
      <c r="S150" s="51">
        <f t="shared" si="20"/>
        <v>6634.239999999998</v>
      </c>
      <c r="T150" s="62">
        <f t="shared" si="21"/>
        <v>4</v>
      </c>
      <c r="U150" s="43">
        <v>46.73</v>
      </c>
      <c r="V150" s="30">
        <v>267.02999999999997</v>
      </c>
      <c r="W150" s="38">
        <v>14103.76</v>
      </c>
      <c r="X150" s="38">
        <f t="shared" si="22"/>
        <v>-2190</v>
      </c>
      <c r="Y150" s="38">
        <f t="shared" si="22"/>
        <v>-2215.8600000000006</v>
      </c>
      <c r="Z150" s="38">
        <f t="shared" si="22"/>
        <v>-1032.1399999999994</v>
      </c>
      <c r="AA150" s="38">
        <f t="shared" si="22"/>
        <v>-1196.239999999998</v>
      </c>
      <c r="AB150" s="38">
        <f>FORESTS2[[#This Row],[Column7]]+FORESTS2[[#This Row],[Column8]]</f>
        <v>-2228.3799999999974</v>
      </c>
      <c r="AC150" s="63">
        <f t="shared" si="23"/>
        <v>-219</v>
      </c>
      <c r="AD150" s="63">
        <f t="shared" si="23"/>
        <v>-221.58600000000007</v>
      </c>
      <c r="AE150" s="63">
        <f t="shared" si="24"/>
        <v>-206.42799999999988</v>
      </c>
      <c r="AF150" s="63">
        <f t="shared" si="24"/>
        <v>-239.24799999999959</v>
      </c>
    </row>
    <row r="151" spans="1:32" hidden="1" x14ac:dyDescent="0.2">
      <c r="A151" s="28">
        <v>795</v>
      </c>
      <c r="B151" s="28" t="s">
        <v>220</v>
      </c>
      <c r="C151" s="38">
        <v>4127</v>
      </c>
      <c r="D151" s="38">
        <v>4127</v>
      </c>
      <c r="E151" s="38">
        <v>4127</v>
      </c>
      <c r="F151" s="38">
        <v>4127</v>
      </c>
      <c r="G151" s="38">
        <v>4127</v>
      </c>
      <c r="H151" s="38">
        <v>46993</v>
      </c>
      <c r="I151" s="54">
        <f t="shared" si="17"/>
        <v>8.782159044964144E-2</v>
      </c>
      <c r="J151" s="54">
        <f t="shared" si="17"/>
        <v>8.782159044964144E-2</v>
      </c>
      <c r="K151" s="54">
        <f t="shared" si="17"/>
        <v>8.782159044964144E-2</v>
      </c>
      <c r="L151" s="54">
        <f t="shared" si="17"/>
        <v>8.782159044964144E-2</v>
      </c>
      <c r="M151" s="54">
        <f t="shared" si="17"/>
        <v>8.782159044964144E-2</v>
      </c>
      <c r="N151" s="51">
        <f>FORESTS2[[#This Row],[Area_2020]]-FORESTS2[[#This Row],[Area_1990]]</f>
        <v>0</v>
      </c>
      <c r="O151" s="51">
        <f>ABS(FORESTS2[[#This Row],[Area_Delta]])</f>
        <v>0</v>
      </c>
      <c r="P151" s="54">
        <f>FORESTS2[[#This Row],[Area_2020_%]]-FORESTS2[[#This Row],[Area_1990_%]]</f>
        <v>0</v>
      </c>
      <c r="Q151" s="54" t="b">
        <f t="shared" si="18"/>
        <v>0</v>
      </c>
      <c r="R151" s="51">
        <f t="shared" si="19"/>
        <v>0</v>
      </c>
      <c r="S151" s="51">
        <f t="shared" si="20"/>
        <v>0</v>
      </c>
      <c r="T151" s="48">
        <f t="shared" si="21"/>
        <v>0</v>
      </c>
      <c r="U151" s="43">
        <v>8.7799999999999994</v>
      </c>
      <c r="V151" s="30" t="s">
        <v>247</v>
      </c>
      <c r="W151" s="38" t="s">
        <v>247</v>
      </c>
      <c r="X151" s="38">
        <f t="shared" si="22"/>
        <v>0</v>
      </c>
      <c r="Y151" s="38">
        <f t="shared" si="22"/>
        <v>0</v>
      </c>
      <c r="Z151" s="38">
        <f t="shared" si="22"/>
        <v>0</v>
      </c>
      <c r="AA151" s="38">
        <f t="shared" si="22"/>
        <v>0</v>
      </c>
      <c r="AB151" s="38">
        <f>FORESTS2[[#This Row],[Column7]]+FORESTS2[[#This Row],[Column8]]</f>
        <v>0</v>
      </c>
      <c r="AC151" s="63">
        <f t="shared" si="23"/>
        <v>0</v>
      </c>
      <c r="AD151" s="63">
        <f t="shared" si="23"/>
        <v>0</v>
      </c>
      <c r="AE151" s="63">
        <f t="shared" si="24"/>
        <v>0</v>
      </c>
      <c r="AF151" s="63">
        <f t="shared" si="24"/>
        <v>0</v>
      </c>
    </row>
    <row r="152" spans="1:32" x14ac:dyDescent="0.2">
      <c r="A152" s="28">
        <v>24</v>
      </c>
      <c r="B152" s="28" t="s">
        <v>4</v>
      </c>
      <c r="C152" s="46">
        <v>79262.78</v>
      </c>
      <c r="D152" s="46">
        <v>77708.61</v>
      </c>
      <c r="E152" s="46">
        <v>72158</v>
      </c>
      <c r="F152" s="46">
        <v>69382.69</v>
      </c>
      <c r="G152" s="46">
        <v>66607.38</v>
      </c>
      <c r="H152" s="46">
        <v>124670</v>
      </c>
      <c r="I152" s="54">
        <f t="shared" si="17"/>
        <v>0.635780701050774</v>
      </c>
      <c r="J152" s="54">
        <f t="shared" si="17"/>
        <v>0.62331443009545195</v>
      </c>
      <c r="K152" s="54">
        <f t="shared" si="17"/>
        <v>0.57879201090879928</v>
      </c>
      <c r="L152" s="54">
        <f t="shared" si="17"/>
        <v>0.55653076120959333</v>
      </c>
      <c r="M152" s="54">
        <f t="shared" si="17"/>
        <v>0.53426951151038748</v>
      </c>
      <c r="N152" s="51">
        <f>FORESTS2[[#This Row],[Area_2020]]-FORESTS2[[#This Row],[Area_1990]]</f>
        <v>-12655.399999999994</v>
      </c>
      <c r="O152" s="51">
        <f>ABS(FORESTS2[[#This Row],[Area_Delta]])</f>
        <v>12655.399999999994</v>
      </c>
      <c r="P152" s="54">
        <f>FORESTS2[[#This Row],[Area_2020_%]]-FORESTS2[[#This Row],[Area_1990_%]]</f>
        <v>-0.10151118954038651</v>
      </c>
      <c r="Q152" s="48" t="b">
        <f t="shared" si="18"/>
        <v>0</v>
      </c>
      <c r="R152" s="51">
        <f t="shared" si="19"/>
        <v>0</v>
      </c>
      <c r="S152" s="51">
        <f t="shared" si="20"/>
        <v>12655.399999999994</v>
      </c>
      <c r="T152" s="62">
        <f t="shared" si="21"/>
        <v>4</v>
      </c>
      <c r="U152" s="43">
        <v>53.43</v>
      </c>
      <c r="V152" s="30" t="s">
        <v>247</v>
      </c>
      <c r="W152" s="38" t="s">
        <v>247</v>
      </c>
      <c r="X152" s="38">
        <f t="shared" si="22"/>
        <v>-1554.1699999999983</v>
      </c>
      <c r="Y152" s="38">
        <f t="shared" si="22"/>
        <v>-5550.6100000000006</v>
      </c>
      <c r="Z152" s="38">
        <f t="shared" si="22"/>
        <v>-2775.3099999999977</v>
      </c>
      <c r="AA152" s="38">
        <f t="shared" si="22"/>
        <v>-2775.3099999999977</v>
      </c>
      <c r="AB152" s="38">
        <f>FORESTS2[[#This Row],[Column7]]+FORESTS2[[#This Row],[Column8]]</f>
        <v>-5550.6199999999953</v>
      </c>
      <c r="AC152" s="63">
        <f t="shared" si="23"/>
        <v>-155.41699999999983</v>
      </c>
      <c r="AD152" s="63">
        <f t="shared" si="23"/>
        <v>-555.06100000000004</v>
      </c>
      <c r="AE152" s="63">
        <f t="shared" si="24"/>
        <v>-555.06199999999956</v>
      </c>
      <c r="AF152" s="63">
        <f t="shared" si="24"/>
        <v>-555.06199999999956</v>
      </c>
    </row>
    <row r="153" spans="1:32" hidden="1" x14ac:dyDescent="0.2">
      <c r="A153" s="28">
        <v>212</v>
      </c>
      <c r="B153" s="28" t="s">
        <v>45</v>
      </c>
      <c r="C153" s="30">
        <v>50.31</v>
      </c>
      <c r="D153" s="30">
        <v>47.87</v>
      </c>
      <c r="E153" s="30">
        <v>47.87</v>
      </c>
      <c r="F153" s="30">
        <v>47.87</v>
      </c>
      <c r="G153" s="30">
        <v>47.87</v>
      </c>
      <c r="H153" s="30">
        <v>75</v>
      </c>
      <c r="I153" s="54">
        <f t="shared" si="17"/>
        <v>0.67080000000000006</v>
      </c>
      <c r="J153" s="54">
        <f t="shared" si="17"/>
        <v>0.63826666666666665</v>
      </c>
      <c r="K153" s="54">
        <f t="shared" si="17"/>
        <v>0.63826666666666665</v>
      </c>
      <c r="L153" s="54">
        <f t="shared" si="17"/>
        <v>0.63826666666666665</v>
      </c>
      <c r="M153" s="54">
        <f t="shared" si="17"/>
        <v>0.63826666666666665</v>
      </c>
      <c r="N153" s="51">
        <f>FORESTS2[[#This Row],[Area_2020]]-FORESTS2[[#This Row],[Area_1990]]</f>
        <v>-2.4400000000000048</v>
      </c>
      <c r="O153" s="51">
        <f>ABS(FORESTS2[[#This Row],[Area_Delta]])</f>
        <v>2.4400000000000048</v>
      </c>
      <c r="P153" s="54">
        <f>FORESTS2[[#This Row],[Area_2020_%]]-FORESTS2[[#This Row],[Area_1990_%]]</f>
        <v>-3.2533333333333414E-2</v>
      </c>
      <c r="Q153" s="54" t="b">
        <f t="shared" si="18"/>
        <v>0</v>
      </c>
      <c r="R153" s="51">
        <f t="shared" si="19"/>
        <v>0</v>
      </c>
      <c r="S153" s="51">
        <f t="shared" si="20"/>
        <v>2.4400000000000048</v>
      </c>
      <c r="T153" s="48">
        <f t="shared" si="21"/>
        <v>1</v>
      </c>
      <c r="U153" s="48">
        <v>63.83</v>
      </c>
      <c r="V153" s="30" t="s">
        <v>247</v>
      </c>
      <c r="W153" s="30" t="s">
        <v>247</v>
      </c>
      <c r="X153" s="38">
        <f t="shared" si="22"/>
        <v>-2.4400000000000048</v>
      </c>
      <c r="Y153" s="38">
        <f t="shared" si="22"/>
        <v>0</v>
      </c>
      <c r="Z153" s="38">
        <f t="shared" si="22"/>
        <v>0</v>
      </c>
      <c r="AA153" s="38">
        <f t="shared" si="22"/>
        <v>0</v>
      </c>
      <c r="AB153" s="38">
        <f>FORESTS2[[#This Row],[Column7]]+FORESTS2[[#This Row],[Column8]]</f>
        <v>0</v>
      </c>
      <c r="AC153" s="63">
        <f t="shared" si="23"/>
        <v>-0.24400000000000049</v>
      </c>
      <c r="AD153" s="63">
        <f t="shared" si="23"/>
        <v>0</v>
      </c>
      <c r="AE153" s="63">
        <f t="shared" si="24"/>
        <v>0</v>
      </c>
      <c r="AF153" s="63">
        <f t="shared" si="24"/>
        <v>0</v>
      </c>
    </row>
    <row r="154" spans="1:32" hidden="1" x14ac:dyDescent="0.2">
      <c r="A154" s="28">
        <v>850</v>
      </c>
      <c r="B154" s="28" t="s">
        <v>176</v>
      </c>
      <c r="C154" s="30">
        <v>24.54</v>
      </c>
      <c r="D154" s="30">
        <v>20.47</v>
      </c>
      <c r="E154" s="30">
        <v>18.43</v>
      </c>
      <c r="F154" s="30">
        <v>19.16</v>
      </c>
      <c r="G154" s="30">
        <v>19.91</v>
      </c>
      <c r="H154" s="30">
        <v>35</v>
      </c>
      <c r="I154" s="54">
        <f t="shared" si="17"/>
        <v>0.70114285714285707</v>
      </c>
      <c r="J154" s="54">
        <f t="shared" si="17"/>
        <v>0.58485714285714285</v>
      </c>
      <c r="K154" s="54">
        <f t="shared" si="17"/>
        <v>0.52657142857142858</v>
      </c>
      <c r="L154" s="54">
        <f t="shared" si="17"/>
        <v>0.54742857142857149</v>
      </c>
      <c r="M154" s="54">
        <f t="shared" si="17"/>
        <v>0.56885714285714284</v>
      </c>
      <c r="N154" s="51">
        <f>FORESTS2[[#This Row],[Area_2020]]-FORESTS2[[#This Row],[Area_1990]]</f>
        <v>-4.629999999999999</v>
      </c>
      <c r="O154" s="51">
        <f>ABS(FORESTS2[[#This Row],[Area_Delta]])</f>
        <v>4.629999999999999</v>
      </c>
      <c r="P154" s="54">
        <f>FORESTS2[[#This Row],[Area_2020_%]]-FORESTS2[[#This Row],[Area_1990_%]]</f>
        <v>-0.13228571428571423</v>
      </c>
      <c r="Q154" s="54" t="b">
        <f t="shared" si="18"/>
        <v>0</v>
      </c>
      <c r="R154" s="51">
        <f t="shared" si="19"/>
        <v>0</v>
      </c>
      <c r="S154" s="51">
        <f t="shared" si="20"/>
        <v>4.629999999999999</v>
      </c>
      <c r="T154" s="48">
        <f t="shared" si="21"/>
        <v>2</v>
      </c>
      <c r="U154" s="48">
        <v>56.89</v>
      </c>
      <c r="V154" s="30" t="s">
        <v>247</v>
      </c>
      <c r="W154" s="30" t="s">
        <v>247</v>
      </c>
      <c r="X154" s="38">
        <f t="shared" si="22"/>
        <v>-4.07</v>
      </c>
      <c r="Y154" s="38">
        <f t="shared" si="22"/>
        <v>-2.0399999999999991</v>
      </c>
      <c r="Z154" s="38">
        <f t="shared" si="22"/>
        <v>0.73000000000000043</v>
      </c>
      <c r="AA154" s="38">
        <f t="shared" si="22"/>
        <v>0.75</v>
      </c>
      <c r="AB154" s="38">
        <f>FORESTS2[[#This Row],[Column7]]+FORESTS2[[#This Row],[Column8]]</f>
        <v>1.4800000000000004</v>
      </c>
      <c r="AC154" s="63">
        <f t="shared" si="23"/>
        <v>-0.40700000000000003</v>
      </c>
      <c r="AD154" s="63">
        <f t="shared" si="23"/>
        <v>-0.2039999999999999</v>
      </c>
      <c r="AE154" s="63">
        <f t="shared" si="24"/>
        <v>0.14600000000000007</v>
      </c>
      <c r="AF154" s="63">
        <f t="shared" si="24"/>
        <v>0.15</v>
      </c>
    </row>
    <row r="155" spans="1:32" hidden="1" x14ac:dyDescent="0.2">
      <c r="A155" s="28">
        <v>652</v>
      </c>
      <c r="B155" s="28" t="s">
        <v>211</v>
      </c>
      <c r="C155" s="30">
        <v>0.17</v>
      </c>
      <c r="D155" s="30">
        <v>0.17</v>
      </c>
      <c r="E155" s="30">
        <v>0.17</v>
      </c>
      <c r="F155" s="30">
        <v>0.17</v>
      </c>
      <c r="G155" s="30">
        <v>0.17</v>
      </c>
      <c r="H155" s="30">
        <v>2</v>
      </c>
      <c r="I155" s="54">
        <f t="shared" si="17"/>
        <v>8.5000000000000006E-2</v>
      </c>
      <c r="J155" s="54">
        <f t="shared" si="17"/>
        <v>8.5000000000000006E-2</v>
      </c>
      <c r="K155" s="54">
        <f t="shared" si="17"/>
        <v>8.5000000000000006E-2</v>
      </c>
      <c r="L155" s="54">
        <f t="shared" si="17"/>
        <v>8.5000000000000006E-2</v>
      </c>
      <c r="M155" s="54">
        <f t="shared" si="17"/>
        <v>8.5000000000000006E-2</v>
      </c>
      <c r="N155" s="51">
        <f>FORESTS2[[#This Row],[Area_2020]]-FORESTS2[[#This Row],[Area_1990]]</f>
        <v>0</v>
      </c>
      <c r="O155" s="51">
        <f>ABS(FORESTS2[[#This Row],[Area_Delta]])</f>
        <v>0</v>
      </c>
      <c r="P155" s="54">
        <f>FORESTS2[[#This Row],[Area_2020_%]]-FORESTS2[[#This Row],[Area_1990_%]]</f>
        <v>0</v>
      </c>
      <c r="Q155" s="54" t="b">
        <f t="shared" si="18"/>
        <v>0</v>
      </c>
      <c r="R155" s="51">
        <f t="shared" si="19"/>
        <v>0</v>
      </c>
      <c r="S155" s="51">
        <f t="shared" si="20"/>
        <v>0</v>
      </c>
      <c r="T155" s="48">
        <f t="shared" si="21"/>
        <v>0</v>
      </c>
      <c r="U155" s="48">
        <v>8.5</v>
      </c>
      <c r="V155" s="30" t="s">
        <v>247</v>
      </c>
      <c r="W155" s="30" t="s">
        <v>247</v>
      </c>
      <c r="X155" s="38">
        <f t="shared" si="22"/>
        <v>0</v>
      </c>
      <c r="Y155" s="38">
        <f t="shared" si="22"/>
        <v>0</v>
      </c>
      <c r="Z155" s="38">
        <f t="shared" si="22"/>
        <v>0</v>
      </c>
      <c r="AA155" s="38">
        <f t="shared" si="22"/>
        <v>0</v>
      </c>
      <c r="AB155" s="38">
        <f>FORESTS2[[#This Row],[Column7]]+FORESTS2[[#This Row],[Column8]]</f>
        <v>0</v>
      </c>
      <c r="AC155" s="63">
        <f t="shared" si="23"/>
        <v>0</v>
      </c>
      <c r="AD155" s="63">
        <f t="shared" si="23"/>
        <v>0</v>
      </c>
      <c r="AE155" s="63">
        <f t="shared" si="24"/>
        <v>0</v>
      </c>
      <c r="AF155" s="63">
        <f t="shared" si="24"/>
        <v>0</v>
      </c>
    </row>
    <row r="156" spans="1:32" hidden="1" x14ac:dyDescent="0.2">
      <c r="A156" s="28">
        <v>516</v>
      </c>
      <c r="B156" s="28" t="s">
        <v>114</v>
      </c>
      <c r="C156" s="46">
        <v>8769.17</v>
      </c>
      <c r="D156" s="46">
        <v>8059.08</v>
      </c>
      <c r="E156" s="46">
        <v>7348.99</v>
      </c>
      <c r="F156" s="46">
        <v>6993.95</v>
      </c>
      <c r="G156" s="46">
        <v>6638.9</v>
      </c>
      <c r="H156" s="46">
        <v>82329</v>
      </c>
      <c r="I156" s="54">
        <f t="shared" si="17"/>
        <v>0.10651374363832915</v>
      </c>
      <c r="J156" s="54">
        <f t="shared" si="17"/>
        <v>9.7888714790657E-2</v>
      </c>
      <c r="K156" s="54">
        <f t="shared" si="17"/>
        <v>8.9263685942984852E-2</v>
      </c>
      <c r="L156" s="54">
        <f t="shared" si="17"/>
        <v>8.4951232251090136E-2</v>
      </c>
      <c r="M156" s="54">
        <f t="shared" si="17"/>
        <v>8.0638657095312705E-2</v>
      </c>
      <c r="N156" s="51">
        <f>FORESTS2[[#This Row],[Area_2020]]-FORESTS2[[#This Row],[Area_1990]]</f>
        <v>-2130.2700000000004</v>
      </c>
      <c r="O156" s="51">
        <f>ABS(FORESTS2[[#This Row],[Area_Delta]])</f>
        <v>2130.2700000000004</v>
      </c>
      <c r="P156" s="54">
        <f>FORESTS2[[#This Row],[Area_2020_%]]-FORESTS2[[#This Row],[Area_1990_%]]</f>
        <v>-2.5875086543016443E-2</v>
      </c>
      <c r="Q156" s="54" t="b">
        <f t="shared" si="18"/>
        <v>0</v>
      </c>
      <c r="R156" s="51">
        <f t="shared" si="19"/>
        <v>0</v>
      </c>
      <c r="S156" s="51">
        <f t="shared" si="20"/>
        <v>2130.2700000000004</v>
      </c>
      <c r="T156" s="48">
        <f t="shared" si="21"/>
        <v>4</v>
      </c>
      <c r="U156" s="43">
        <v>8.06</v>
      </c>
      <c r="V156" s="30" t="s">
        <v>247</v>
      </c>
      <c r="W156" s="38" t="s">
        <v>247</v>
      </c>
      <c r="X156" s="38">
        <f t="shared" si="22"/>
        <v>-710.09000000000015</v>
      </c>
      <c r="Y156" s="38">
        <f t="shared" si="22"/>
        <v>-710.09000000000015</v>
      </c>
      <c r="Z156" s="38">
        <f t="shared" si="22"/>
        <v>-355.03999999999996</v>
      </c>
      <c r="AA156" s="38">
        <f t="shared" si="22"/>
        <v>-355.05000000000018</v>
      </c>
      <c r="AB156" s="38">
        <f>FORESTS2[[#This Row],[Column7]]+FORESTS2[[#This Row],[Column8]]</f>
        <v>-710.09000000000015</v>
      </c>
      <c r="AC156" s="63">
        <f t="shared" si="23"/>
        <v>-71.009000000000015</v>
      </c>
      <c r="AD156" s="63">
        <f t="shared" si="23"/>
        <v>-71.009000000000015</v>
      </c>
      <c r="AE156" s="63">
        <f t="shared" si="24"/>
        <v>-71.007999999999996</v>
      </c>
      <c r="AF156" s="63">
        <f t="shared" si="24"/>
        <v>-71.010000000000034</v>
      </c>
    </row>
    <row r="157" spans="1:32" hidden="1" x14ac:dyDescent="0.2">
      <c r="A157" s="28">
        <v>678</v>
      </c>
      <c r="B157" s="28" t="s">
        <v>143</v>
      </c>
      <c r="C157" s="46">
        <v>58.62</v>
      </c>
      <c r="D157" s="46">
        <v>58.36</v>
      </c>
      <c r="E157" s="46">
        <v>58.1</v>
      </c>
      <c r="F157" s="46">
        <v>55</v>
      </c>
      <c r="G157" s="46">
        <v>51.9</v>
      </c>
      <c r="H157" s="46">
        <v>96</v>
      </c>
      <c r="I157" s="54">
        <f t="shared" ref="I157:M207" si="25">C157/$H157</f>
        <v>0.61062499999999997</v>
      </c>
      <c r="J157" s="54">
        <f t="shared" si="25"/>
        <v>0.60791666666666666</v>
      </c>
      <c r="K157" s="54">
        <f t="shared" si="25"/>
        <v>0.60520833333333335</v>
      </c>
      <c r="L157" s="54">
        <f t="shared" si="25"/>
        <v>0.57291666666666663</v>
      </c>
      <c r="M157" s="54">
        <f t="shared" si="25"/>
        <v>0.54062500000000002</v>
      </c>
      <c r="N157" s="51">
        <f>FORESTS2[[#This Row],[Area_2020]]-FORESTS2[[#This Row],[Area_1990]]</f>
        <v>-6.7199999999999989</v>
      </c>
      <c r="O157" s="51">
        <f>ABS(FORESTS2[[#This Row],[Area_Delta]])</f>
        <v>6.7199999999999989</v>
      </c>
      <c r="P157" s="54">
        <f>FORESTS2[[#This Row],[Area_2020_%]]-FORESTS2[[#This Row],[Area_1990_%]]</f>
        <v>-6.9999999999999951E-2</v>
      </c>
      <c r="Q157" s="54" t="b">
        <f t="shared" si="18"/>
        <v>0</v>
      </c>
      <c r="R157" s="51">
        <f t="shared" si="19"/>
        <v>0</v>
      </c>
      <c r="S157" s="51">
        <f t="shared" si="20"/>
        <v>6.7199999999999989</v>
      </c>
      <c r="T157" s="48">
        <f t="shared" si="21"/>
        <v>4</v>
      </c>
      <c r="U157" s="48">
        <v>54.06</v>
      </c>
      <c r="V157" s="30">
        <v>0.62</v>
      </c>
      <c r="W157" s="30" t="s">
        <v>247</v>
      </c>
      <c r="X157" s="38">
        <f t="shared" si="22"/>
        <v>-0.25999999999999801</v>
      </c>
      <c r="Y157" s="38">
        <f t="shared" si="22"/>
        <v>-0.25999999999999801</v>
      </c>
      <c r="Z157" s="38">
        <f t="shared" si="22"/>
        <v>-3.1000000000000014</v>
      </c>
      <c r="AA157" s="38">
        <f t="shared" si="22"/>
        <v>-3.1000000000000014</v>
      </c>
      <c r="AB157" s="38">
        <f>FORESTS2[[#This Row],[Column7]]+FORESTS2[[#This Row],[Column8]]</f>
        <v>-6.2000000000000028</v>
      </c>
      <c r="AC157" s="63">
        <f t="shared" si="23"/>
        <v>-2.5999999999999801E-2</v>
      </c>
      <c r="AD157" s="63">
        <f t="shared" si="23"/>
        <v>-2.5999999999999801E-2</v>
      </c>
      <c r="AE157" s="63">
        <f t="shared" si="24"/>
        <v>-0.62000000000000033</v>
      </c>
      <c r="AF157" s="63">
        <f t="shared" si="24"/>
        <v>-0.62000000000000033</v>
      </c>
    </row>
    <row r="158" spans="1:32" hidden="1" x14ac:dyDescent="0.2">
      <c r="A158" s="28">
        <v>580</v>
      </c>
      <c r="B158" s="28" t="s">
        <v>122</v>
      </c>
      <c r="C158" s="46">
        <v>33.61</v>
      </c>
      <c r="D158" s="46">
        <v>31.96</v>
      </c>
      <c r="E158" s="46">
        <v>30.32</v>
      </c>
      <c r="F158" s="46">
        <v>29.49</v>
      </c>
      <c r="G158" s="46">
        <v>24.36</v>
      </c>
      <c r="H158" s="46">
        <v>46</v>
      </c>
      <c r="I158" s="54">
        <f t="shared" si="25"/>
        <v>0.73065217391304349</v>
      </c>
      <c r="J158" s="54">
        <f t="shared" si="25"/>
        <v>0.69478260869565223</v>
      </c>
      <c r="K158" s="54">
        <f t="shared" si="25"/>
        <v>0.65913043478260869</v>
      </c>
      <c r="L158" s="54">
        <f t="shared" si="25"/>
        <v>0.64108695652173908</v>
      </c>
      <c r="M158" s="54">
        <f t="shared" si="25"/>
        <v>0.52956521739130435</v>
      </c>
      <c r="N158" s="51">
        <f>FORESTS2[[#This Row],[Area_2020]]-FORESTS2[[#This Row],[Area_1990]]</f>
        <v>-9.25</v>
      </c>
      <c r="O158" s="51">
        <f>ABS(FORESTS2[[#This Row],[Area_Delta]])</f>
        <v>9.25</v>
      </c>
      <c r="P158" s="54">
        <f>FORESTS2[[#This Row],[Area_2020_%]]-FORESTS2[[#This Row],[Area_1990_%]]</f>
        <v>-0.20108695652173914</v>
      </c>
      <c r="Q158" s="54" t="b">
        <f t="shared" si="18"/>
        <v>0</v>
      </c>
      <c r="R158" s="51">
        <f t="shared" si="19"/>
        <v>0</v>
      </c>
      <c r="S158" s="51">
        <f t="shared" si="20"/>
        <v>9.25</v>
      </c>
      <c r="T158" s="48">
        <f t="shared" si="21"/>
        <v>4</v>
      </c>
      <c r="U158" s="48">
        <v>52.96</v>
      </c>
      <c r="V158" s="30" t="s">
        <v>247</v>
      </c>
      <c r="W158" s="30" t="s">
        <v>247</v>
      </c>
      <c r="X158" s="38">
        <f t="shared" si="22"/>
        <v>-1.6499999999999986</v>
      </c>
      <c r="Y158" s="38">
        <f t="shared" si="22"/>
        <v>-1.6400000000000006</v>
      </c>
      <c r="Z158" s="38">
        <f t="shared" si="22"/>
        <v>-0.83000000000000185</v>
      </c>
      <c r="AA158" s="38">
        <f t="shared" si="22"/>
        <v>-5.129999999999999</v>
      </c>
      <c r="AB158" s="38">
        <f>FORESTS2[[#This Row],[Column7]]+FORESTS2[[#This Row],[Column8]]</f>
        <v>-5.9600000000000009</v>
      </c>
      <c r="AC158" s="63">
        <f t="shared" si="23"/>
        <v>-0.16499999999999987</v>
      </c>
      <c r="AD158" s="63">
        <f t="shared" si="23"/>
        <v>-0.16400000000000006</v>
      </c>
      <c r="AE158" s="63">
        <f t="shared" si="24"/>
        <v>-0.16600000000000037</v>
      </c>
      <c r="AF158" s="63">
        <f t="shared" si="24"/>
        <v>-1.0259999999999998</v>
      </c>
    </row>
    <row r="159" spans="1:32" hidden="1" x14ac:dyDescent="0.2">
      <c r="A159" s="28">
        <v>417</v>
      </c>
      <c r="B159" s="28" t="s">
        <v>87</v>
      </c>
      <c r="C159" s="38">
        <v>1136.42</v>
      </c>
      <c r="D159" s="38">
        <v>1180.9000000000001</v>
      </c>
      <c r="E159" s="38">
        <v>1229.68</v>
      </c>
      <c r="F159" s="38">
        <v>1251.81</v>
      </c>
      <c r="G159" s="38">
        <v>1315.38</v>
      </c>
      <c r="H159" s="38">
        <v>19180</v>
      </c>
      <c r="I159" s="54">
        <f t="shared" si="25"/>
        <v>5.9250260688216899E-2</v>
      </c>
      <c r="J159" s="54">
        <f t="shared" si="25"/>
        <v>6.1569343065693435E-2</v>
      </c>
      <c r="K159" s="54">
        <f t="shared" si="25"/>
        <v>6.4112617309697612E-2</v>
      </c>
      <c r="L159" s="54">
        <f t="shared" si="25"/>
        <v>6.5266423357664236E-2</v>
      </c>
      <c r="M159" s="54">
        <f t="shared" si="25"/>
        <v>6.8580813347236716E-2</v>
      </c>
      <c r="N159" s="51">
        <f>FORESTS2[[#This Row],[Area_2020]]-FORESTS2[[#This Row],[Area_1990]]</f>
        <v>178.96000000000004</v>
      </c>
      <c r="O159" s="51">
        <f>ABS(FORESTS2[[#This Row],[Area_Delta]])</f>
        <v>178.96000000000004</v>
      </c>
      <c r="P159" s="54">
        <f>FORESTS2[[#This Row],[Area_2020_%]]-FORESTS2[[#This Row],[Area_1990_%]]</f>
        <v>9.3305526590198168E-3</v>
      </c>
      <c r="Q159" s="54" t="b">
        <f t="shared" si="18"/>
        <v>1</v>
      </c>
      <c r="R159" s="51">
        <f t="shared" si="19"/>
        <v>178.96000000000004</v>
      </c>
      <c r="S159" s="51">
        <f t="shared" si="20"/>
        <v>0</v>
      </c>
      <c r="T159" s="48">
        <f t="shared" si="21"/>
        <v>0</v>
      </c>
      <c r="U159" s="43">
        <v>6.86</v>
      </c>
      <c r="V159" s="30">
        <v>0</v>
      </c>
      <c r="W159" s="38">
        <v>0.02</v>
      </c>
      <c r="X159" s="38">
        <f t="shared" si="22"/>
        <v>44.480000000000018</v>
      </c>
      <c r="Y159" s="38">
        <f t="shared" si="22"/>
        <v>48.779999999999973</v>
      </c>
      <c r="Z159" s="38">
        <f t="shared" si="22"/>
        <v>22.129999999999882</v>
      </c>
      <c r="AA159" s="38">
        <f t="shared" si="22"/>
        <v>63.570000000000164</v>
      </c>
      <c r="AB159" s="38">
        <f>FORESTS2[[#This Row],[Column7]]+FORESTS2[[#This Row],[Column8]]</f>
        <v>85.700000000000045</v>
      </c>
      <c r="AC159" s="63">
        <f t="shared" si="23"/>
        <v>4.4480000000000022</v>
      </c>
      <c r="AD159" s="63">
        <f t="shared" si="23"/>
        <v>4.8779999999999974</v>
      </c>
      <c r="AE159" s="63">
        <f t="shared" si="24"/>
        <v>4.4259999999999762</v>
      </c>
      <c r="AF159" s="63">
        <f t="shared" si="24"/>
        <v>12.714000000000032</v>
      </c>
    </row>
    <row r="160" spans="1:32" x14ac:dyDescent="0.2">
      <c r="A160" s="28">
        <v>180</v>
      </c>
      <c r="B160" s="28" t="s">
        <v>42</v>
      </c>
      <c r="C160" s="46">
        <v>150629</v>
      </c>
      <c r="D160" s="46">
        <v>143899</v>
      </c>
      <c r="E160" s="46">
        <v>137169</v>
      </c>
      <c r="F160" s="46">
        <v>131662.12</v>
      </c>
      <c r="G160" s="46">
        <v>126155.24</v>
      </c>
      <c r="H160" s="46">
        <v>226705</v>
      </c>
      <c r="I160" s="54">
        <f t="shared" si="25"/>
        <v>0.66442733949405619</v>
      </c>
      <c r="J160" s="54">
        <f t="shared" si="25"/>
        <v>0.63474118347632391</v>
      </c>
      <c r="K160" s="54">
        <f t="shared" si="25"/>
        <v>0.60505502745859152</v>
      </c>
      <c r="L160" s="54">
        <f t="shared" si="25"/>
        <v>0.58076407666350538</v>
      </c>
      <c r="M160" s="54">
        <f t="shared" si="25"/>
        <v>0.55647312586841935</v>
      </c>
      <c r="N160" s="51">
        <f>FORESTS2[[#This Row],[Area_2020]]-FORESTS2[[#This Row],[Area_1990]]</f>
        <v>-24473.759999999995</v>
      </c>
      <c r="O160" s="51">
        <f>ABS(FORESTS2[[#This Row],[Area_Delta]])</f>
        <v>24473.759999999995</v>
      </c>
      <c r="P160" s="54">
        <f>FORESTS2[[#This Row],[Area_2020_%]]-FORESTS2[[#This Row],[Area_1990_%]]</f>
        <v>-0.10795421362563684</v>
      </c>
      <c r="Q160" s="48" t="b">
        <f t="shared" si="18"/>
        <v>0</v>
      </c>
      <c r="R160" s="51">
        <f t="shared" si="19"/>
        <v>0</v>
      </c>
      <c r="S160" s="51">
        <f t="shared" si="20"/>
        <v>24473.759999999995</v>
      </c>
      <c r="T160" s="62">
        <f t="shared" si="21"/>
        <v>4</v>
      </c>
      <c r="U160" s="43">
        <v>55.65</v>
      </c>
      <c r="V160" s="30" t="s">
        <v>247</v>
      </c>
      <c r="W160" s="38" t="s">
        <v>247</v>
      </c>
      <c r="X160" s="38">
        <f t="shared" si="22"/>
        <v>-6730</v>
      </c>
      <c r="Y160" s="38">
        <f t="shared" si="22"/>
        <v>-6730</v>
      </c>
      <c r="Z160" s="38">
        <f t="shared" si="22"/>
        <v>-5506.8800000000047</v>
      </c>
      <c r="AA160" s="38">
        <f t="shared" si="22"/>
        <v>-5506.8799999999901</v>
      </c>
      <c r="AB160" s="38">
        <f>FORESTS2[[#This Row],[Column7]]+FORESTS2[[#This Row],[Column8]]</f>
        <v>-11013.759999999995</v>
      </c>
      <c r="AC160" s="63">
        <f t="shared" si="23"/>
        <v>-673</v>
      </c>
      <c r="AD160" s="63">
        <f t="shared" si="23"/>
        <v>-673</v>
      </c>
      <c r="AE160" s="63">
        <f t="shared" si="24"/>
        <v>-1101.3760000000009</v>
      </c>
      <c r="AF160" s="63">
        <f t="shared" si="24"/>
        <v>-1101.3759999999979</v>
      </c>
    </row>
    <row r="161" spans="1:32" hidden="1" x14ac:dyDescent="0.2">
      <c r="A161" s="28">
        <v>882</v>
      </c>
      <c r="B161" s="28" t="s">
        <v>142</v>
      </c>
      <c r="C161" s="46">
        <v>176.13</v>
      </c>
      <c r="D161" s="46">
        <v>171.31</v>
      </c>
      <c r="E161" s="46">
        <v>166.49</v>
      </c>
      <c r="F161" s="46">
        <v>164.07</v>
      </c>
      <c r="G161" s="46">
        <v>161.66999999999999</v>
      </c>
      <c r="H161" s="46">
        <v>283</v>
      </c>
      <c r="I161" s="54">
        <f t="shared" si="25"/>
        <v>0.6223674911660777</v>
      </c>
      <c r="J161" s="54">
        <f t="shared" si="25"/>
        <v>0.60533568904593638</v>
      </c>
      <c r="K161" s="54">
        <f t="shared" si="25"/>
        <v>0.58830388692579505</v>
      </c>
      <c r="L161" s="54">
        <f t="shared" si="25"/>
        <v>0.57975265017667843</v>
      </c>
      <c r="M161" s="54">
        <f t="shared" si="25"/>
        <v>0.57127208480565361</v>
      </c>
      <c r="N161" s="51">
        <f>FORESTS2[[#This Row],[Area_2020]]-FORESTS2[[#This Row],[Area_1990]]</f>
        <v>-14.460000000000008</v>
      </c>
      <c r="O161" s="51">
        <f>ABS(FORESTS2[[#This Row],[Area_Delta]])</f>
        <v>14.460000000000008</v>
      </c>
      <c r="P161" s="54">
        <f>FORESTS2[[#This Row],[Area_2020_%]]-FORESTS2[[#This Row],[Area_1990_%]]</f>
        <v>-5.1095406360424089E-2</v>
      </c>
      <c r="Q161" s="54" t="b">
        <f t="shared" si="18"/>
        <v>0</v>
      </c>
      <c r="R161" s="51">
        <f t="shared" si="19"/>
        <v>0</v>
      </c>
      <c r="S161" s="51">
        <f t="shared" si="20"/>
        <v>14.460000000000008</v>
      </c>
      <c r="T161" s="48">
        <f t="shared" si="21"/>
        <v>4</v>
      </c>
      <c r="U161" s="48">
        <v>57.13</v>
      </c>
      <c r="V161" s="30" t="s">
        <v>247</v>
      </c>
      <c r="W161" s="30" t="s">
        <v>247</v>
      </c>
      <c r="X161" s="38">
        <f t="shared" si="22"/>
        <v>-4.8199999999999932</v>
      </c>
      <c r="Y161" s="38">
        <f t="shared" si="22"/>
        <v>-4.8199999999999932</v>
      </c>
      <c r="Z161" s="38">
        <f t="shared" si="22"/>
        <v>-2.4200000000000159</v>
      </c>
      <c r="AA161" s="38">
        <f t="shared" si="22"/>
        <v>-2.4000000000000057</v>
      </c>
      <c r="AB161" s="38">
        <f>FORESTS2[[#This Row],[Column7]]+FORESTS2[[#This Row],[Column8]]</f>
        <v>-4.8200000000000216</v>
      </c>
      <c r="AC161" s="63">
        <f t="shared" si="23"/>
        <v>-0.48199999999999932</v>
      </c>
      <c r="AD161" s="63">
        <f t="shared" si="23"/>
        <v>-0.48199999999999932</v>
      </c>
      <c r="AE161" s="63">
        <f t="shared" si="24"/>
        <v>-0.48400000000000321</v>
      </c>
      <c r="AF161" s="63">
        <f t="shared" si="24"/>
        <v>-0.48000000000000115</v>
      </c>
    </row>
    <row r="162" spans="1:32" hidden="1" x14ac:dyDescent="0.2">
      <c r="A162" s="28">
        <v>392</v>
      </c>
      <c r="B162" s="28" t="s">
        <v>83</v>
      </c>
      <c r="C162" s="38">
        <v>24950</v>
      </c>
      <c r="D162" s="38">
        <v>24876</v>
      </c>
      <c r="E162" s="38">
        <v>24966</v>
      </c>
      <c r="F162" s="38">
        <v>24944</v>
      </c>
      <c r="G162" s="38">
        <v>24935</v>
      </c>
      <c r="H162" s="38">
        <v>36456</v>
      </c>
      <c r="I162" s="54">
        <f t="shared" si="25"/>
        <v>0.68438665788896202</v>
      </c>
      <c r="J162" s="54">
        <f t="shared" si="25"/>
        <v>0.68235681369321921</v>
      </c>
      <c r="K162" s="54">
        <f t="shared" si="25"/>
        <v>0.68482554312047395</v>
      </c>
      <c r="L162" s="54">
        <f t="shared" si="25"/>
        <v>0.68422207592714501</v>
      </c>
      <c r="M162" s="54">
        <f t="shared" si="25"/>
        <v>0.68397520298441961</v>
      </c>
      <c r="N162" s="51">
        <f>FORESTS2[[#This Row],[Area_2020]]-FORESTS2[[#This Row],[Area_1990]]</f>
        <v>-15</v>
      </c>
      <c r="O162" s="51">
        <f>ABS(FORESTS2[[#This Row],[Area_Delta]])</f>
        <v>15</v>
      </c>
      <c r="P162" s="54">
        <f>FORESTS2[[#This Row],[Area_2020_%]]-FORESTS2[[#This Row],[Area_1990_%]]</f>
        <v>-4.1145490454241873E-4</v>
      </c>
      <c r="Q162" s="54" t="b">
        <f t="shared" si="18"/>
        <v>0</v>
      </c>
      <c r="R162" s="51">
        <f t="shared" si="19"/>
        <v>0</v>
      </c>
      <c r="S162" s="51">
        <f t="shared" si="20"/>
        <v>15</v>
      </c>
      <c r="T162" s="62">
        <f t="shared" si="21"/>
        <v>3</v>
      </c>
      <c r="U162" s="43">
        <v>68.400000000000006</v>
      </c>
      <c r="V162" s="30" t="s">
        <v>247</v>
      </c>
      <c r="W162" s="38">
        <v>0.5</v>
      </c>
      <c r="X162" s="38">
        <f t="shared" si="22"/>
        <v>-74</v>
      </c>
      <c r="Y162" s="38">
        <f t="shared" si="22"/>
        <v>90</v>
      </c>
      <c r="Z162" s="38">
        <f t="shared" si="22"/>
        <v>-22</v>
      </c>
      <c r="AA162" s="38">
        <f t="shared" si="22"/>
        <v>-9</v>
      </c>
      <c r="AB162" s="38">
        <f>FORESTS2[[#This Row],[Column7]]+FORESTS2[[#This Row],[Column8]]</f>
        <v>-31</v>
      </c>
      <c r="AC162" s="63">
        <f t="shared" si="23"/>
        <v>-7.4</v>
      </c>
      <c r="AD162" s="63">
        <f t="shared" si="23"/>
        <v>9</v>
      </c>
      <c r="AE162" s="63">
        <f t="shared" si="24"/>
        <v>-4.4000000000000004</v>
      </c>
      <c r="AF162" s="63">
        <f t="shared" si="24"/>
        <v>-1.8</v>
      </c>
    </row>
    <row r="163" spans="1:32" hidden="1" x14ac:dyDescent="0.2">
      <c r="A163" s="28">
        <v>90</v>
      </c>
      <c r="B163" s="28" t="s">
        <v>151</v>
      </c>
      <c r="C163" s="46">
        <v>2544.91</v>
      </c>
      <c r="D163" s="46">
        <v>2537.6</v>
      </c>
      <c r="E163" s="46">
        <v>2530.2800000000002</v>
      </c>
      <c r="F163" s="46">
        <v>2526.62</v>
      </c>
      <c r="G163" s="46">
        <v>2522.9699999999998</v>
      </c>
      <c r="H163" s="46">
        <v>2799</v>
      </c>
      <c r="I163" s="54">
        <f t="shared" si="25"/>
        <v>0.90922115041086093</v>
      </c>
      <c r="J163" s="54">
        <f t="shared" si="25"/>
        <v>0.90660950339406932</v>
      </c>
      <c r="K163" s="54">
        <f t="shared" si="25"/>
        <v>0.90399428367274037</v>
      </c>
      <c r="L163" s="54">
        <f t="shared" si="25"/>
        <v>0.90268667381207568</v>
      </c>
      <c r="M163" s="54">
        <f t="shared" si="25"/>
        <v>0.90138263665594853</v>
      </c>
      <c r="N163" s="51">
        <f>FORESTS2[[#This Row],[Area_2020]]-FORESTS2[[#This Row],[Area_1990]]</f>
        <v>-21.940000000000055</v>
      </c>
      <c r="O163" s="51">
        <f>ABS(FORESTS2[[#This Row],[Area_Delta]])</f>
        <v>21.940000000000055</v>
      </c>
      <c r="P163" s="54">
        <f>FORESTS2[[#This Row],[Area_2020_%]]-FORESTS2[[#This Row],[Area_1990_%]]</f>
        <v>-7.8385137549124018E-3</v>
      </c>
      <c r="Q163" s="54" t="b">
        <f t="shared" si="18"/>
        <v>0</v>
      </c>
      <c r="R163" s="51">
        <f t="shared" si="19"/>
        <v>0</v>
      </c>
      <c r="S163" s="51">
        <f t="shared" si="20"/>
        <v>21.940000000000055</v>
      </c>
      <c r="T163" s="48">
        <f t="shared" si="21"/>
        <v>4</v>
      </c>
      <c r="U163" s="48">
        <v>90.14</v>
      </c>
      <c r="V163" s="30" t="s">
        <v>247</v>
      </c>
      <c r="W163" s="30" t="s">
        <v>247</v>
      </c>
      <c r="X163" s="38">
        <f t="shared" si="22"/>
        <v>-7.3099999999999454</v>
      </c>
      <c r="Y163" s="38">
        <f t="shared" si="22"/>
        <v>-7.319999999999709</v>
      </c>
      <c r="Z163" s="38">
        <f t="shared" si="22"/>
        <v>-3.6600000000003092</v>
      </c>
      <c r="AA163" s="38">
        <f t="shared" si="22"/>
        <v>-3.6500000000000909</v>
      </c>
      <c r="AB163" s="38">
        <f>FORESTS2[[#This Row],[Column7]]+FORESTS2[[#This Row],[Column8]]</f>
        <v>-7.3100000000004002</v>
      </c>
      <c r="AC163" s="63">
        <f t="shared" si="23"/>
        <v>-0.73099999999999454</v>
      </c>
      <c r="AD163" s="63">
        <f t="shared" si="23"/>
        <v>-0.7319999999999709</v>
      </c>
      <c r="AE163" s="63">
        <f t="shared" si="24"/>
        <v>-0.73200000000006182</v>
      </c>
      <c r="AF163" s="63">
        <f t="shared" si="24"/>
        <v>-0.73000000000001819</v>
      </c>
    </row>
    <row r="164" spans="1:32" hidden="1" x14ac:dyDescent="0.2">
      <c r="A164" s="28">
        <v>376</v>
      </c>
      <c r="B164" s="28" t="s">
        <v>80</v>
      </c>
      <c r="C164" s="30">
        <v>132</v>
      </c>
      <c r="D164" s="30">
        <v>153</v>
      </c>
      <c r="E164" s="30">
        <v>154</v>
      </c>
      <c r="F164" s="30">
        <v>165</v>
      </c>
      <c r="G164" s="30">
        <v>140</v>
      </c>
      <c r="H164" s="30">
        <v>2164</v>
      </c>
      <c r="I164" s="54">
        <f t="shared" si="25"/>
        <v>6.0998151571164512E-2</v>
      </c>
      <c r="J164" s="54">
        <f t="shared" si="25"/>
        <v>7.0702402957486143E-2</v>
      </c>
      <c r="K164" s="54">
        <f t="shared" si="25"/>
        <v>7.1164510166358594E-2</v>
      </c>
      <c r="L164" s="54">
        <f t="shared" si="25"/>
        <v>7.6247689463955631E-2</v>
      </c>
      <c r="M164" s="54">
        <f t="shared" si="25"/>
        <v>6.4695009242144177E-2</v>
      </c>
      <c r="N164" s="51">
        <f>FORESTS2[[#This Row],[Area_2020]]-FORESTS2[[#This Row],[Area_1990]]</f>
        <v>8</v>
      </c>
      <c r="O164" s="51">
        <f>ABS(FORESTS2[[#This Row],[Area_Delta]])</f>
        <v>8</v>
      </c>
      <c r="P164" s="54">
        <f>FORESTS2[[#This Row],[Area_2020_%]]-FORESTS2[[#This Row],[Area_1990_%]]</f>
        <v>3.6968576709796655E-3</v>
      </c>
      <c r="Q164" s="54" t="b">
        <f t="shared" si="18"/>
        <v>1</v>
      </c>
      <c r="R164" s="51">
        <f t="shared" si="19"/>
        <v>8</v>
      </c>
      <c r="S164" s="51">
        <f t="shared" si="20"/>
        <v>0</v>
      </c>
      <c r="T164" s="48">
        <f t="shared" si="21"/>
        <v>1</v>
      </c>
      <c r="U164" s="48">
        <v>6.47</v>
      </c>
      <c r="V164" s="30" t="s">
        <v>247</v>
      </c>
      <c r="W164" s="30">
        <v>2.71</v>
      </c>
      <c r="X164" s="38">
        <f t="shared" si="22"/>
        <v>21</v>
      </c>
      <c r="Y164" s="38">
        <f t="shared" si="22"/>
        <v>1</v>
      </c>
      <c r="Z164" s="38">
        <f t="shared" si="22"/>
        <v>11</v>
      </c>
      <c r="AA164" s="38">
        <f t="shared" si="22"/>
        <v>-25</v>
      </c>
      <c r="AB164" s="38">
        <f>FORESTS2[[#This Row],[Column7]]+FORESTS2[[#This Row],[Column8]]</f>
        <v>-14</v>
      </c>
      <c r="AC164" s="63">
        <f t="shared" si="23"/>
        <v>2.1</v>
      </c>
      <c r="AD164" s="63">
        <f t="shared" si="23"/>
        <v>0.1</v>
      </c>
      <c r="AE164" s="63">
        <f t="shared" si="24"/>
        <v>2.2000000000000002</v>
      </c>
      <c r="AF164" s="63">
        <f t="shared" si="24"/>
        <v>-5</v>
      </c>
    </row>
    <row r="165" spans="1:32" hidden="1" x14ac:dyDescent="0.2">
      <c r="A165" s="28">
        <v>96</v>
      </c>
      <c r="B165" s="28" t="s">
        <v>21</v>
      </c>
      <c r="C165" s="30">
        <v>413</v>
      </c>
      <c r="D165" s="30">
        <v>397</v>
      </c>
      <c r="E165" s="30">
        <v>380</v>
      </c>
      <c r="F165" s="30">
        <v>380</v>
      </c>
      <c r="G165" s="30">
        <v>380</v>
      </c>
      <c r="H165" s="30">
        <v>527</v>
      </c>
      <c r="I165" s="54">
        <f t="shared" si="25"/>
        <v>0.78368121442125238</v>
      </c>
      <c r="J165" s="54">
        <f t="shared" si="25"/>
        <v>0.75332068311195444</v>
      </c>
      <c r="K165" s="54">
        <f t="shared" si="25"/>
        <v>0.72106261859582543</v>
      </c>
      <c r="L165" s="54">
        <f t="shared" si="25"/>
        <v>0.72106261859582543</v>
      </c>
      <c r="M165" s="54">
        <f t="shared" si="25"/>
        <v>0.72106261859582543</v>
      </c>
      <c r="N165" s="51">
        <f>FORESTS2[[#This Row],[Area_2020]]-FORESTS2[[#This Row],[Area_1990]]</f>
        <v>-33</v>
      </c>
      <c r="O165" s="51">
        <f>ABS(FORESTS2[[#This Row],[Area_Delta]])</f>
        <v>33</v>
      </c>
      <c r="P165" s="54">
        <f>FORESTS2[[#This Row],[Area_2020_%]]-FORESTS2[[#This Row],[Area_1990_%]]</f>
        <v>-6.2618595825426948E-2</v>
      </c>
      <c r="Q165" s="54" t="b">
        <f t="shared" si="18"/>
        <v>0</v>
      </c>
      <c r="R165" s="51">
        <f t="shared" si="19"/>
        <v>0</v>
      </c>
      <c r="S165" s="51">
        <f t="shared" si="20"/>
        <v>33</v>
      </c>
      <c r="T165" s="48">
        <f t="shared" si="21"/>
        <v>2</v>
      </c>
      <c r="U165" s="48">
        <v>72.11</v>
      </c>
      <c r="V165" s="30" t="s">
        <v>247</v>
      </c>
      <c r="W165" s="30" t="s">
        <v>247</v>
      </c>
      <c r="X165" s="38">
        <f t="shared" si="22"/>
        <v>-16</v>
      </c>
      <c r="Y165" s="38">
        <f t="shared" si="22"/>
        <v>-17</v>
      </c>
      <c r="Z165" s="38">
        <f t="shared" si="22"/>
        <v>0</v>
      </c>
      <c r="AA165" s="38">
        <f t="shared" si="22"/>
        <v>0</v>
      </c>
      <c r="AB165" s="38">
        <f>FORESTS2[[#This Row],[Column7]]+FORESTS2[[#This Row],[Column8]]</f>
        <v>0</v>
      </c>
      <c r="AC165" s="63">
        <f t="shared" si="23"/>
        <v>-1.6</v>
      </c>
      <c r="AD165" s="63">
        <f t="shared" si="23"/>
        <v>-1.7</v>
      </c>
      <c r="AE165" s="63">
        <f t="shared" si="24"/>
        <v>0</v>
      </c>
      <c r="AF165" s="63">
        <f t="shared" si="24"/>
        <v>0</v>
      </c>
    </row>
    <row r="166" spans="1:32" hidden="1" x14ac:dyDescent="0.2">
      <c r="A166" s="28">
        <v>404</v>
      </c>
      <c r="B166" s="28" t="s">
        <v>86</v>
      </c>
      <c r="C166" s="38">
        <v>3858.54</v>
      </c>
      <c r="D166" s="38">
        <v>3961.19</v>
      </c>
      <c r="E166" s="38">
        <v>3616.34</v>
      </c>
      <c r="F166" s="38">
        <v>3522.41</v>
      </c>
      <c r="G166" s="38">
        <v>3611.09</v>
      </c>
      <c r="H166" s="38">
        <v>56914</v>
      </c>
      <c r="I166" s="54">
        <f t="shared" si="25"/>
        <v>6.7795972871349752E-2</v>
      </c>
      <c r="J166" s="54">
        <f t="shared" si="25"/>
        <v>6.9599571282988368E-2</v>
      </c>
      <c r="K166" s="54">
        <f t="shared" si="25"/>
        <v>6.3540429419826405E-2</v>
      </c>
      <c r="L166" s="54">
        <f t="shared" si="25"/>
        <v>6.1890044628738095E-2</v>
      </c>
      <c r="M166" s="54">
        <f t="shared" si="25"/>
        <v>6.3448184980848296E-2</v>
      </c>
      <c r="N166" s="51">
        <f>FORESTS2[[#This Row],[Area_2020]]-FORESTS2[[#This Row],[Area_1990]]</f>
        <v>-247.44999999999982</v>
      </c>
      <c r="O166" s="51">
        <f>ABS(FORESTS2[[#This Row],[Area_Delta]])</f>
        <v>247.44999999999982</v>
      </c>
      <c r="P166" s="54">
        <f>FORESTS2[[#This Row],[Area_2020_%]]-FORESTS2[[#This Row],[Area_1990_%]]</f>
        <v>-4.3477878905014561E-3</v>
      </c>
      <c r="Q166" s="54" t="b">
        <f t="shared" si="18"/>
        <v>0</v>
      </c>
      <c r="R166" s="51">
        <f t="shared" si="19"/>
        <v>0</v>
      </c>
      <c r="S166" s="51">
        <f t="shared" si="20"/>
        <v>247.44999999999982</v>
      </c>
      <c r="T166" s="48">
        <f t="shared" si="21"/>
        <v>2</v>
      </c>
      <c r="U166" s="43">
        <v>6.34</v>
      </c>
      <c r="V166" s="30" t="s">
        <v>247</v>
      </c>
      <c r="W166" s="38">
        <v>3.85</v>
      </c>
      <c r="X166" s="38">
        <f t="shared" si="22"/>
        <v>102.65000000000009</v>
      </c>
      <c r="Y166" s="38">
        <f t="shared" si="22"/>
        <v>-344.84999999999991</v>
      </c>
      <c r="Z166" s="38">
        <f t="shared" si="22"/>
        <v>-93.930000000000291</v>
      </c>
      <c r="AA166" s="38">
        <f t="shared" si="22"/>
        <v>88.680000000000291</v>
      </c>
      <c r="AB166" s="38">
        <f>FORESTS2[[#This Row],[Column7]]+FORESTS2[[#This Row],[Column8]]</f>
        <v>-5.25</v>
      </c>
      <c r="AC166" s="63">
        <f t="shared" si="23"/>
        <v>10.265000000000009</v>
      </c>
      <c r="AD166" s="63">
        <f t="shared" si="23"/>
        <v>-34.484999999999992</v>
      </c>
      <c r="AE166" s="63">
        <f t="shared" si="24"/>
        <v>-18.786000000000058</v>
      </c>
      <c r="AF166" s="63">
        <f t="shared" si="24"/>
        <v>17.736000000000057</v>
      </c>
    </row>
    <row r="167" spans="1:32" hidden="1" x14ac:dyDescent="0.2">
      <c r="A167" s="28">
        <v>833</v>
      </c>
      <c r="B167" s="28" t="s">
        <v>231</v>
      </c>
      <c r="C167" s="30">
        <v>3.46</v>
      </c>
      <c r="D167" s="30">
        <v>3.46</v>
      </c>
      <c r="E167" s="30">
        <v>3.46</v>
      </c>
      <c r="F167" s="30">
        <v>3.46</v>
      </c>
      <c r="G167" s="30">
        <v>3.46</v>
      </c>
      <c r="H167" s="30">
        <v>57</v>
      </c>
      <c r="I167" s="54">
        <f t="shared" si="25"/>
        <v>6.0701754385964909E-2</v>
      </c>
      <c r="J167" s="54">
        <f t="shared" si="25"/>
        <v>6.0701754385964909E-2</v>
      </c>
      <c r="K167" s="54">
        <f t="shared" si="25"/>
        <v>6.0701754385964909E-2</v>
      </c>
      <c r="L167" s="54">
        <f t="shared" si="25"/>
        <v>6.0701754385964909E-2</v>
      </c>
      <c r="M167" s="54">
        <f t="shared" si="25"/>
        <v>6.0701754385964909E-2</v>
      </c>
      <c r="N167" s="51">
        <f>FORESTS2[[#This Row],[Area_2020]]-FORESTS2[[#This Row],[Area_1990]]</f>
        <v>0</v>
      </c>
      <c r="O167" s="51">
        <f>ABS(FORESTS2[[#This Row],[Area_Delta]])</f>
        <v>0</v>
      </c>
      <c r="P167" s="54">
        <f>FORESTS2[[#This Row],[Area_2020_%]]-FORESTS2[[#This Row],[Area_1990_%]]</f>
        <v>0</v>
      </c>
      <c r="Q167" s="54" t="b">
        <f t="shared" si="18"/>
        <v>0</v>
      </c>
      <c r="R167" s="51">
        <f t="shared" si="19"/>
        <v>0</v>
      </c>
      <c r="S167" s="51">
        <f t="shared" si="20"/>
        <v>0</v>
      </c>
      <c r="T167" s="48">
        <f t="shared" si="21"/>
        <v>0</v>
      </c>
      <c r="U167" s="48">
        <v>6.07</v>
      </c>
      <c r="V167" s="30">
        <v>0</v>
      </c>
      <c r="W167" s="30" t="s">
        <v>247</v>
      </c>
      <c r="X167" s="38">
        <f t="shared" si="22"/>
        <v>0</v>
      </c>
      <c r="Y167" s="38">
        <f t="shared" si="22"/>
        <v>0</v>
      </c>
      <c r="Z167" s="38">
        <f t="shared" si="22"/>
        <v>0</v>
      </c>
      <c r="AA167" s="38">
        <f t="shared" si="22"/>
        <v>0</v>
      </c>
      <c r="AB167" s="38">
        <f>FORESTS2[[#This Row],[Column7]]+FORESTS2[[#This Row],[Column8]]</f>
        <v>0</v>
      </c>
      <c r="AC167" s="63">
        <f t="shared" si="23"/>
        <v>0</v>
      </c>
      <c r="AD167" s="63">
        <f t="shared" si="23"/>
        <v>0</v>
      </c>
      <c r="AE167" s="63">
        <f t="shared" si="24"/>
        <v>0</v>
      </c>
      <c r="AF167" s="63">
        <f t="shared" si="24"/>
        <v>0</v>
      </c>
    </row>
    <row r="168" spans="1:32" hidden="1" x14ac:dyDescent="0.2">
      <c r="A168" s="28">
        <v>535</v>
      </c>
      <c r="B168" s="28" t="s">
        <v>206</v>
      </c>
      <c r="C168" s="30">
        <v>1.91</v>
      </c>
      <c r="D168" s="30">
        <v>1.91</v>
      </c>
      <c r="E168" s="30">
        <v>1.91</v>
      </c>
      <c r="F168" s="30">
        <v>1.91</v>
      </c>
      <c r="G168" s="30">
        <v>1.91</v>
      </c>
      <c r="H168" s="30">
        <v>32.200000000000003</v>
      </c>
      <c r="I168" s="54">
        <f t="shared" si="25"/>
        <v>5.9316770186335396E-2</v>
      </c>
      <c r="J168" s="54">
        <f t="shared" si="25"/>
        <v>5.9316770186335396E-2</v>
      </c>
      <c r="K168" s="54">
        <f t="shared" si="25"/>
        <v>5.9316770186335396E-2</v>
      </c>
      <c r="L168" s="54">
        <f t="shared" si="25"/>
        <v>5.9316770186335396E-2</v>
      </c>
      <c r="M168" s="54">
        <f t="shared" si="25"/>
        <v>5.9316770186335396E-2</v>
      </c>
      <c r="N168" s="51">
        <f>FORESTS2[[#This Row],[Area_2020]]-FORESTS2[[#This Row],[Area_1990]]</f>
        <v>0</v>
      </c>
      <c r="O168" s="51">
        <f>ABS(FORESTS2[[#This Row],[Area_Delta]])</f>
        <v>0</v>
      </c>
      <c r="P168" s="54">
        <f>FORESTS2[[#This Row],[Area_2020_%]]-FORESTS2[[#This Row],[Area_1990_%]]</f>
        <v>0</v>
      </c>
      <c r="Q168" s="54" t="b">
        <f t="shared" si="18"/>
        <v>0</v>
      </c>
      <c r="R168" s="51">
        <f t="shared" si="19"/>
        <v>0</v>
      </c>
      <c r="S168" s="51">
        <f t="shared" si="20"/>
        <v>0</v>
      </c>
      <c r="T168" s="48">
        <f t="shared" si="21"/>
        <v>0</v>
      </c>
      <c r="U168" s="48">
        <v>5.93</v>
      </c>
      <c r="V168" s="30" t="s">
        <v>247</v>
      </c>
      <c r="W168" s="30" t="s">
        <v>247</v>
      </c>
      <c r="X168" s="38">
        <f t="shared" si="22"/>
        <v>0</v>
      </c>
      <c r="Y168" s="38">
        <f t="shared" si="22"/>
        <v>0</v>
      </c>
      <c r="Z168" s="38">
        <f t="shared" si="22"/>
        <v>0</v>
      </c>
      <c r="AA168" s="38">
        <f t="shared" si="22"/>
        <v>0</v>
      </c>
      <c r="AB168" s="38">
        <f>FORESTS2[[#This Row],[Column7]]+FORESTS2[[#This Row],[Column8]]</f>
        <v>0</v>
      </c>
      <c r="AC168" s="63">
        <f t="shared" si="23"/>
        <v>0</v>
      </c>
      <c r="AD168" s="63">
        <f t="shared" si="23"/>
        <v>0</v>
      </c>
      <c r="AE168" s="63">
        <f t="shared" si="24"/>
        <v>0</v>
      </c>
      <c r="AF168" s="63">
        <f t="shared" si="24"/>
        <v>0</v>
      </c>
    </row>
    <row r="169" spans="1:32" hidden="1" x14ac:dyDescent="0.2">
      <c r="A169" s="28">
        <v>626</v>
      </c>
      <c r="B169" s="28" t="s">
        <v>165</v>
      </c>
      <c r="C169" s="46">
        <v>963.1</v>
      </c>
      <c r="D169" s="46">
        <v>949.1</v>
      </c>
      <c r="E169" s="46">
        <v>935.1</v>
      </c>
      <c r="F169" s="46">
        <v>928.1</v>
      </c>
      <c r="G169" s="46">
        <v>921.1</v>
      </c>
      <c r="H169" s="46">
        <v>1487</v>
      </c>
      <c r="I169" s="54">
        <f t="shared" si="25"/>
        <v>0.64767989240080703</v>
      </c>
      <c r="J169" s="54">
        <f t="shared" si="25"/>
        <v>0.63826496301277746</v>
      </c>
      <c r="K169" s="54">
        <f t="shared" si="25"/>
        <v>0.62885003362474778</v>
      </c>
      <c r="L169" s="54">
        <f t="shared" si="25"/>
        <v>0.62414256893073305</v>
      </c>
      <c r="M169" s="54">
        <f t="shared" si="25"/>
        <v>0.61943510423671821</v>
      </c>
      <c r="N169" s="51">
        <f>FORESTS2[[#This Row],[Area_2020]]-FORESTS2[[#This Row],[Area_1990]]</f>
        <v>-42</v>
      </c>
      <c r="O169" s="51">
        <f>ABS(FORESTS2[[#This Row],[Area_Delta]])</f>
        <v>42</v>
      </c>
      <c r="P169" s="54">
        <f>FORESTS2[[#This Row],[Area_2020_%]]-FORESTS2[[#This Row],[Area_1990_%]]</f>
        <v>-2.8244788164088819E-2</v>
      </c>
      <c r="Q169" s="54" t="b">
        <f t="shared" si="18"/>
        <v>0</v>
      </c>
      <c r="R169" s="51">
        <f t="shared" si="19"/>
        <v>0</v>
      </c>
      <c r="S169" s="51">
        <f t="shared" si="20"/>
        <v>42</v>
      </c>
      <c r="T169" s="48">
        <f t="shared" si="21"/>
        <v>4</v>
      </c>
      <c r="U169" s="48">
        <v>61.94</v>
      </c>
      <c r="V169" s="30" t="s">
        <v>247</v>
      </c>
      <c r="W169" s="30" t="s">
        <v>247</v>
      </c>
      <c r="X169" s="38">
        <f t="shared" si="22"/>
        <v>-14</v>
      </c>
      <c r="Y169" s="38">
        <f t="shared" si="22"/>
        <v>-14</v>
      </c>
      <c r="Z169" s="38">
        <f t="shared" si="22"/>
        <v>-7</v>
      </c>
      <c r="AA169" s="38">
        <f t="shared" si="22"/>
        <v>-7</v>
      </c>
      <c r="AB169" s="38">
        <f>FORESTS2[[#This Row],[Column7]]+FORESTS2[[#This Row],[Column8]]</f>
        <v>-14</v>
      </c>
      <c r="AC169" s="63">
        <f t="shared" si="23"/>
        <v>-1.4</v>
      </c>
      <c r="AD169" s="63">
        <f t="shared" si="23"/>
        <v>-1.4</v>
      </c>
      <c r="AE169" s="63">
        <f t="shared" si="24"/>
        <v>-1.4</v>
      </c>
      <c r="AF169" s="63">
        <f t="shared" si="24"/>
        <v>-1.4</v>
      </c>
    </row>
    <row r="170" spans="1:32" hidden="1" x14ac:dyDescent="0.2">
      <c r="A170" s="28">
        <v>752</v>
      </c>
      <c r="B170" s="28" t="s">
        <v>160</v>
      </c>
      <c r="C170" s="38">
        <v>28063</v>
      </c>
      <c r="D170" s="38">
        <v>28163</v>
      </c>
      <c r="E170" s="38">
        <v>28073</v>
      </c>
      <c r="F170" s="38">
        <v>27980</v>
      </c>
      <c r="G170" s="38">
        <v>27980</v>
      </c>
      <c r="H170" s="38">
        <v>40731</v>
      </c>
      <c r="I170" s="54">
        <f t="shared" si="25"/>
        <v>0.68898382067712549</v>
      </c>
      <c r="J170" s="54">
        <f t="shared" si="25"/>
        <v>0.69143895313152148</v>
      </c>
      <c r="K170" s="54">
        <f t="shared" si="25"/>
        <v>0.68922933392256513</v>
      </c>
      <c r="L170" s="54">
        <f t="shared" si="25"/>
        <v>0.68694606073997688</v>
      </c>
      <c r="M170" s="54">
        <f t="shared" si="25"/>
        <v>0.68694606073997688</v>
      </c>
      <c r="N170" s="51">
        <f>FORESTS2[[#This Row],[Area_2020]]-FORESTS2[[#This Row],[Area_1990]]</f>
        <v>-83</v>
      </c>
      <c r="O170" s="51">
        <f>ABS(FORESTS2[[#This Row],[Area_Delta]])</f>
        <v>83</v>
      </c>
      <c r="P170" s="54">
        <f>FORESTS2[[#This Row],[Area_2020_%]]-FORESTS2[[#This Row],[Area_1990_%]]</f>
        <v>-2.0377599371486088E-3</v>
      </c>
      <c r="Q170" s="54" t="b">
        <f t="shared" si="18"/>
        <v>0</v>
      </c>
      <c r="R170" s="51">
        <f t="shared" si="19"/>
        <v>0</v>
      </c>
      <c r="S170" s="51">
        <f t="shared" si="20"/>
        <v>83</v>
      </c>
      <c r="T170" s="62">
        <f t="shared" si="21"/>
        <v>2</v>
      </c>
      <c r="U170" s="43">
        <v>68.69</v>
      </c>
      <c r="V170" s="30">
        <v>13.05</v>
      </c>
      <c r="W170" s="38">
        <v>0.35</v>
      </c>
      <c r="X170" s="38">
        <f t="shared" si="22"/>
        <v>100</v>
      </c>
      <c r="Y170" s="38">
        <f t="shared" si="22"/>
        <v>-90</v>
      </c>
      <c r="Z170" s="38">
        <f t="shared" si="22"/>
        <v>-93</v>
      </c>
      <c r="AA170" s="38">
        <f t="shared" si="22"/>
        <v>0</v>
      </c>
      <c r="AB170" s="38">
        <f>FORESTS2[[#This Row],[Column7]]+FORESTS2[[#This Row],[Column8]]</f>
        <v>-93</v>
      </c>
      <c r="AC170" s="63">
        <f t="shared" si="23"/>
        <v>10</v>
      </c>
      <c r="AD170" s="63">
        <f t="shared" si="23"/>
        <v>-9</v>
      </c>
      <c r="AE170" s="63">
        <f t="shared" si="24"/>
        <v>-18.600000000000001</v>
      </c>
      <c r="AF170" s="63">
        <f t="shared" si="24"/>
        <v>0</v>
      </c>
    </row>
    <row r="171" spans="1:32" hidden="1" x14ac:dyDescent="0.2">
      <c r="A171" s="28">
        <v>666</v>
      </c>
      <c r="B171" s="28" t="s">
        <v>219</v>
      </c>
      <c r="C171" s="46">
        <v>1.9</v>
      </c>
      <c r="D171" s="46">
        <v>1.67</v>
      </c>
      <c r="E171" s="46">
        <v>1.44</v>
      </c>
      <c r="F171" s="46">
        <v>1.33</v>
      </c>
      <c r="G171" s="46">
        <v>1.22</v>
      </c>
      <c r="H171" s="46">
        <v>23</v>
      </c>
      <c r="I171" s="54">
        <f t="shared" si="25"/>
        <v>8.2608695652173908E-2</v>
      </c>
      <c r="J171" s="54">
        <f t="shared" si="25"/>
        <v>7.2608695652173913E-2</v>
      </c>
      <c r="K171" s="54">
        <f t="shared" si="25"/>
        <v>6.2608695652173904E-2</v>
      </c>
      <c r="L171" s="54">
        <f t="shared" si="25"/>
        <v>5.7826086956521743E-2</v>
      </c>
      <c r="M171" s="54">
        <f t="shared" si="25"/>
        <v>5.3043478260869567E-2</v>
      </c>
      <c r="N171" s="51">
        <f>FORESTS2[[#This Row],[Area_2020]]-FORESTS2[[#This Row],[Area_1990]]</f>
        <v>-0.67999999999999994</v>
      </c>
      <c r="O171" s="51">
        <f>ABS(FORESTS2[[#This Row],[Area_Delta]])</f>
        <v>0.67999999999999994</v>
      </c>
      <c r="P171" s="54">
        <f>FORESTS2[[#This Row],[Area_2020_%]]-FORESTS2[[#This Row],[Area_1990_%]]</f>
        <v>-2.9565217391304341E-2</v>
      </c>
      <c r="Q171" s="54" t="b">
        <f t="shared" si="18"/>
        <v>0</v>
      </c>
      <c r="R171" s="51">
        <f t="shared" si="19"/>
        <v>0</v>
      </c>
      <c r="S171" s="51">
        <f t="shared" si="20"/>
        <v>0.67999999999999994</v>
      </c>
      <c r="T171" s="48">
        <f t="shared" si="21"/>
        <v>4</v>
      </c>
      <c r="U171" s="48">
        <v>5.3</v>
      </c>
      <c r="V171" s="30" t="s">
        <v>247</v>
      </c>
      <c r="W171" s="30">
        <v>0</v>
      </c>
      <c r="X171" s="38">
        <f t="shared" si="22"/>
        <v>-0.22999999999999998</v>
      </c>
      <c r="Y171" s="38">
        <f t="shared" si="22"/>
        <v>-0.22999999999999998</v>
      </c>
      <c r="Z171" s="38">
        <f t="shared" si="22"/>
        <v>-0.10999999999999988</v>
      </c>
      <c r="AA171" s="38">
        <f t="shared" si="22"/>
        <v>-0.1100000000000001</v>
      </c>
      <c r="AB171" s="38">
        <f>FORESTS2[[#This Row],[Column7]]+FORESTS2[[#This Row],[Column8]]</f>
        <v>-0.21999999999999997</v>
      </c>
      <c r="AC171" s="63">
        <f t="shared" si="23"/>
        <v>-2.3E-2</v>
      </c>
      <c r="AD171" s="63">
        <f t="shared" si="23"/>
        <v>-2.3E-2</v>
      </c>
      <c r="AE171" s="63">
        <f t="shared" si="24"/>
        <v>-2.1999999999999974E-2</v>
      </c>
      <c r="AF171" s="63">
        <f t="shared" si="24"/>
        <v>-2.200000000000002E-2</v>
      </c>
    </row>
    <row r="172" spans="1:32" hidden="1" x14ac:dyDescent="0.2">
      <c r="A172" s="28">
        <v>831</v>
      </c>
      <c r="B172" s="28" t="s">
        <v>228</v>
      </c>
      <c r="C172" s="30">
        <v>0.23</v>
      </c>
      <c r="D172" s="30">
        <v>0.23</v>
      </c>
      <c r="E172" s="30">
        <v>0.42</v>
      </c>
      <c r="F172" s="30">
        <v>0.42</v>
      </c>
      <c r="G172" s="30">
        <v>0.42</v>
      </c>
      <c r="H172" s="30">
        <v>8</v>
      </c>
      <c r="I172" s="54">
        <f t="shared" si="25"/>
        <v>2.8750000000000001E-2</v>
      </c>
      <c r="J172" s="54">
        <f t="shared" si="25"/>
        <v>2.8750000000000001E-2</v>
      </c>
      <c r="K172" s="54">
        <f t="shared" si="25"/>
        <v>5.2499999999999998E-2</v>
      </c>
      <c r="L172" s="54">
        <f t="shared" si="25"/>
        <v>5.2499999999999998E-2</v>
      </c>
      <c r="M172" s="54">
        <f t="shared" si="25"/>
        <v>5.2499999999999998E-2</v>
      </c>
      <c r="N172" s="51">
        <f>FORESTS2[[#This Row],[Area_2020]]-FORESTS2[[#This Row],[Area_1990]]</f>
        <v>0.18999999999999997</v>
      </c>
      <c r="O172" s="51">
        <f>ABS(FORESTS2[[#This Row],[Area_Delta]])</f>
        <v>0.18999999999999997</v>
      </c>
      <c r="P172" s="54">
        <f>FORESTS2[[#This Row],[Area_2020_%]]-FORESTS2[[#This Row],[Area_1990_%]]</f>
        <v>2.3749999999999997E-2</v>
      </c>
      <c r="Q172" s="54" t="b">
        <f t="shared" si="18"/>
        <v>1</v>
      </c>
      <c r="R172" s="51">
        <f t="shared" si="19"/>
        <v>0.18999999999999997</v>
      </c>
      <c r="S172" s="51">
        <f t="shared" si="20"/>
        <v>0</v>
      </c>
      <c r="T172" s="48">
        <f t="shared" si="21"/>
        <v>0</v>
      </c>
      <c r="U172" s="48">
        <v>5.25</v>
      </c>
      <c r="V172" s="30" t="s">
        <v>247</v>
      </c>
      <c r="W172" s="30" t="s">
        <v>247</v>
      </c>
      <c r="X172" s="38">
        <f t="shared" si="22"/>
        <v>0</v>
      </c>
      <c r="Y172" s="38">
        <f t="shared" si="22"/>
        <v>0.18999999999999997</v>
      </c>
      <c r="Z172" s="38">
        <f t="shared" si="22"/>
        <v>0</v>
      </c>
      <c r="AA172" s="38">
        <f t="shared" si="22"/>
        <v>0</v>
      </c>
      <c r="AB172" s="38">
        <f>FORESTS2[[#This Row],[Column7]]+FORESTS2[[#This Row],[Column8]]</f>
        <v>0</v>
      </c>
      <c r="AC172" s="63">
        <f t="shared" si="23"/>
        <v>0</v>
      </c>
      <c r="AD172" s="63">
        <f t="shared" si="23"/>
        <v>1.8999999999999996E-2</v>
      </c>
      <c r="AE172" s="63">
        <f t="shared" si="24"/>
        <v>0</v>
      </c>
      <c r="AF172" s="63">
        <f t="shared" si="24"/>
        <v>0</v>
      </c>
    </row>
    <row r="173" spans="1:32" hidden="1" x14ac:dyDescent="0.2">
      <c r="A173" s="28">
        <v>254</v>
      </c>
      <c r="B173" s="31" t="s">
        <v>217</v>
      </c>
      <c r="C173" s="46">
        <v>8125</v>
      </c>
      <c r="D173" s="46">
        <v>8079.44</v>
      </c>
      <c r="E173" s="46">
        <v>8036.5</v>
      </c>
      <c r="F173" s="46">
        <v>8020</v>
      </c>
      <c r="G173" s="46">
        <v>8002.85</v>
      </c>
      <c r="H173" s="46">
        <v>8220</v>
      </c>
      <c r="I173" s="54">
        <f t="shared" si="25"/>
        <v>0.98844282238442827</v>
      </c>
      <c r="J173" s="54">
        <f t="shared" si="25"/>
        <v>0.98290024330900239</v>
      </c>
      <c r="K173" s="54">
        <f t="shared" si="25"/>
        <v>0.97767639902676395</v>
      </c>
      <c r="L173" s="54">
        <f t="shared" si="25"/>
        <v>0.97566909975669103</v>
      </c>
      <c r="M173" s="54">
        <f t="shared" si="25"/>
        <v>0.97358272506082733</v>
      </c>
      <c r="N173" s="51">
        <f>FORESTS2[[#This Row],[Area_2020]]-FORESTS2[[#This Row],[Area_1990]]</f>
        <v>-122.14999999999964</v>
      </c>
      <c r="O173" s="51">
        <f>ABS(FORESTS2[[#This Row],[Area_Delta]])</f>
        <v>122.14999999999964</v>
      </c>
      <c r="P173" s="54">
        <f>FORESTS2[[#This Row],[Area_2020_%]]-FORESTS2[[#This Row],[Area_1990_%]]</f>
        <v>-1.486009732360094E-2</v>
      </c>
      <c r="Q173" s="54" t="b">
        <f t="shared" si="18"/>
        <v>0</v>
      </c>
      <c r="R173" s="51">
        <f t="shared" si="19"/>
        <v>0</v>
      </c>
      <c r="S173" s="51">
        <f t="shared" si="20"/>
        <v>122.14999999999964</v>
      </c>
      <c r="T173" s="48">
        <f t="shared" si="21"/>
        <v>4</v>
      </c>
      <c r="U173" s="43">
        <v>97.36</v>
      </c>
      <c r="V173" s="30">
        <v>5.78</v>
      </c>
      <c r="W173" s="38">
        <v>0</v>
      </c>
      <c r="X173" s="38">
        <f t="shared" si="22"/>
        <v>-45.5600000000004</v>
      </c>
      <c r="Y173" s="38">
        <f t="shared" si="22"/>
        <v>-42.9399999999996</v>
      </c>
      <c r="Z173" s="38">
        <f t="shared" si="22"/>
        <v>-16.5</v>
      </c>
      <c r="AA173" s="38">
        <f t="shared" si="22"/>
        <v>-17.149999999999636</v>
      </c>
      <c r="AB173" s="38">
        <f>FORESTS2[[#This Row],[Column7]]+FORESTS2[[#This Row],[Column8]]</f>
        <v>-33.649999999999636</v>
      </c>
      <c r="AC173" s="63">
        <f t="shared" si="23"/>
        <v>-4.55600000000004</v>
      </c>
      <c r="AD173" s="63">
        <f t="shared" si="23"/>
        <v>-4.2939999999999596</v>
      </c>
      <c r="AE173" s="63">
        <f t="shared" si="24"/>
        <v>-3.3</v>
      </c>
      <c r="AF173" s="63">
        <f t="shared" si="24"/>
        <v>-3.4299999999999273</v>
      </c>
    </row>
    <row r="174" spans="1:32" hidden="1" x14ac:dyDescent="0.2">
      <c r="A174" s="28">
        <v>654</v>
      </c>
      <c r="B174" s="28" t="s">
        <v>202</v>
      </c>
      <c r="C174" s="30">
        <v>2</v>
      </c>
      <c r="D174" s="30">
        <v>2</v>
      </c>
      <c r="E174" s="30">
        <v>2</v>
      </c>
      <c r="F174" s="30">
        <v>2</v>
      </c>
      <c r="G174" s="30">
        <v>2</v>
      </c>
      <c r="H174" s="30">
        <v>39</v>
      </c>
      <c r="I174" s="54">
        <f t="shared" si="25"/>
        <v>5.128205128205128E-2</v>
      </c>
      <c r="J174" s="54">
        <f t="shared" si="25"/>
        <v>5.128205128205128E-2</v>
      </c>
      <c r="K174" s="54">
        <f t="shared" si="25"/>
        <v>5.128205128205128E-2</v>
      </c>
      <c r="L174" s="54">
        <f t="shared" si="25"/>
        <v>5.128205128205128E-2</v>
      </c>
      <c r="M174" s="54">
        <f t="shared" si="25"/>
        <v>5.128205128205128E-2</v>
      </c>
      <c r="N174" s="51">
        <f>FORESTS2[[#This Row],[Area_2020]]-FORESTS2[[#This Row],[Area_1990]]</f>
        <v>0</v>
      </c>
      <c r="O174" s="51">
        <f>ABS(FORESTS2[[#This Row],[Area_Delta]])</f>
        <v>0</v>
      </c>
      <c r="P174" s="54">
        <f>FORESTS2[[#This Row],[Area_2020_%]]-FORESTS2[[#This Row],[Area_1990_%]]</f>
        <v>0</v>
      </c>
      <c r="Q174" s="54" t="b">
        <f t="shared" si="18"/>
        <v>0</v>
      </c>
      <c r="R174" s="51">
        <f t="shared" si="19"/>
        <v>0</v>
      </c>
      <c r="S174" s="51">
        <f t="shared" si="20"/>
        <v>0</v>
      </c>
      <c r="T174" s="48">
        <f t="shared" si="21"/>
        <v>0</v>
      </c>
      <c r="U174" s="48">
        <v>5.13</v>
      </c>
      <c r="V174" s="30" t="s">
        <v>247</v>
      </c>
      <c r="W174" s="30" t="s">
        <v>247</v>
      </c>
      <c r="X174" s="38">
        <f t="shared" si="22"/>
        <v>0</v>
      </c>
      <c r="Y174" s="38">
        <f t="shared" si="22"/>
        <v>0</v>
      </c>
      <c r="Z174" s="38">
        <f t="shared" si="22"/>
        <v>0</v>
      </c>
      <c r="AA174" s="38">
        <f t="shared" si="22"/>
        <v>0</v>
      </c>
      <c r="AB174" s="38">
        <f>FORESTS2[[#This Row],[Column7]]+FORESTS2[[#This Row],[Column8]]</f>
        <v>0</v>
      </c>
      <c r="AC174" s="63">
        <f t="shared" si="23"/>
        <v>0</v>
      </c>
      <c r="AD174" s="63">
        <f t="shared" si="23"/>
        <v>0</v>
      </c>
      <c r="AE174" s="63">
        <f t="shared" si="24"/>
        <v>0</v>
      </c>
      <c r="AF174" s="63">
        <f t="shared" si="24"/>
        <v>0</v>
      </c>
    </row>
    <row r="175" spans="1:32" hidden="1" x14ac:dyDescent="0.2">
      <c r="A175" s="28">
        <v>832</v>
      </c>
      <c r="B175" s="28" t="s">
        <v>229</v>
      </c>
      <c r="C175" s="30">
        <v>0.6</v>
      </c>
      <c r="D175" s="30">
        <v>0.6</v>
      </c>
      <c r="E175" s="30">
        <v>0.6</v>
      </c>
      <c r="F175" s="30">
        <v>0.6</v>
      </c>
      <c r="G175" s="30">
        <v>0.6</v>
      </c>
      <c r="H175" s="30">
        <v>12</v>
      </c>
      <c r="I175" s="54">
        <f t="shared" si="25"/>
        <v>4.9999999999999996E-2</v>
      </c>
      <c r="J175" s="54">
        <f t="shared" si="25"/>
        <v>4.9999999999999996E-2</v>
      </c>
      <c r="K175" s="54">
        <f t="shared" si="25"/>
        <v>4.9999999999999996E-2</v>
      </c>
      <c r="L175" s="54">
        <f t="shared" si="25"/>
        <v>4.9999999999999996E-2</v>
      </c>
      <c r="M175" s="54">
        <f t="shared" si="25"/>
        <v>4.9999999999999996E-2</v>
      </c>
      <c r="N175" s="51">
        <f>FORESTS2[[#This Row],[Area_2020]]-FORESTS2[[#This Row],[Area_1990]]</f>
        <v>0</v>
      </c>
      <c r="O175" s="51">
        <f>ABS(FORESTS2[[#This Row],[Area_Delta]])</f>
        <v>0</v>
      </c>
      <c r="P175" s="54">
        <f>FORESTS2[[#This Row],[Area_2020_%]]-FORESTS2[[#This Row],[Area_1990_%]]</f>
        <v>0</v>
      </c>
      <c r="Q175" s="54" t="b">
        <f t="shared" si="18"/>
        <v>0</v>
      </c>
      <c r="R175" s="51">
        <f t="shared" si="19"/>
        <v>0</v>
      </c>
      <c r="S175" s="51">
        <f t="shared" si="20"/>
        <v>0</v>
      </c>
      <c r="T175" s="48">
        <f t="shared" si="21"/>
        <v>0</v>
      </c>
      <c r="U175" s="48">
        <v>5</v>
      </c>
      <c r="V175" s="30">
        <v>0</v>
      </c>
      <c r="W175" s="30" t="s">
        <v>247</v>
      </c>
      <c r="X175" s="38">
        <f t="shared" si="22"/>
        <v>0</v>
      </c>
      <c r="Y175" s="38">
        <f t="shared" si="22"/>
        <v>0</v>
      </c>
      <c r="Z175" s="38">
        <f t="shared" si="22"/>
        <v>0</v>
      </c>
      <c r="AA175" s="38">
        <f t="shared" si="22"/>
        <v>0</v>
      </c>
      <c r="AB175" s="38">
        <f>FORESTS2[[#This Row],[Column7]]+FORESTS2[[#This Row],[Column8]]</f>
        <v>0</v>
      </c>
      <c r="AC175" s="63">
        <f t="shared" si="23"/>
        <v>0</v>
      </c>
      <c r="AD175" s="63">
        <f t="shared" si="23"/>
        <v>0</v>
      </c>
      <c r="AE175" s="63">
        <f t="shared" si="24"/>
        <v>0</v>
      </c>
      <c r="AF175" s="63">
        <f t="shared" si="24"/>
        <v>0</v>
      </c>
    </row>
    <row r="176" spans="1:32" hidden="1" x14ac:dyDescent="0.2">
      <c r="A176" s="28">
        <v>586</v>
      </c>
      <c r="B176" s="28" t="s">
        <v>125</v>
      </c>
      <c r="C176" s="46">
        <v>4986.79</v>
      </c>
      <c r="D176" s="46">
        <v>4511.26</v>
      </c>
      <c r="E176" s="46">
        <v>4093.73</v>
      </c>
      <c r="F176" s="46">
        <v>3932.6</v>
      </c>
      <c r="G176" s="46">
        <v>3725.9</v>
      </c>
      <c r="H176" s="46">
        <v>77088</v>
      </c>
      <c r="I176" s="54">
        <f t="shared" si="25"/>
        <v>6.468957555002075E-2</v>
      </c>
      <c r="J176" s="54">
        <f t="shared" si="25"/>
        <v>5.8520911166459112E-2</v>
      </c>
      <c r="K176" s="54">
        <f t="shared" si="25"/>
        <v>5.3104633665421334E-2</v>
      </c>
      <c r="L176" s="54">
        <f t="shared" si="25"/>
        <v>5.1014425072644247E-2</v>
      </c>
      <c r="M176" s="54">
        <f t="shared" si="25"/>
        <v>4.833307388958074E-2</v>
      </c>
      <c r="N176" s="51">
        <f>FORESTS2[[#This Row],[Area_2020]]-FORESTS2[[#This Row],[Area_1990]]</f>
        <v>-1260.8899999999999</v>
      </c>
      <c r="O176" s="51">
        <f>ABS(FORESTS2[[#This Row],[Area_Delta]])</f>
        <v>1260.8899999999999</v>
      </c>
      <c r="P176" s="54">
        <f>FORESTS2[[#This Row],[Area_2020_%]]-FORESTS2[[#This Row],[Area_1990_%]]</f>
        <v>-1.6356501660440011E-2</v>
      </c>
      <c r="Q176" s="54" t="b">
        <f t="shared" si="18"/>
        <v>0</v>
      </c>
      <c r="R176" s="51">
        <f t="shared" si="19"/>
        <v>0</v>
      </c>
      <c r="S176" s="51">
        <f t="shared" si="20"/>
        <v>1260.8899999999999</v>
      </c>
      <c r="T176" s="48">
        <f t="shared" si="21"/>
        <v>4</v>
      </c>
      <c r="U176" s="43">
        <v>4.83</v>
      </c>
      <c r="V176" s="30" t="s">
        <v>247</v>
      </c>
      <c r="W176" s="38" t="s">
        <v>247</v>
      </c>
      <c r="X176" s="38">
        <f t="shared" si="22"/>
        <v>-475.52999999999975</v>
      </c>
      <c r="Y176" s="38">
        <f t="shared" si="22"/>
        <v>-417.5300000000002</v>
      </c>
      <c r="Z176" s="38">
        <f t="shared" si="22"/>
        <v>-161.13000000000011</v>
      </c>
      <c r="AA176" s="38">
        <f t="shared" si="22"/>
        <v>-206.69999999999982</v>
      </c>
      <c r="AB176" s="38">
        <f>FORESTS2[[#This Row],[Column7]]+FORESTS2[[#This Row],[Column8]]</f>
        <v>-367.82999999999993</v>
      </c>
      <c r="AC176" s="63">
        <f t="shared" si="23"/>
        <v>-47.552999999999976</v>
      </c>
      <c r="AD176" s="63">
        <f t="shared" si="23"/>
        <v>-41.753000000000021</v>
      </c>
      <c r="AE176" s="63">
        <f t="shared" si="24"/>
        <v>-32.22600000000002</v>
      </c>
      <c r="AF176" s="63">
        <f t="shared" si="24"/>
        <v>-41.339999999999961</v>
      </c>
    </row>
    <row r="177" spans="1:32" hidden="1" x14ac:dyDescent="0.2">
      <c r="A177" s="28">
        <v>788</v>
      </c>
      <c r="B177" s="28" t="s">
        <v>169</v>
      </c>
      <c r="C177" s="38">
        <v>643.98</v>
      </c>
      <c r="D177" s="38">
        <v>667.85</v>
      </c>
      <c r="E177" s="38">
        <v>687.43</v>
      </c>
      <c r="F177" s="38">
        <v>695.08</v>
      </c>
      <c r="G177" s="38">
        <v>702.73</v>
      </c>
      <c r="H177" s="38">
        <v>15536</v>
      </c>
      <c r="I177" s="54">
        <f t="shared" si="25"/>
        <v>4.1450823892893923E-2</v>
      </c>
      <c r="J177" s="54">
        <f t="shared" si="25"/>
        <v>4.2987255406797119E-2</v>
      </c>
      <c r="K177" s="54">
        <f t="shared" si="25"/>
        <v>4.4247554067971158E-2</v>
      </c>
      <c r="L177" s="54">
        <f t="shared" si="25"/>
        <v>4.4739958805355307E-2</v>
      </c>
      <c r="M177" s="54">
        <f t="shared" si="25"/>
        <v>4.5232363542739448E-2</v>
      </c>
      <c r="N177" s="51">
        <f>FORESTS2[[#This Row],[Area_2020]]-FORESTS2[[#This Row],[Area_1990]]</f>
        <v>58.75</v>
      </c>
      <c r="O177" s="51">
        <f>ABS(FORESTS2[[#This Row],[Area_Delta]])</f>
        <v>58.75</v>
      </c>
      <c r="P177" s="54">
        <f>FORESTS2[[#This Row],[Area_2020_%]]-FORESTS2[[#This Row],[Area_1990_%]]</f>
        <v>3.781539649845525E-3</v>
      </c>
      <c r="Q177" s="54" t="b">
        <f t="shared" si="18"/>
        <v>1</v>
      </c>
      <c r="R177" s="51">
        <f t="shared" si="19"/>
        <v>58.75</v>
      </c>
      <c r="S177" s="51">
        <f t="shared" si="20"/>
        <v>0</v>
      </c>
      <c r="T177" s="48">
        <f t="shared" si="21"/>
        <v>0</v>
      </c>
      <c r="U177" s="43">
        <v>4.5199999999999996</v>
      </c>
      <c r="V177" s="30">
        <v>0.56999999999999995</v>
      </c>
      <c r="W177" s="38">
        <v>5.04</v>
      </c>
      <c r="X177" s="38">
        <f t="shared" si="22"/>
        <v>23.870000000000005</v>
      </c>
      <c r="Y177" s="38">
        <f t="shared" si="22"/>
        <v>19.579999999999927</v>
      </c>
      <c r="Z177" s="38">
        <f t="shared" si="22"/>
        <v>7.6500000000000909</v>
      </c>
      <c r="AA177" s="38">
        <f t="shared" si="22"/>
        <v>7.6499999999999773</v>
      </c>
      <c r="AB177" s="38">
        <f>FORESTS2[[#This Row],[Column7]]+FORESTS2[[#This Row],[Column8]]</f>
        <v>15.300000000000068</v>
      </c>
      <c r="AC177" s="63">
        <f t="shared" si="23"/>
        <v>2.3870000000000005</v>
      </c>
      <c r="AD177" s="63">
        <f t="shared" si="23"/>
        <v>1.9579999999999926</v>
      </c>
      <c r="AE177" s="63">
        <f t="shared" si="24"/>
        <v>1.5300000000000182</v>
      </c>
      <c r="AF177" s="63">
        <f t="shared" si="24"/>
        <v>1.5299999999999954</v>
      </c>
    </row>
    <row r="178" spans="1:32" hidden="1" x14ac:dyDescent="0.2">
      <c r="A178" s="28">
        <v>784</v>
      </c>
      <c r="B178" s="28" t="s">
        <v>227</v>
      </c>
      <c r="C178" s="38">
        <v>245</v>
      </c>
      <c r="D178" s="38">
        <v>309.43</v>
      </c>
      <c r="E178" s="38">
        <v>317.3</v>
      </c>
      <c r="F178" s="38">
        <v>317.3</v>
      </c>
      <c r="G178" s="38">
        <v>317.3</v>
      </c>
      <c r="H178" s="38">
        <v>7102</v>
      </c>
      <c r="I178" s="54">
        <f t="shared" si="25"/>
        <v>3.4497324697268378E-2</v>
      </c>
      <c r="J178" s="54">
        <f t="shared" si="25"/>
        <v>4.3569417065615318E-2</v>
      </c>
      <c r="K178" s="54">
        <f t="shared" si="25"/>
        <v>4.4677555618135738E-2</v>
      </c>
      <c r="L178" s="54">
        <f t="shared" si="25"/>
        <v>4.4677555618135738E-2</v>
      </c>
      <c r="M178" s="54">
        <f t="shared" si="25"/>
        <v>4.4677555618135738E-2</v>
      </c>
      <c r="N178" s="51">
        <f>FORESTS2[[#This Row],[Area_2020]]-FORESTS2[[#This Row],[Area_1990]]</f>
        <v>72.300000000000011</v>
      </c>
      <c r="O178" s="51">
        <f>ABS(FORESTS2[[#This Row],[Area_Delta]])</f>
        <v>72.300000000000011</v>
      </c>
      <c r="P178" s="54">
        <f>FORESTS2[[#This Row],[Area_2020_%]]-FORESTS2[[#This Row],[Area_1990_%]]</f>
        <v>1.018023092086736E-2</v>
      </c>
      <c r="Q178" s="54" t="b">
        <f t="shared" si="18"/>
        <v>1</v>
      </c>
      <c r="R178" s="51">
        <f t="shared" si="19"/>
        <v>72.300000000000011</v>
      </c>
      <c r="S178" s="51">
        <f t="shared" si="20"/>
        <v>0</v>
      </c>
      <c r="T178" s="48">
        <f t="shared" si="21"/>
        <v>0</v>
      </c>
      <c r="U178" s="43">
        <v>4.47</v>
      </c>
      <c r="V178" s="30" t="s">
        <v>247</v>
      </c>
      <c r="W178" s="38" t="s">
        <v>247</v>
      </c>
      <c r="X178" s="38">
        <f t="shared" si="22"/>
        <v>64.430000000000007</v>
      </c>
      <c r="Y178" s="38">
        <f t="shared" si="22"/>
        <v>7.8700000000000045</v>
      </c>
      <c r="Z178" s="38">
        <f t="shared" si="22"/>
        <v>0</v>
      </c>
      <c r="AA178" s="38">
        <f t="shared" si="22"/>
        <v>0</v>
      </c>
      <c r="AB178" s="38">
        <f>FORESTS2[[#This Row],[Column7]]+FORESTS2[[#This Row],[Column8]]</f>
        <v>0</v>
      </c>
      <c r="AC178" s="63">
        <f t="shared" si="23"/>
        <v>6.4430000000000005</v>
      </c>
      <c r="AD178" s="63">
        <f t="shared" si="23"/>
        <v>0.78700000000000048</v>
      </c>
      <c r="AE178" s="63">
        <f t="shared" si="24"/>
        <v>0</v>
      </c>
      <c r="AF178" s="63">
        <f t="shared" si="24"/>
        <v>0</v>
      </c>
    </row>
    <row r="179" spans="1:32" hidden="1" x14ac:dyDescent="0.2">
      <c r="A179" s="28">
        <v>740</v>
      </c>
      <c r="B179" s="28" t="s">
        <v>158</v>
      </c>
      <c r="C179" s="46">
        <v>15377.63</v>
      </c>
      <c r="D179" s="46">
        <v>15340.87</v>
      </c>
      <c r="E179" s="46">
        <v>15299.86</v>
      </c>
      <c r="F179" s="46">
        <v>15251.67</v>
      </c>
      <c r="G179" s="46">
        <v>15196.29</v>
      </c>
      <c r="H179" s="46">
        <v>15600</v>
      </c>
      <c r="I179" s="54">
        <f t="shared" si="25"/>
        <v>0.98574551282051281</v>
      </c>
      <c r="J179" s="54">
        <f t="shared" si="25"/>
        <v>0.98338910256410261</v>
      </c>
      <c r="K179" s="54">
        <f t="shared" si="25"/>
        <v>0.98076025641025644</v>
      </c>
      <c r="L179" s="54">
        <f t="shared" si="25"/>
        <v>0.97767115384615388</v>
      </c>
      <c r="M179" s="54">
        <f t="shared" si="25"/>
        <v>0.97412115384615394</v>
      </c>
      <c r="N179" s="51">
        <f>FORESTS2[[#This Row],[Area_2020]]-FORESTS2[[#This Row],[Area_1990]]</f>
        <v>-181.33999999999833</v>
      </c>
      <c r="O179" s="51">
        <f>ABS(FORESTS2[[#This Row],[Area_Delta]])</f>
        <v>181.33999999999833</v>
      </c>
      <c r="P179" s="54">
        <f>FORESTS2[[#This Row],[Area_2020_%]]-FORESTS2[[#This Row],[Area_1990_%]]</f>
        <v>-1.1624358974358873E-2</v>
      </c>
      <c r="Q179" s="54" t="b">
        <f t="shared" si="18"/>
        <v>0</v>
      </c>
      <c r="R179" s="51">
        <f t="shared" si="19"/>
        <v>0</v>
      </c>
      <c r="S179" s="51">
        <f t="shared" si="20"/>
        <v>181.33999999999833</v>
      </c>
      <c r="T179" s="62">
        <f t="shared" si="21"/>
        <v>4</v>
      </c>
      <c r="U179" s="43">
        <v>97.41</v>
      </c>
      <c r="V179" s="30">
        <v>11.65</v>
      </c>
      <c r="W179" s="38">
        <v>2.5</v>
      </c>
      <c r="X179" s="38">
        <f t="shared" si="22"/>
        <v>-36.759999999998399</v>
      </c>
      <c r="Y179" s="38">
        <f t="shared" si="22"/>
        <v>-41.010000000000218</v>
      </c>
      <c r="Z179" s="38">
        <f t="shared" si="22"/>
        <v>-48.190000000000509</v>
      </c>
      <c r="AA179" s="38">
        <f t="shared" si="22"/>
        <v>-55.3799999999992</v>
      </c>
      <c r="AB179" s="38">
        <f>FORESTS2[[#This Row],[Column7]]+FORESTS2[[#This Row],[Column8]]</f>
        <v>-103.56999999999971</v>
      </c>
      <c r="AC179" s="63">
        <f t="shared" si="23"/>
        <v>-3.6759999999998398</v>
      </c>
      <c r="AD179" s="63">
        <f t="shared" si="23"/>
        <v>-4.1010000000000222</v>
      </c>
      <c r="AE179" s="63">
        <f t="shared" si="24"/>
        <v>-9.6380000000001012</v>
      </c>
      <c r="AF179" s="63">
        <f t="shared" si="24"/>
        <v>-11.075999999999841</v>
      </c>
    </row>
    <row r="180" spans="1:32" hidden="1" x14ac:dyDescent="0.2">
      <c r="A180" s="28">
        <v>328</v>
      </c>
      <c r="B180" s="28" t="s">
        <v>70</v>
      </c>
      <c r="C180" s="46">
        <v>18602.150000000001</v>
      </c>
      <c r="D180" s="46">
        <v>18564.22</v>
      </c>
      <c r="E180" s="46">
        <v>18519.810000000001</v>
      </c>
      <c r="F180" s="46">
        <v>18461.36</v>
      </c>
      <c r="G180" s="46">
        <v>18415.34</v>
      </c>
      <c r="H180" s="46">
        <v>19685</v>
      </c>
      <c r="I180" s="54">
        <f t="shared" si="25"/>
        <v>0.94499110998222002</v>
      </c>
      <c r="J180" s="54">
        <f t="shared" si="25"/>
        <v>0.94306426212852434</v>
      </c>
      <c r="K180" s="54">
        <f t="shared" si="25"/>
        <v>0.94080822961645927</v>
      </c>
      <c r="L180" s="54">
        <f t="shared" si="25"/>
        <v>0.93783896367792741</v>
      </c>
      <c r="M180" s="54">
        <f t="shared" si="25"/>
        <v>0.93550114300228604</v>
      </c>
      <c r="N180" s="51">
        <f>FORESTS2[[#This Row],[Area_2020]]-FORESTS2[[#This Row],[Area_1990]]</f>
        <v>-186.81000000000131</v>
      </c>
      <c r="O180" s="51">
        <f>ABS(FORESTS2[[#This Row],[Area_Delta]])</f>
        <v>186.81000000000131</v>
      </c>
      <c r="P180" s="54">
        <f>FORESTS2[[#This Row],[Area_2020_%]]-FORESTS2[[#This Row],[Area_1990_%]]</f>
        <v>-9.4899669799339836E-3</v>
      </c>
      <c r="Q180" s="54" t="b">
        <f t="shared" si="18"/>
        <v>0</v>
      </c>
      <c r="R180" s="51">
        <f t="shared" si="19"/>
        <v>0</v>
      </c>
      <c r="S180" s="51">
        <f t="shared" si="20"/>
        <v>186.81000000000131</v>
      </c>
      <c r="T180" s="62">
        <f t="shared" si="21"/>
        <v>4</v>
      </c>
      <c r="U180" s="43">
        <v>93.55</v>
      </c>
      <c r="V180" s="30">
        <v>9.1999999999999993</v>
      </c>
      <c r="W180" s="38">
        <v>1.1299999999999999</v>
      </c>
      <c r="X180" s="38">
        <f t="shared" si="22"/>
        <v>-37.930000000000291</v>
      </c>
      <c r="Y180" s="38">
        <f t="shared" si="22"/>
        <v>-44.409999999999854</v>
      </c>
      <c r="Z180" s="38">
        <f t="shared" si="22"/>
        <v>-58.450000000000728</v>
      </c>
      <c r="AA180" s="38">
        <f t="shared" si="22"/>
        <v>-46.020000000000437</v>
      </c>
      <c r="AB180" s="38">
        <f>FORESTS2[[#This Row],[Column7]]+FORESTS2[[#This Row],[Column8]]</f>
        <v>-104.47000000000116</v>
      </c>
      <c r="AC180" s="63">
        <f t="shared" si="23"/>
        <v>-3.793000000000029</v>
      </c>
      <c r="AD180" s="63">
        <f t="shared" si="23"/>
        <v>-4.4409999999999856</v>
      </c>
      <c r="AE180" s="63">
        <f t="shared" si="24"/>
        <v>-11.690000000000145</v>
      </c>
      <c r="AF180" s="63">
        <f t="shared" si="24"/>
        <v>-9.2040000000000877</v>
      </c>
    </row>
    <row r="181" spans="1:32" hidden="1" x14ac:dyDescent="0.2">
      <c r="A181" s="28">
        <v>266</v>
      </c>
      <c r="B181" s="28" t="s">
        <v>58</v>
      </c>
      <c r="C181" s="46">
        <v>23761.62</v>
      </c>
      <c r="D181" s="46">
        <v>23700</v>
      </c>
      <c r="E181" s="46">
        <v>23649.41</v>
      </c>
      <c r="F181" s="46">
        <v>23590</v>
      </c>
      <c r="G181" s="46">
        <v>23530.6</v>
      </c>
      <c r="H181" s="46">
        <v>25767</v>
      </c>
      <c r="I181" s="54">
        <f t="shared" si="25"/>
        <v>0.92217254628012568</v>
      </c>
      <c r="J181" s="54">
        <f t="shared" si="25"/>
        <v>0.9197811153801374</v>
      </c>
      <c r="K181" s="54">
        <f t="shared" si="25"/>
        <v>0.91781775138743349</v>
      </c>
      <c r="L181" s="54">
        <f t="shared" si="25"/>
        <v>0.91551208910622117</v>
      </c>
      <c r="M181" s="54">
        <f t="shared" si="25"/>
        <v>0.91320681491830635</v>
      </c>
      <c r="N181" s="51">
        <f>FORESTS2[[#This Row],[Area_2020]]-FORESTS2[[#This Row],[Area_1990]]</f>
        <v>-231.02000000000044</v>
      </c>
      <c r="O181" s="51">
        <f>ABS(FORESTS2[[#This Row],[Area_Delta]])</f>
        <v>231.02000000000044</v>
      </c>
      <c r="P181" s="54">
        <f>FORESTS2[[#This Row],[Area_2020_%]]-FORESTS2[[#This Row],[Area_1990_%]]</f>
        <v>-8.9657313618193291E-3</v>
      </c>
      <c r="Q181" s="54" t="b">
        <f t="shared" si="18"/>
        <v>0</v>
      </c>
      <c r="R181" s="51">
        <f t="shared" si="19"/>
        <v>0</v>
      </c>
      <c r="S181" s="51">
        <f t="shared" si="20"/>
        <v>231.02000000000044</v>
      </c>
      <c r="T181" s="62">
        <f t="shared" si="21"/>
        <v>4</v>
      </c>
      <c r="U181" s="43">
        <v>91.32</v>
      </c>
      <c r="V181" s="30">
        <v>19.25</v>
      </c>
      <c r="W181" s="38">
        <v>0</v>
      </c>
      <c r="X181" s="38">
        <f t="shared" si="22"/>
        <v>-61.619999999998981</v>
      </c>
      <c r="Y181" s="38">
        <f t="shared" si="22"/>
        <v>-50.590000000000146</v>
      </c>
      <c r="Z181" s="38">
        <f t="shared" si="22"/>
        <v>-59.409999999999854</v>
      </c>
      <c r="AA181" s="38">
        <f t="shared" si="22"/>
        <v>-59.400000000001455</v>
      </c>
      <c r="AB181" s="38">
        <f>FORESTS2[[#This Row],[Column7]]+FORESTS2[[#This Row],[Column8]]</f>
        <v>-118.81000000000131</v>
      </c>
      <c r="AC181" s="63">
        <f t="shared" si="23"/>
        <v>-6.1619999999998978</v>
      </c>
      <c r="AD181" s="63">
        <f t="shared" si="23"/>
        <v>-5.0590000000000144</v>
      </c>
      <c r="AE181" s="63">
        <f t="shared" si="24"/>
        <v>-11.881999999999971</v>
      </c>
      <c r="AF181" s="63">
        <f t="shared" si="24"/>
        <v>-11.88000000000029</v>
      </c>
    </row>
    <row r="182" spans="1:32" hidden="1" x14ac:dyDescent="0.2">
      <c r="A182" s="28">
        <v>148</v>
      </c>
      <c r="B182" s="28" t="s">
        <v>30</v>
      </c>
      <c r="C182" s="46">
        <v>6730</v>
      </c>
      <c r="D182" s="46">
        <v>6353</v>
      </c>
      <c r="E182" s="46">
        <v>5530</v>
      </c>
      <c r="F182" s="46">
        <v>4890</v>
      </c>
      <c r="G182" s="46">
        <v>4313</v>
      </c>
      <c r="H182" s="46">
        <v>125920</v>
      </c>
      <c r="I182" s="54">
        <f t="shared" si="25"/>
        <v>5.3446632782719189E-2</v>
      </c>
      <c r="J182" s="54">
        <f t="shared" si="25"/>
        <v>5.0452668360864039E-2</v>
      </c>
      <c r="K182" s="54">
        <f t="shared" si="25"/>
        <v>4.3916772554002538E-2</v>
      </c>
      <c r="L182" s="54">
        <f t="shared" si="25"/>
        <v>3.8834180432020332E-2</v>
      </c>
      <c r="M182" s="54">
        <f t="shared" si="25"/>
        <v>3.4251905972045742E-2</v>
      </c>
      <c r="N182" s="51">
        <f>FORESTS2[[#This Row],[Area_2020]]-FORESTS2[[#This Row],[Area_1990]]</f>
        <v>-2417</v>
      </c>
      <c r="O182" s="51">
        <f>ABS(FORESTS2[[#This Row],[Area_Delta]])</f>
        <v>2417</v>
      </c>
      <c r="P182" s="54">
        <f>FORESTS2[[#This Row],[Area_2020_%]]-FORESTS2[[#This Row],[Area_1990_%]]</f>
        <v>-1.9194726810673447E-2</v>
      </c>
      <c r="Q182" s="54" t="b">
        <f t="shared" si="18"/>
        <v>0</v>
      </c>
      <c r="R182" s="51">
        <f t="shared" si="19"/>
        <v>0</v>
      </c>
      <c r="S182" s="51">
        <f t="shared" si="20"/>
        <v>2417</v>
      </c>
      <c r="T182" s="48">
        <f t="shared" si="21"/>
        <v>4</v>
      </c>
      <c r="U182" s="43">
        <v>3.43</v>
      </c>
      <c r="V182" s="30" t="s">
        <v>247</v>
      </c>
      <c r="W182" s="38" t="s">
        <v>247</v>
      </c>
      <c r="X182" s="38">
        <f t="shared" si="22"/>
        <v>-377</v>
      </c>
      <c r="Y182" s="38">
        <f t="shared" si="22"/>
        <v>-823</v>
      </c>
      <c r="Z182" s="38">
        <f t="shared" si="22"/>
        <v>-640</v>
      </c>
      <c r="AA182" s="38">
        <f t="shared" si="22"/>
        <v>-577</v>
      </c>
      <c r="AB182" s="38">
        <f>FORESTS2[[#This Row],[Column7]]+FORESTS2[[#This Row],[Column8]]</f>
        <v>-1217</v>
      </c>
      <c r="AC182" s="63">
        <f t="shared" si="23"/>
        <v>-37.700000000000003</v>
      </c>
      <c r="AD182" s="63">
        <f t="shared" si="23"/>
        <v>-82.3</v>
      </c>
      <c r="AE182" s="63">
        <f t="shared" si="24"/>
        <v>-128</v>
      </c>
      <c r="AF182" s="63">
        <f t="shared" si="24"/>
        <v>-115.4</v>
      </c>
    </row>
    <row r="183" spans="1:32" hidden="1" x14ac:dyDescent="0.2">
      <c r="A183" s="28">
        <v>762</v>
      </c>
      <c r="B183" s="28" t="s">
        <v>163</v>
      </c>
      <c r="C183" s="38">
        <v>408</v>
      </c>
      <c r="D183" s="38">
        <v>410</v>
      </c>
      <c r="E183" s="38">
        <v>410</v>
      </c>
      <c r="F183" s="38">
        <v>421.8</v>
      </c>
      <c r="G183" s="38">
        <v>423.8</v>
      </c>
      <c r="H183" s="38">
        <v>13879</v>
      </c>
      <c r="I183" s="54">
        <f t="shared" si="25"/>
        <v>2.9396930614597593E-2</v>
      </c>
      <c r="J183" s="54">
        <f t="shared" si="25"/>
        <v>2.9541033215649541E-2</v>
      </c>
      <c r="K183" s="54">
        <f t="shared" si="25"/>
        <v>2.9541033215649541E-2</v>
      </c>
      <c r="L183" s="54">
        <f t="shared" si="25"/>
        <v>3.0391238561856042E-2</v>
      </c>
      <c r="M183" s="54">
        <f t="shared" si="25"/>
        <v>3.053534116290799E-2</v>
      </c>
      <c r="N183" s="51">
        <f>FORESTS2[[#This Row],[Area_2020]]-FORESTS2[[#This Row],[Area_1990]]</f>
        <v>15.800000000000011</v>
      </c>
      <c r="O183" s="51">
        <f>ABS(FORESTS2[[#This Row],[Area_Delta]])</f>
        <v>15.800000000000011</v>
      </c>
      <c r="P183" s="54">
        <f>FORESTS2[[#This Row],[Area_2020_%]]-FORESTS2[[#This Row],[Area_1990_%]]</f>
        <v>1.1384105483103965E-3</v>
      </c>
      <c r="Q183" s="54" t="b">
        <f t="shared" si="18"/>
        <v>1</v>
      </c>
      <c r="R183" s="51">
        <f t="shared" si="19"/>
        <v>15.800000000000011</v>
      </c>
      <c r="S183" s="51">
        <f t="shared" si="20"/>
        <v>0</v>
      </c>
      <c r="T183" s="48">
        <f t="shared" si="21"/>
        <v>0</v>
      </c>
      <c r="U183" s="43">
        <v>3.05</v>
      </c>
      <c r="V183" s="30" t="s">
        <v>247</v>
      </c>
      <c r="W183" s="38" t="s">
        <v>247</v>
      </c>
      <c r="X183" s="38">
        <f t="shared" si="22"/>
        <v>2</v>
      </c>
      <c r="Y183" s="38">
        <f t="shared" si="22"/>
        <v>0</v>
      </c>
      <c r="Z183" s="38">
        <f t="shared" si="22"/>
        <v>11.800000000000011</v>
      </c>
      <c r="AA183" s="38">
        <f t="shared" si="22"/>
        <v>2</v>
      </c>
      <c r="AB183" s="38">
        <f>FORESTS2[[#This Row],[Column7]]+FORESTS2[[#This Row],[Column8]]</f>
        <v>13.800000000000011</v>
      </c>
      <c r="AC183" s="63">
        <f t="shared" si="23"/>
        <v>0.2</v>
      </c>
      <c r="AD183" s="63">
        <f t="shared" si="23"/>
        <v>0</v>
      </c>
      <c r="AE183" s="63">
        <f t="shared" si="24"/>
        <v>2.3600000000000021</v>
      </c>
      <c r="AF183" s="63">
        <f t="shared" si="24"/>
        <v>0.4</v>
      </c>
    </row>
    <row r="184" spans="1:32" hidden="1" x14ac:dyDescent="0.2">
      <c r="A184" s="28">
        <v>226</v>
      </c>
      <c r="B184" s="28" t="s">
        <v>50</v>
      </c>
      <c r="C184" s="46">
        <v>2699.15</v>
      </c>
      <c r="D184" s="46">
        <v>2615.58</v>
      </c>
      <c r="E184" s="46">
        <v>2532.0100000000002</v>
      </c>
      <c r="F184" s="46">
        <v>2490.2199999999998</v>
      </c>
      <c r="G184" s="46">
        <v>2448.42</v>
      </c>
      <c r="H184" s="46">
        <v>2805</v>
      </c>
      <c r="I184" s="54">
        <f t="shared" si="25"/>
        <v>0.96226381461675581</v>
      </c>
      <c r="J184" s="54">
        <f t="shared" si="25"/>
        <v>0.93247058823529405</v>
      </c>
      <c r="K184" s="54">
        <f t="shared" si="25"/>
        <v>0.90267736185383252</v>
      </c>
      <c r="L184" s="54">
        <f t="shared" si="25"/>
        <v>0.88777896613190721</v>
      </c>
      <c r="M184" s="54">
        <f t="shared" si="25"/>
        <v>0.8728770053475936</v>
      </c>
      <c r="N184" s="51">
        <f>FORESTS2[[#This Row],[Area_2020]]-FORESTS2[[#This Row],[Area_1990]]</f>
        <v>-250.73000000000002</v>
      </c>
      <c r="O184" s="51">
        <f>ABS(FORESTS2[[#This Row],[Area_Delta]])</f>
        <v>250.73000000000002</v>
      </c>
      <c r="P184" s="54">
        <f>FORESTS2[[#This Row],[Area_2020_%]]-FORESTS2[[#This Row],[Area_1990_%]]</f>
        <v>-8.9386809269162204E-2</v>
      </c>
      <c r="Q184" s="54" t="b">
        <f t="shared" si="18"/>
        <v>0</v>
      </c>
      <c r="R184" s="51">
        <f t="shared" si="19"/>
        <v>0</v>
      </c>
      <c r="S184" s="51">
        <f t="shared" si="20"/>
        <v>250.73000000000002</v>
      </c>
      <c r="T184" s="48">
        <f t="shared" si="21"/>
        <v>4</v>
      </c>
      <c r="U184" s="48">
        <v>87.29</v>
      </c>
      <c r="V184" s="30">
        <v>8.36</v>
      </c>
      <c r="W184" s="30" t="s">
        <v>247</v>
      </c>
      <c r="X184" s="38">
        <f t="shared" si="22"/>
        <v>-83.570000000000164</v>
      </c>
      <c r="Y184" s="38">
        <f t="shared" si="22"/>
        <v>-83.569999999999709</v>
      </c>
      <c r="Z184" s="38">
        <f t="shared" si="22"/>
        <v>-41.790000000000418</v>
      </c>
      <c r="AA184" s="38">
        <f t="shared" si="22"/>
        <v>-41.799999999999727</v>
      </c>
      <c r="AB184" s="38">
        <f>FORESTS2[[#This Row],[Column7]]+FORESTS2[[#This Row],[Column8]]</f>
        <v>-83.590000000000146</v>
      </c>
      <c r="AC184" s="63">
        <f t="shared" si="23"/>
        <v>-8.3570000000000171</v>
      </c>
      <c r="AD184" s="63">
        <f t="shared" si="23"/>
        <v>-8.3569999999999709</v>
      </c>
      <c r="AE184" s="63">
        <f t="shared" si="24"/>
        <v>-8.358000000000084</v>
      </c>
      <c r="AF184" s="63">
        <f t="shared" si="24"/>
        <v>-8.3599999999999461</v>
      </c>
    </row>
    <row r="185" spans="1:32" hidden="1" x14ac:dyDescent="0.2">
      <c r="A185" s="28">
        <v>624</v>
      </c>
      <c r="B185" s="28" t="s">
        <v>201</v>
      </c>
      <c r="C185" s="46">
        <v>2233.33</v>
      </c>
      <c r="D185" s="46">
        <v>2148.88</v>
      </c>
      <c r="E185" s="46">
        <v>2064.4299999999998</v>
      </c>
      <c r="F185" s="46">
        <v>2022.21</v>
      </c>
      <c r="G185" s="46">
        <v>1980.01</v>
      </c>
      <c r="H185" s="46">
        <v>2812</v>
      </c>
      <c r="I185" s="54">
        <f t="shared" si="25"/>
        <v>0.79421408250355618</v>
      </c>
      <c r="J185" s="54">
        <f t="shared" si="25"/>
        <v>0.7641820768136558</v>
      </c>
      <c r="K185" s="54">
        <f t="shared" si="25"/>
        <v>0.7341500711237553</v>
      </c>
      <c r="L185" s="54">
        <f t="shared" si="25"/>
        <v>0.71913584637268846</v>
      </c>
      <c r="M185" s="54">
        <f t="shared" si="25"/>
        <v>0.70412873399715503</v>
      </c>
      <c r="N185" s="51">
        <f>FORESTS2[[#This Row],[Area_2020]]-FORESTS2[[#This Row],[Area_1990]]</f>
        <v>-253.31999999999994</v>
      </c>
      <c r="O185" s="51">
        <f>ABS(FORESTS2[[#This Row],[Area_Delta]])</f>
        <v>253.31999999999994</v>
      </c>
      <c r="P185" s="54">
        <f>FORESTS2[[#This Row],[Area_2020_%]]-FORESTS2[[#This Row],[Area_1990_%]]</f>
        <v>-9.0085348506401153E-2</v>
      </c>
      <c r="Q185" s="54" t="b">
        <f t="shared" si="18"/>
        <v>0</v>
      </c>
      <c r="R185" s="51">
        <f t="shared" si="19"/>
        <v>0</v>
      </c>
      <c r="S185" s="51">
        <f t="shared" si="20"/>
        <v>253.31999999999994</v>
      </c>
      <c r="T185" s="48">
        <f t="shared" si="21"/>
        <v>4</v>
      </c>
      <c r="U185" s="48">
        <v>70.41</v>
      </c>
      <c r="V185" s="30" t="s">
        <v>247</v>
      </c>
      <c r="W185" s="30">
        <v>221.55</v>
      </c>
      <c r="X185" s="38">
        <f t="shared" si="22"/>
        <v>-84.449999999999818</v>
      </c>
      <c r="Y185" s="38">
        <f t="shared" si="22"/>
        <v>-84.450000000000273</v>
      </c>
      <c r="Z185" s="38">
        <f t="shared" si="22"/>
        <v>-42.2199999999998</v>
      </c>
      <c r="AA185" s="38">
        <f t="shared" si="22"/>
        <v>-42.200000000000045</v>
      </c>
      <c r="AB185" s="38">
        <f>FORESTS2[[#This Row],[Column7]]+FORESTS2[[#This Row],[Column8]]</f>
        <v>-84.419999999999845</v>
      </c>
      <c r="AC185" s="63">
        <f t="shared" si="23"/>
        <v>-8.4449999999999825</v>
      </c>
      <c r="AD185" s="63">
        <f t="shared" si="23"/>
        <v>-8.4450000000000269</v>
      </c>
      <c r="AE185" s="63">
        <f t="shared" si="24"/>
        <v>-8.44399999999996</v>
      </c>
      <c r="AF185" s="63">
        <f t="shared" si="24"/>
        <v>-8.4400000000000084</v>
      </c>
    </row>
    <row r="186" spans="1:32" hidden="1" x14ac:dyDescent="0.2">
      <c r="A186" s="28">
        <v>410</v>
      </c>
      <c r="B186" s="28" t="s">
        <v>135</v>
      </c>
      <c r="C186" s="46">
        <v>6551</v>
      </c>
      <c r="D186" s="46">
        <v>6476</v>
      </c>
      <c r="E186" s="46">
        <v>6387</v>
      </c>
      <c r="F186" s="46">
        <v>6337</v>
      </c>
      <c r="G186" s="46">
        <v>6287</v>
      </c>
      <c r="H186" s="46">
        <v>9744.5</v>
      </c>
      <c r="I186" s="54">
        <f t="shared" si="25"/>
        <v>0.67227666889014315</v>
      </c>
      <c r="J186" s="54">
        <f t="shared" si="25"/>
        <v>0.66458001949817846</v>
      </c>
      <c r="K186" s="54">
        <f t="shared" si="25"/>
        <v>0.6554466622197137</v>
      </c>
      <c r="L186" s="54">
        <f t="shared" si="25"/>
        <v>0.65031556262507051</v>
      </c>
      <c r="M186" s="54">
        <f t="shared" si="25"/>
        <v>0.64518446303042742</v>
      </c>
      <c r="N186" s="51">
        <f>FORESTS2[[#This Row],[Area_2020]]-FORESTS2[[#This Row],[Area_1990]]</f>
        <v>-264</v>
      </c>
      <c r="O186" s="51">
        <f>ABS(FORESTS2[[#This Row],[Area_Delta]])</f>
        <v>264</v>
      </c>
      <c r="P186" s="54">
        <f>FORESTS2[[#This Row],[Area_2020_%]]-FORESTS2[[#This Row],[Area_1990_%]]</f>
        <v>-2.7092205859715723E-2</v>
      </c>
      <c r="Q186" s="54" t="b">
        <f t="shared" si="18"/>
        <v>0</v>
      </c>
      <c r="R186" s="51">
        <f t="shared" si="19"/>
        <v>0</v>
      </c>
      <c r="S186" s="51">
        <f t="shared" si="20"/>
        <v>264</v>
      </c>
      <c r="T186" s="48">
        <f t="shared" si="21"/>
        <v>4</v>
      </c>
      <c r="U186" s="43">
        <v>64.52</v>
      </c>
      <c r="V186" s="30">
        <v>10</v>
      </c>
      <c r="W186" s="38">
        <v>0.42</v>
      </c>
      <c r="X186" s="38">
        <f t="shared" si="22"/>
        <v>-75</v>
      </c>
      <c r="Y186" s="38">
        <f t="shared" si="22"/>
        <v>-89</v>
      </c>
      <c r="Z186" s="38">
        <f t="shared" si="22"/>
        <v>-50</v>
      </c>
      <c r="AA186" s="38">
        <f t="shared" si="22"/>
        <v>-50</v>
      </c>
      <c r="AB186" s="38">
        <f>FORESTS2[[#This Row],[Column7]]+FORESTS2[[#This Row],[Column8]]</f>
        <v>-100</v>
      </c>
      <c r="AC186" s="63">
        <f t="shared" si="23"/>
        <v>-7.5</v>
      </c>
      <c r="AD186" s="63">
        <f t="shared" si="23"/>
        <v>-8.9</v>
      </c>
      <c r="AE186" s="63">
        <f t="shared" si="24"/>
        <v>-10</v>
      </c>
      <c r="AF186" s="63">
        <f t="shared" si="24"/>
        <v>-10</v>
      </c>
    </row>
    <row r="187" spans="1:32" hidden="1" x14ac:dyDescent="0.2">
      <c r="A187" s="28">
        <v>84</v>
      </c>
      <c r="B187" s="28" t="s">
        <v>15</v>
      </c>
      <c r="C187" s="46">
        <v>1600.03</v>
      </c>
      <c r="D187" s="46">
        <v>1459.3</v>
      </c>
      <c r="E187" s="46">
        <v>1391.39</v>
      </c>
      <c r="F187" s="46">
        <v>1332.83</v>
      </c>
      <c r="G187" s="46">
        <v>1277.05</v>
      </c>
      <c r="H187" s="46">
        <v>2281</v>
      </c>
      <c r="I187" s="54">
        <f t="shared" si="25"/>
        <v>0.70145988601490572</v>
      </c>
      <c r="J187" s="54">
        <f t="shared" si="25"/>
        <v>0.63976326172731257</v>
      </c>
      <c r="K187" s="54">
        <f t="shared" si="25"/>
        <v>0.60999123191582638</v>
      </c>
      <c r="L187" s="54">
        <f t="shared" si="25"/>
        <v>0.58431828145550191</v>
      </c>
      <c r="M187" s="54">
        <f t="shared" si="25"/>
        <v>0.55986409469530907</v>
      </c>
      <c r="N187" s="51">
        <f>FORESTS2[[#This Row],[Area_2020]]-FORESTS2[[#This Row],[Area_1990]]</f>
        <v>-322.98</v>
      </c>
      <c r="O187" s="51">
        <f>ABS(FORESTS2[[#This Row],[Area_Delta]])</f>
        <v>322.98</v>
      </c>
      <c r="P187" s="54">
        <f>FORESTS2[[#This Row],[Area_2020_%]]-FORESTS2[[#This Row],[Area_1990_%]]</f>
        <v>-0.14159579131959665</v>
      </c>
      <c r="Q187" s="54" t="b">
        <f t="shared" si="18"/>
        <v>0</v>
      </c>
      <c r="R187" s="51">
        <f t="shared" si="19"/>
        <v>0</v>
      </c>
      <c r="S187" s="51">
        <f t="shared" si="20"/>
        <v>322.98</v>
      </c>
      <c r="T187" s="48">
        <f t="shared" si="21"/>
        <v>4</v>
      </c>
      <c r="U187" s="48">
        <v>55.99</v>
      </c>
      <c r="V187" s="30">
        <v>11.16</v>
      </c>
      <c r="W187" s="30" t="s">
        <v>247</v>
      </c>
      <c r="X187" s="38">
        <f t="shared" si="22"/>
        <v>-140.73000000000002</v>
      </c>
      <c r="Y187" s="38">
        <f t="shared" si="22"/>
        <v>-67.909999999999854</v>
      </c>
      <c r="Z187" s="38">
        <f t="shared" si="22"/>
        <v>-58.560000000000173</v>
      </c>
      <c r="AA187" s="38">
        <f t="shared" si="22"/>
        <v>-55.779999999999973</v>
      </c>
      <c r="AB187" s="38">
        <f>FORESTS2[[#This Row],[Column7]]+FORESTS2[[#This Row],[Column8]]</f>
        <v>-114.34000000000015</v>
      </c>
      <c r="AC187" s="63">
        <f t="shared" si="23"/>
        <v>-14.073000000000002</v>
      </c>
      <c r="AD187" s="63">
        <f t="shared" si="23"/>
        <v>-6.7909999999999853</v>
      </c>
      <c r="AE187" s="63">
        <f t="shared" si="24"/>
        <v>-11.712000000000035</v>
      </c>
      <c r="AF187" s="63">
        <f t="shared" si="24"/>
        <v>-11.155999999999995</v>
      </c>
    </row>
    <row r="188" spans="1:32" hidden="1" x14ac:dyDescent="0.2">
      <c r="A188" s="28">
        <v>178</v>
      </c>
      <c r="B188" s="28" t="s">
        <v>35</v>
      </c>
      <c r="C188" s="46">
        <v>22315</v>
      </c>
      <c r="D188" s="46">
        <v>22195</v>
      </c>
      <c r="E188" s="46">
        <v>22075</v>
      </c>
      <c r="F188" s="46">
        <v>22015</v>
      </c>
      <c r="G188" s="46">
        <v>21946</v>
      </c>
      <c r="H188" s="46">
        <v>34150</v>
      </c>
      <c r="I188" s="54">
        <f t="shared" si="25"/>
        <v>0.65344070278184485</v>
      </c>
      <c r="J188" s="54">
        <f t="shared" si="25"/>
        <v>0.64992679355783312</v>
      </c>
      <c r="K188" s="54">
        <f t="shared" si="25"/>
        <v>0.64641288433382138</v>
      </c>
      <c r="L188" s="54">
        <f t="shared" si="25"/>
        <v>0.64465592972181551</v>
      </c>
      <c r="M188" s="54">
        <f t="shared" si="25"/>
        <v>0.64263543191800876</v>
      </c>
      <c r="N188" s="51">
        <f>FORESTS2[[#This Row],[Area_2020]]-FORESTS2[[#This Row],[Area_1990]]</f>
        <v>-369</v>
      </c>
      <c r="O188" s="51">
        <f>ABS(FORESTS2[[#This Row],[Area_Delta]])</f>
        <v>369</v>
      </c>
      <c r="P188" s="54">
        <f>FORESTS2[[#This Row],[Area_2020_%]]-FORESTS2[[#This Row],[Area_1990_%]]</f>
        <v>-1.0805270863836092E-2</v>
      </c>
      <c r="Q188" s="54" t="b">
        <f t="shared" si="18"/>
        <v>0</v>
      </c>
      <c r="R188" s="51">
        <f t="shared" si="19"/>
        <v>0</v>
      </c>
      <c r="S188" s="51">
        <f t="shared" si="20"/>
        <v>369</v>
      </c>
      <c r="T188" s="62">
        <f t="shared" si="21"/>
        <v>4</v>
      </c>
      <c r="U188" s="43">
        <v>64.260000000000005</v>
      </c>
      <c r="V188" s="30">
        <v>13.8</v>
      </c>
      <c r="W188" s="38" t="s">
        <v>247</v>
      </c>
      <c r="X188" s="38">
        <f t="shared" si="22"/>
        <v>-120</v>
      </c>
      <c r="Y188" s="38">
        <f t="shared" si="22"/>
        <v>-120</v>
      </c>
      <c r="Z188" s="38">
        <f t="shared" si="22"/>
        <v>-60</v>
      </c>
      <c r="AA188" s="38">
        <f t="shared" si="22"/>
        <v>-69</v>
      </c>
      <c r="AB188" s="38">
        <f>FORESTS2[[#This Row],[Column7]]+FORESTS2[[#This Row],[Column8]]</f>
        <v>-129</v>
      </c>
      <c r="AC188" s="63">
        <f t="shared" si="23"/>
        <v>-12</v>
      </c>
      <c r="AD188" s="63">
        <f t="shared" si="23"/>
        <v>-12</v>
      </c>
      <c r="AE188" s="63">
        <f t="shared" si="24"/>
        <v>-12</v>
      </c>
      <c r="AF188" s="63">
        <f t="shared" si="24"/>
        <v>-13.8</v>
      </c>
    </row>
    <row r="189" spans="1:32" hidden="1" x14ac:dyDescent="0.2">
      <c r="A189" s="28">
        <v>591</v>
      </c>
      <c r="B189" s="28" t="s">
        <v>127</v>
      </c>
      <c r="C189" s="46">
        <v>4607.3999999999996</v>
      </c>
      <c r="D189" s="46">
        <v>4442.1400000000003</v>
      </c>
      <c r="E189" s="46">
        <v>4327.99</v>
      </c>
      <c r="F189" s="46">
        <v>4270.91</v>
      </c>
      <c r="G189" s="46">
        <v>4213.84</v>
      </c>
      <c r="H189" s="46">
        <v>7434</v>
      </c>
      <c r="I189" s="54">
        <f t="shared" si="25"/>
        <v>0.61977401129943499</v>
      </c>
      <c r="J189" s="54">
        <f t="shared" si="25"/>
        <v>0.59754371805219264</v>
      </c>
      <c r="K189" s="54">
        <f t="shared" si="25"/>
        <v>0.58218859295130476</v>
      </c>
      <c r="L189" s="54">
        <f t="shared" si="25"/>
        <v>0.57451035781544257</v>
      </c>
      <c r="M189" s="54">
        <f t="shared" si="25"/>
        <v>0.56683346785041699</v>
      </c>
      <c r="N189" s="51">
        <f>FORESTS2[[#This Row],[Area_2020]]-FORESTS2[[#This Row],[Area_1990]]</f>
        <v>-393.55999999999949</v>
      </c>
      <c r="O189" s="51">
        <f>ABS(FORESTS2[[#This Row],[Area_Delta]])</f>
        <v>393.55999999999949</v>
      </c>
      <c r="P189" s="54">
        <f>FORESTS2[[#This Row],[Area_2020_%]]-FORESTS2[[#This Row],[Area_1990_%]]</f>
        <v>-5.2940543449017996E-2</v>
      </c>
      <c r="Q189" s="54" t="b">
        <f t="shared" si="18"/>
        <v>0</v>
      </c>
      <c r="R189" s="51">
        <f t="shared" si="19"/>
        <v>0</v>
      </c>
      <c r="S189" s="51">
        <f t="shared" si="20"/>
        <v>393.55999999999949</v>
      </c>
      <c r="T189" s="48">
        <f t="shared" si="21"/>
        <v>4</v>
      </c>
      <c r="U189" s="43">
        <v>56.68</v>
      </c>
      <c r="V189" s="30">
        <v>12.49</v>
      </c>
      <c r="W189" s="38">
        <v>2.02</v>
      </c>
      <c r="X189" s="38">
        <f t="shared" si="22"/>
        <v>-165.25999999999931</v>
      </c>
      <c r="Y189" s="38">
        <f t="shared" si="22"/>
        <v>-114.15000000000055</v>
      </c>
      <c r="Z189" s="38">
        <f t="shared" si="22"/>
        <v>-57.079999999999927</v>
      </c>
      <c r="AA189" s="38">
        <f t="shared" si="22"/>
        <v>-57.069999999999709</v>
      </c>
      <c r="AB189" s="38">
        <f>FORESTS2[[#This Row],[Column7]]+FORESTS2[[#This Row],[Column8]]</f>
        <v>-114.14999999999964</v>
      </c>
      <c r="AC189" s="63">
        <f t="shared" si="23"/>
        <v>-16.525999999999932</v>
      </c>
      <c r="AD189" s="63">
        <f t="shared" si="23"/>
        <v>-11.415000000000054</v>
      </c>
      <c r="AE189" s="63">
        <f t="shared" si="24"/>
        <v>-11.415999999999986</v>
      </c>
      <c r="AF189" s="63">
        <f t="shared" si="24"/>
        <v>-11.413999999999941</v>
      </c>
    </row>
    <row r="190" spans="1:32" hidden="1" x14ac:dyDescent="0.2">
      <c r="A190" s="28">
        <v>598</v>
      </c>
      <c r="B190" s="28" t="s">
        <v>128</v>
      </c>
      <c r="C190" s="46">
        <v>36399.68</v>
      </c>
      <c r="D190" s="46">
        <v>36277.97</v>
      </c>
      <c r="E190" s="46">
        <v>36178.89</v>
      </c>
      <c r="F190" s="46">
        <v>36024.42</v>
      </c>
      <c r="G190" s="46">
        <v>35855.760000000002</v>
      </c>
      <c r="H190" s="46">
        <v>45286</v>
      </c>
      <c r="I190" s="54">
        <f t="shared" si="25"/>
        <v>0.80377335158768715</v>
      </c>
      <c r="J190" s="54">
        <f t="shared" si="25"/>
        <v>0.80108576602040371</v>
      </c>
      <c r="K190" s="54">
        <f t="shared" si="25"/>
        <v>0.79889789338868522</v>
      </c>
      <c r="L190" s="54">
        <f t="shared" si="25"/>
        <v>0.79548690544539147</v>
      </c>
      <c r="M190" s="54">
        <f t="shared" si="25"/>
        <v>0.79176257563043773</v>
      </c>
      <c r="N190" s="51">
        <f>FORESTS2[[#This Row],[Area_2020]]-FORESTS2[[#This Row],[Area_1990]]</f>
        <v>-543.91999999999825</v>
      </c>
      <c r="O190" s="51">
        <f>ABS(FORESTS2[[#This Row],[Area_Delta]])</f>
        <v>543.91999999999825</v>
      </c>
      <c r="P190" s="54">
        <f>FORESTS2[[#This Row],[Area_2020_%]]-FORESTS2[[#This Row],[Area_1990_%]]</f>
        <v>-1.201077595724942E-2</v>
      </c>
      <c r="Q190" s="54" t="b">
        <f t="shared" si="18"/>
        <v>0</v>
      </c>
      <c r="R190" s="51">
        <f t="shared" si="19"/>
        <v>0</v>
      </c>
      <c r="S190" s="51">
        <f t="shared" si="20"/>
        <v>543.91999999999825</v>
      </c>
      <c r="T190" s="62">
        <f t="shared" si="21"/>
        <v>4</v>
      </c>
      <c r="U190" s="43">
        <v>79.180000000000007</v>
      </c>
      <c r="V190" s="30">
        <v>33.53</v>
      </c>
      <c r="W190" s="38">
        <v>3.92</v>
      </c>
      <c r="X190" s="38">
        <f t="shared" si="22"/>
        <v>-121.70999999999913</v>
      </c>
      <c r="Y190" s="38">
        <f t="shared" si="22"/>
        <v>-99.080000000001746</v>
      </c>
      <c r="Z190" s="38">
        <f t="shared" si="22"/>
        <v>-154.47000000000116</v>
      </c>
      <c r="AA190" s="38">
        <f t="shared" si="22"/>
        <v>-168.65999999999622</v>
      </c>
      <c r="AB190" s="38">
        <f>FORESTS2[[#This Row],[Column7]]+FORESTS2[[#This Row],[Column8]]</f>
        <v>-323.12999999999738</v>
      </c>
      <c r="AC190" s="63">
        <f t="shared" si="23"/>
        <v>-12.170999999999912</v>
      </c>
      <c r="AD190" s="63">
        <f t="shared" si="23"/>
        <v>-9.9080000000001753</v>
      </c>
      <c r="AE190" s="63">
        <f t="shared" si="24"/>
        <v>-30.894000000000233</v>
      </c>
      <c r="AF190" s="63">
        <f t="shared" si="24"/>
        <v>-33.731999999999246</v>
      </c>
    </row>
    <row r="191" spans="1:32" hidden="1" x14ac:dyDescent="0.2">
      <c r="A191" s="28">
        <v>760</v>
      </c>
      <c r="B191" s="28" t="s">
        <v>162</v>
      </c>
      <c r="C191" s="38">
        <v>372.08</v>
      </c>
      <c r="D191" s="38">
        <v>432.08</v>
      </c>
      <c r="E191" s="38">
        <v>492.08</v>
      </c>
      <c r="F191" s="38">
        <v>522.08000000000004</v>
      </c>
      <c r="G191" s="38">
        <v>522.08000000000004</v>
      </c>
      <c r="H191" s="38">
        <v>18363</v>
      </c>
      <c r="I191" s="54">
        <f t="shared" si="25"/>
        <v>2.0262484343516855E-2</v>
      </c>
      <c r="J191" s="54">
        <f t="shared" si="25"/>
        <v>2.3529924304307573E-2</v>
      </c>
      <c r="K191" s="54">
        <f t="shared" si="25"/>
        <v>2.6797364265098295E-2</v>
      </c>
      <c r="L191" s="54">
        <f t="shared" si="25"/>
        <v>2.8431084245493659E-2</v>
      </c>
      <c r="M191" s="54">
        <f t="shared" si="25"/>
        <v>2.8431084245493659E-2</v>
      </c>
      <c r="N191" s="51">
        <f>FORESTS2[[#This Row],[Area_2020]]-FORESTS2[[#This Row],[Area_1990]]</f>
        <v>150.00000000000006</v>
      </c>
      <c r="O191" s="51">
        <f>ABS(FORESTS2[[#This Row],[Area_Delta]])</f>
        <v>150.00000000000006</v>
      </c>
      <c r="P191" s="54">
        <f>FORESTS2[[#This Row],[Area_2020_%]]-FORESTS2[[#This Row],[Area_1990_%]]</f>
        <v>8.1685999019768044E-3</v>
      </c>
      <c r="Q191" s="54" t="b">
        <f t="shared" si="18"/>
        <v>1</v>
      </c>
      <c r="R191" s="51">
        <f t="shared" si="19"/>
        <v>150.00000000000006</v>
      </c>
      <c r="S191" s="51">
        <f t="shared" si="20"/>
        <v>0</v>
      </c>
      <c r="T191" s="48">
        <f t="shared" si="21"/>
        <v>0</v>
      </c>
      <c r="U191" s="43">
        <v>2.84</v>
      </c>
      <c r="V191" s="30" t="s">
        <v>247</v>
      </c>
      <c r="W191" s="38" t="s">
        <v>247</v>
      </c>
      <c r="X191" s="38">
        <f t="shared" si="22"/>
        <v>60</v>
      </c>
      <c r="Y191" s="38">
        <f t="shared" si="22"/>
        <v>60</v>
      </c>
      <c r="Z191" s="38">
        <f t="shared" si="22"/>
        <v>30.000000000000057</v>
      </c>
      <c r="AA191" s="38">
        <f t="shared" si="22"/>
        <v>0</v>
      </c>
      <c r="AB191" s="38">
        <f>FORESTS2[[#This Row],[Column7]]+FORESTS2[[#This Row],[Column8]]</f>
        <v>30.000000000000057</v>
      </c>
      <c r="AC191" s="63">
        <f t="shared" si="23"/>
        <v>6</v>
      </c>
      <c r="AD191" s="63">
        <f t="shared" si="23"/>
        <v>6</v>
      </c>
      <c r="AE191" s="63">
        <f t="shared" si="24"/>
        <v>6.0000000000000115</v>
      </c>
      <c r="AF191" s="63">
        <f t="shared" si="24"/>
        <v>0</v>
      </c>
    </row>
    <row r="192" spans="1:32" hidden="1" x14ac:dyDescent="0.2">
      <c r="A192" s="28">
        <v>462</v>
      </c>
      <c r="B192" s="28" t="s">
        <v>99</v>
      </c>
      <c r="C192" s="30">
        <v>0.82</v>
      </c>
      <c r="D192" s="30">
        <v>0.82</v>
      </c>
      <c r="E192" s="30">
        <v>0.82</v>
      </c>
      <c r="F192" s="30">
        <v>0.82</v>
      </c>
      <c r="G192" s="30">
        <v>0.82</v>
      </c>
      <c r="H192" s="30">
        <v>30</v>
      </c>
      <c r="I192" s="54">
        <f t="shared" si="25"/>
        <v>2.7333333333333331E-2</v>
      </c>
      <c r="J192" s="54">
        <f t="shared" si="25"/>
        <v>2.7333333333333331E-2</v>
      </c>
      <c r="K192" s="54">
        <f t="shared" si="25"/>
        <v>2.7333333333333331E-2</v>
      </c>
      <c r="L192" s="54">
        <f t="shared" si="25"/>
        <v>2.7333333333333331E-2</v>
      </c>
      <c r="M192" s="54">
        <f t="shared" si="25"/>
        <v>2.7333333333333331E-2</v>
      </c>
      <c r="N192" s="51">
        <f>FORESTS2[[#This Row],[Area_2020]]-FORESTS2[[#This Row],[Area_1990]]</f>
        <v>0</v>
      </c>
      <c r="O192" s="51">
        <f>ABS(FORESTS2[[#This Row],[Area_Delta]])</f>
        <v>0</v>
      </c>
      <c r="P192" s="54">
        <f>FORESTS2[[#This Row],[Area_2020_%]]-FORESTS2[[#This Row],[Area_1990_%]]</f>
        <v>0</v>
      </c>
      <c r="Q192" s="54" t="b">
        <f t="shared" si="18"/>
        <v>0</v>
      </c>
      <c r="R192" s="51">
        <f t="shared" si="19"/>
        <v>0</v>
      </c>
      <c r="S192" s="51">
        <f t="shared" si="20"/>
        <v>0</v>
      </c>
      <c r="T192" s="48">
        <f t="shared" si="21"/>
        <v>0</v>
      </c>
      <c r="U192" s="48">
        <v>2.73</v>
      </c>
      <c r="V192" s="30">
        <v>0</v>
      </c>
      <c r="W192" s="30">
        <v>0</v>
      </c>
      <c r="X192" s="38">
        <f t="shared" si="22"/>
        <v>0</v>
      </c>
      <c r="Y192" s="38">
        <f t="shared" si="22"/>
        <v>0</v>
      </c>
      <c r="Z192" s="38">
        <f t="shared" si="22"/>
        <v>0</v>
      </c>
      <c r="AA192" s="38">
        <f t="shared" si="22"/>
        <v>0</v>
      </c>
      <c r="AB192" s="38">
        <f>FORESTS2[[#This Row],[Column7]]+FORESTS2[[#This Row],[Column8]]</f>
        <v>0</v>
      </c>
      <c r="AC192" s="63">
        <f t="shared" si="23"/>
        <v>0</v>
      </c>
      <c r="AD192" s="63">
        <f t="shared" si="23"/>
        <v>0</v>
      </c>
      <c r="AE192" s="63">
        <f t="shared" si="24"/>
        <v>0</v>
      </c>
      <c r="AF192" s="63">
        <f t="shared" si="24"/>
        <v>0</v>
      </c>
    </row>
    <row r="193" spans="1:32" hidden="1" x14ac:dyDescent="0.2">
      <c r="A193" s="28">
        <v>340</v>
      </c>
      <c r="B193" s="28" t="s">
        <v>72</v>
      </c>
      <c r="C193" s="46">
        <v>6987.78</v>
      </c>
      <c r="D193" s="46">
        <v>6778.27</v>
      </c>
      <c r="E193" s="46">
        <v>6575.47</v>
      </c>
      <c r="F193" s="46">
        <v>6463.83</v>
      </c>
      <c r="G193" s="46">
        <v>6359.26</v>
      </c>
      <c r="H193" s="46">
        <v>11189</v>
      </c>
      <c r="I193" s="54">
        <f t="shared" si="25"/>
        <v>0.62452229868620968</v>
      </c>
      <c r="J193" s="54">
        <f t="shared" si="25"/>
        <v>0.60579765841451427</v>
      </c>
      <c r="K193" s="54">
        <f t="shared" si="25"/>
        <v>0.58767271427294665</v>
      </c>
      <c r="L193" s="54">
        <f t="shared" si="25"/>
        <v>0.57769505764590223</v>
      </c>
      <c r="M193" s="54">
        <f t="shared" si="25"/>
        <v>0.56834927160604165</v>
      </c>
      <c r="N193" s="51">
        <f>FORESTS2[[#This Row],[Area_2020]]-FORESTS2[[#This Row],[Area_1990]]</f>
        <v>-628.51999999999953</v>
      </c>
      <c r="O193" s="51">
        <f>ABS(FORESTS2[[#This Row],[Area_Delta]])</f>
        <v>628.51999999999953</v>
      </c>
      <c r="P193" s="54">
        <f>FORESTS2[[#This Row],[Area_2020_%]]-FORESTS2[[#This Row],[Area_1990_%]]</f>
        <v>-5.6173027080168025E-2</v>
      </c>
      <c r="Q193" s="54" t="b">
        <f t="shared" si="18"/>
        <v>0</v>
      </c>
      <c r="R193" s="51">
        <f t="shared" si="19"/>
        <v>0</v>
      </c>
      <c r="S193" s="51">
        <f t="shared" si="20"/>
        <v>628.51999999999953</v>
      </c>
      <c r="T193" s="48">
        <f t="shared" si="21"/>
        <v>4</v>
      </c>
      <c r="U193" s="43">
        <v>56.83</v>
      </c>
      <c r="V193" s="30">
        <v>23.19</v>
      </c>
      <c r="W193" s="38" t="s">
        <v>247</v>
      </c>
      <c r="X193" s="38">
        <f t="shared" si="22"/>
        <v>-209.50999999999931</v>
      </c>
      <c r="Y193" s="38">
        <f t="shared" si="22"/>
        <v>-202.80000000000018</v>
      </c>
      <c r="Z193" s="38">
        <f t="shared" si="22"/>
        <v>-111.64000000000033</v>
      </c>
      <c r="AA193" s="38">
        <f t="shared" si="22"/>
        <v>-104.56999999999971</v>
      </c>
      <c r="AB193" s="38">
        <f>FORESTS2[[#This Row],[Column7]]+FORESTS2[[#This Row],[Column8]]</f>
        <v>-216.21000000000004</v>
      </c>
      <c r="AC193" s="63">
        <f t="shared" si="23"/>
        <v>-20.950999999999929</v>
      </c>
      <c r="AD193" s="63">
        <f t="shared" si="23"/>
        <v>-20.280000000000019</v>
      </c>
      <c r="AE193" s="63">
        <f t="shared" si="24"/>
        <v>-22.328000000000067</v>
      </c>
      <c r="AF193" s="63">
        <f t="shared" si="24"/>
        <v>-20.913999999999941</v>
      </c>
    </row>
    <row r="194" spans="1:32" hidden="1" x14ac:dyDescent="0.2">
      <c r="A194" s="28">
        <v>732</v>
      </c>
      <c r="B194" s="28" t="s">
        <v>198</v>
      </c>
      <c r="C194" s="38">
        <v>665.1</v>
      </c>
      <c r="D194" s="38">
        <v>669.31</v>
      </c>
      <c r="E194" s="38">
        <v>665.11</v>
      </c>
      <c r="F194" s="38">
        <v>664.7</v>
      </c>
      <c r="G194" s="38">
        <v>665.07</v>
      </c>
      <c r="H194" s="38">
        <v>26600</v>
      </c>
      <c r="I194" s="54">
        <f t="shared" si="25"/>
        <v>2.500375939849624E-2</v>
      </c>
      <c r="J194" s="54">
        <f t="shared" si="25"/>
        <v>2.5162030075187969E-2</v>
      </c>
      <c r="K194" s="54">
        <f t="shared" si="25"/>
        <v>2.5004135338345865E-2</v>
      </c>
      <c r="L194" s="54">
        <f t="shared" si="25"/>
        <v>2.4988721804511279E-2</v>
      </c>
      <c r="M194" s="54">
        <f t="shared" si="25"/>
        <v>2.500263157894737E-2</v>
      </c>
      <c r="N194" s="51">
        <f>FORESTS2[[#This Row],[Area_2020]]-FORESTS2[[#This Row],[Area_1990]]</f>
        <v>-2.9999999999972715E-2</v>
      </c>
      <c r="O194" s="51">
        <f>ABS(FORESTS2[[#This Row],[Area_Delta]])</f>
        <v>2.9999999999972715E-2</v>
      </c>
      <c r="P194" s="54">
        <f>FORESTS2[[#This Row],[Area_2020_%]]-FORESTS2[[#This Row],[Area_1990_%]]</f>
        <v>-1.1278195488698128E-6</v>
      </c>
      <c r="Q194" s="54" t="b">
        <f t="shared" si="18"/>
        <v>0</v>
      </c>
      <c r="R194" s="51">
        <f t="shared" si="19"/>
        <v>0</v>
      </c>
      <c r="S194" s="51">
        <f t="shared" si="20"/>
        <v>2.9999999999972715E-2</v>
      </c>
      <c r="T194" s="48">
        <f t="shared" si="21"/>
        <v>2</v>
      </c>
      <c r="U194" s="43">
        <v>2.5</v>
      </c>
      <c r="V194" s="30" t="s">
        <v>247</v>
      </c>
      <c r="W194" s="38" t="s">
        <v>247</v>
      </c>
      <c r="X194" s="38">
        <f t="shared" si="22"/>
        <v>4.2099999999999227</v>
      </c>
      <c r="Y194" s="38">
        <f t="shared" si="22"/>
        <v>-4.1999999999999318</v>
      </c>
      <c r="Z194" s="38">
        <f t="shared" si="22"/>
        <v>-0.40999999999996817</v>
      </c>
      <c r="AA194" s="38">
        <f t="shared" si="22"/>
        <v>0.37000000000000455</v>
      </c>
      <c r="AB194" s="38">
        <f>FORESTS2[[#This Row],[Column7]]+FORESTS2[[#This Row],[Column8]]</f>
        <v>-3.999999999996362E-2</v>
      </c>
      <c r="AC194" s="63">
        <f t="shared" si="23"/>
        <v>0.42099999999999227</v>
      </c>
      <c r="AD194" s="63">
        <f t="shared" si="23"/>
        <v>-0.41999999999999316</v>
      </c>
      <c r="AE194" s="63">
        <f t="shared" si="24"/>
        <v>-8.1999999999993634E-2</v>
      </c>
      <c r="AF194" s="63">
        <f t="shared" si="24"/>
        <v>7.4000000000000912E-2</v>
      </c>
    </row>
    <row r="195" spans="1:32" hidden="1" x14ac:dyDescent="0.2">
      <c r="A195" s="28">
        <v>408</v>
      </c>
      <c r="B195" s="28" t="s">
        <v>221</v>
      </c>
      <c r="C195" s="46">
        <v>6912.03</v>
      </c>
      <c r="D195" s="46">
        <v>6454.69</v>
      </c>
      <c r="E195" s="46">
        <v>6242.39</v>
      </c>
      <c r="F195" s="46">
        <v>6136.24</v>
      </c>
      <c r="G195" s="46">
        <v>6030.09</v>
      </c>
      <c r="H195" s="46">
        <v>12041</v>
      </c>
      <c r="I195" s="54">
        <f t="shared" si="25"/>
        <v>0.57404119259197739</v>
      </c>
      <c r="J195" s="54">
        <f t="shared" si="25"/>
        <v>0.53605929740054814</v>
      </c>
      <c r="K195" s="54">
        <f t="shared" si="25"/>
        <v>0.51842787143924929</v>
      </c>
      <c r="L195" s="54">
        <f t="shared" si="25"/>
        <v>0.50961215845859975</v>
      </c>
      <c r="M195" s="54">
        <f t="shared" si="25"/>
        <v>0.50079644547795032</v>
      </c>
      <c r="N195" s="51">
        <f>FORESTS2[[#This Row],[Area_2020]]-FORESTS2[[#This Row],[Area_1990]]</f>
        <v>-881.9399999999996</v>
      </c>
      <c r="O195" s="51">
        <f>ABS(FORESTS2[[#This Row],[Area_Delta]])</f>
        <v>881.9399999999996</v>
      </c>
      <c r="P195" s="54">
        <f>FORESTS2[[#This Row],[Area_2020_%]]-FORESTS2[[#This Row],[Area_1990_%]]</f>
        <v>-7.3244747114027065E-2</v>
      </c>
      <c r="Q195" s="54" t="b">
        <f t="shared" si="18"/>
        <v>0</v>
      </c>
      <c r="R195" s="51">
        <f t="shared" si="19"/>
        <v>0</v>
      </c>
      <c r="S195" s="51">
        <f t="shared" si="20"/>
        <v>881.9399999999996</v>
      </c>
      <c r="T195" s="48">
        <f t="shared" si="21"/>
        <v>4</v>
      </c>
      <c r="U195" s="43">
        <v>50.08</v>
      </c>
      <c r="V195" s="30">
        <v>23.19</v>
      </c>
      <c r="W195" s="38">
        <v>38.35</v>
      </c>
      <c r="X195" s="38">
        <f t="shared" si="22"/>
        <v>-457.34000000000015</v>
      </c>
      <c r="Y195" s="38">
        <f t="shared" si="22"/>
        <v>-212.29999999999927</v>
      </c>
      <c r="Z195" s="38">
        <f t="shared" si="22"/>
        <v>-106.15000000000055</v>
      </c>
      <c r="AA195" s="38">
        <f t="shared" ref="AA195:AA239" si="26">G195-F195</f>
        <v>-106.14999999999964</v>
      </c>
      <c r="AB195" s="38">
        <f>FORESTS2[[#This Row],[Column7]]+FORESTS2[[#This Row],[Column8]]</f>
        <v>-212.30000000000018</v>
      </c>
      <c r="AC195" s="63">
        <f t="shared" si="23"/>
        <v>-45.734000000000016</v>
      </c>
      <c r="AD195" s="63">
        <f t="shared" si="23"/>
        <v>-21.229999999999926</v>
      </c>
      <c r="AE195" s="63">
        <f t="shared" si="24"/>
        <v>-21.230000000000111</v>
      </c>
      <c r="AF195" s="63">
        <f t="shared" si="24"/>
        <v>-21.229999999999926</v>
      </c>
    </row>
    <row r="196" spans="1:32" hidden="1" x14ac:dyDescent="0.2">
      <c r="A196" s="28">
        <v>533</v>
      </c>
      <c r="B196" s="28" t="s">
        <v>205</v>
      </c>
      <c r="C196" s="30">
        <v>0.42</v>
      </c>
      <c r="D196" s="30">
        <v>0.42</v>
      </c>
      <c r="E196" s="30">
        <v>0.42</v>
      </c>
      <c r="F196" s="30">
        <v>0.42</v>
      </c>
      <c r="G196" s="30">
        <v>0.42</v>
      </c>
      <c r="H196" s="30">
        <v>18</v>
      </c>
      <c r="I196" s="54">
        <f t="shared" si="25"/>
        <v>2.3333333333333331E-2</v>
      </c>
      <c r="J196" s="54">
        <f t="shared" si="25"/>
        <v>2.3333333333333331E-2</v>
      </c>
      <c r="K196" s="54">
        <f t="shared" si="25"/>
        <v>2.3333333333333331E-2</v>
      </c>
      <c r="L196" s="54">
        <f t="shared" si="25"/>
        <v>2.3333333333333331E-2</v>
      </c>
      <c r="M196" s="54">
        <f t="shared" si="25"/>
        <v>2.3333333333333331E-2</v>
      </c>
      <c r="N196" s="51">
        <f>FORESTS2[[#This Row],[Area_2020]]-FORESTS2[[#This Row],[Area_1990]]</f>
        <v>0</v>
      </c>
      <c r="O196" s="51">
        <f>ABS(FORESTS2[[#This Row],[Area_Delta]])</f>
        <v>0</v>
      </c>
      <c r="P196" s="54">
        <f>FORESTS2[[#This Row],[Area_2020_%]]-FORESTS2[[#This Row],[Area_1990_%]]</f>
        <v>0</v>
      </c>
      <c r="Q196" s="54" t="b">
        <f t="shared" ref="Q196:Q239" si="27">IF(G196&gt;C196, TRUE, FALSE)</f>
        <v>0</v>
      </c>
      <c r="R196" s="51">
        <f t="shared" ref="R196:R239" si="28">IF(Q196=TRUE,G196-C196,0)</f>
        <v>0</v>
      </c>
      <c r="S196" s="51">
        <f t="shared" ref="S196:S239" si="29">IF(Q196=TRUE,0,C196-G196)</f>
        <v>0</v>
      </c>
      <c r="T196" s="48">
        <f t="shared" ref="T196:T239" si="30">IF(J196&lt;I196,1,0)+IF(K196&lt;J196,1,0)+IF(L196&lt;K196,1,0)+IF(M196&lt;L196,1,0)</f>
        <v>0</v>
      </c>
      <c r="U196" s="48">
        <v>2.33</v>
      </c>
      <c r="V196" s="30">
        <v>0</v>
      </c>
      <c r="W196" s="30" t="s">
        <v>247</v>
      </c>
      <c r="X196" s="38">
        <f t="shared" ref="X196:Z239" si="31">D196-C196</f>
        <v>0</v>
      </c>
      <c r="Y196" s="38">
        <f t="shared" si="31"/>
        <v>0</v>
      </c>
      <c r="Z196" s="38">
        <f t="shared" si="31"/>
        <v>0</v>
      </c>
      <c r="AA196" s="38">
        <f t="shared" si="26"/>
        <v>0</v>
      </c>
      <c r="AB196" s="38">
        <f>FORESTS2[[#This Row],[Column7]]+FORESTS2[[#This Row],[Column8]]</f>
        <v>0</v>
      </c>
      <c r="AC196" s="63">
        <f t="shared" ref="AC196:AD239" si="32">(D196-C196)/10</f>
        <v>0</v>
      </c>
      <c r="AD196" s="63">
        <f t="shared" si="32"/>
        <v>0</v>
      </c>
      <c r="AE196" s="63">
        <f t="shared" ref="AE196:AF239" si="33">(F196-E196)/5</f>
        <v>0</v>
      </c>
      <c r="AF196" s="63">
        <f t="shared" si="33"/>
        <v>0</v>
      </c>
    </row>
    <row r="197" spans="1:32" hidden="1" x14ac:dyDescent="0.2">
      <c r="A197" s="28">
        <v>430</v>
      </c>
      <c r="B197" s="28" t="s">
        <v>92</v>
      </c>
      <c r="C197" s="46">
        <v>8525.24</v>
      </c>
      <c r="D197" s="46">
        <v>8222.64</v>
      </c>
      <c r="E197" s="46">
        <v>7920.04</v>
      </c>
      <c r="F197" s="46">
        <v>7768.74</v>
      </c>
      <c r="G197" s="46">
        <v>7617.44</v>
      </c>
      <c r="H197" s="46">
        <v>9632</v>
      </c>
      <c r="I197" s="54">
        <f t="shared" si="25"/>
        <v>0.88509551495016614</v>
      </c>
      <c r="J197" s="54">
        <f t="shared" si="25"/>
        <v>0.85367940199335546</v>
      </c>
      <c r="K197" s="54">
        <f t="shared" si="25"/>
        <v>0.82226328903654489</v>
      </c>
      <c r="L197" s="54">
        <f t="shared" si="25"/>
        <v>0.80655523255813955</v>
      </c>
      <c r="M197" s="54">
        <f t="shared" si="25"/>
        <v>0.7908471760797342</v>
      </c>
      <c r="N197" s="51">
        <f>FORESTS2[[#This Row],[Area_2020]]-FORESTS2[[#This Row],[Area_1990]]</f>
        <v>-907.80000000000018</v>
      </c>
      <c r="O197" s="51">
        <f>ABS(FORESTS2[[#This Row],[Area_Delta]])</f>
        <v>907.80000000000018</v>
      </c>
      <c r="P197" s="54">
        <f>FORESTS2[[#This Row],[Area_2020_%]]-FORESTS2[[#This Row],[Area_1990_%]]</f>
        <v>-9.4248338870431936E-2</v>
      </c>
      <c r="Q197" s="54" t="b">
        <f t="shared" si="27"/>
        <v>0</v>
      </c>
      <c r="R197" s="51">
        <f t="shared" si="28"/>
        <v>0</v>
      </c>
      <c r="S197" s="51">
        <f t="shared" si="29"/>
        <v>907.80000000000018</v>
      </c>
      <c r="T197" s="48">
        <f t="shared" si="30"/>
        <v>4</v>
      </c>
      <c r="U197" s="43">
        <v>79.08</v>
      </c>
      <c r="V197" s="30">
        <v>30.26</v>
      </c>
      <c r="W197" s="38" t="s">
        <v>247</v>
      </c>
      <c r="X197" s="38">
        <f t="shared" si="31"/>
        <v>-302.60000000000036</v>
      </c>
      <c r="Y197" s="38">
        <f t="shared" si="31"/>
        <v>-302.59999999999945</v>
      </c>
      <c r="Z197" s="38">
        <f t="shared" si="31"/>
        <v>-151.30000000000018</v>
      </c>
      <c r="AA197" s="38">
        <f t="shared" si="26"/>
        <v>-151.30000000000018</v>
      </c>
      <c r="AB197" s="38">
        <f>FORESTS2[[#This Row],[Column7]]+FORESTS2[[#This Row],[Column8]]</f>
        <v>-302.60000000000036</v>
      </c>
      <c r="AC197" s="63">
        <f t="shared" si="32"/>
        <v>-30.260000000000037</v>
      </c>
      <c r="AD197" s="63">
        <f t="shared" si="32"/>
        <v>-30.259999999999945</v>
      </c>
      <c r="AE197" s="63">
        <f t="shared" si="33"/>
        <v>-30.260000000000037</v>
      </c>
      <c r="AF197" s="63">
        <f t="shared" si="33"/>
        <v>-30.260000000000037</v>
      </c>
    </row>
    <row r="198" spans="1:32" hidden="1" x14ac:dyDescent="0.2">
      <c r="A198" s="28">
        <v>368</v>
      </c>
      <c r="B198" s="28" t="s">
        <v>78</v>
      </c>
      <c r="C198" s="38">
        <v>804</v>
      </c>
      <c r="D198" s="38">
        <v>818</v>
      </c>
      <c r="E198" s="38">
        <v>825</v>
      </c>
      <c r="F198" s="38">
        <v>825</v>
      </c>
      <c r="G198" s="38">
        <v>825</v>
      </c>
      <c r="H198" s="38">
        <v>43412.800000000003</v>
      </c>
      <c r="I198" s="54">
        <f t="shared" si="25"/>
        <v>1.8519883536652782E-2</v>
      </c>
      <c r="J198" s="54">
        <f t="shared" si="25"/>
        <v>1.8842369070873104E-2</v>
      </c>
      <c r="K198" s="54">
        <f t="shared" si="25"/>
        <v>1.9003611837983266E-2</v>
      </c>
      <c r="L198" s="54">
        <f t="shared" si="25"/>
        <v>1.9003611837983266E-2</v>
      </c>
      <c r="M198" s="54">
        <f t="shared" si="25"/>
        <v>1.9003611837983266E-2</v>
      </c>
      <c r="N198" s="51">
        <f>FORESTS2[[#This Row],[Area_2020]]-FORESTS2[[#This Row],[Area_1990]]</f>
        <v>21</v>
      </c>
      <c r="O198" s="51">
        <f>ABS(FORESTS2[[#This Row],[Area_Delta]])</f>
        <v>21</v>
      </c>
      <c r="P198" s="54">
        <f>FORESTS2[[#This Row],[Area_2020_%]]-FORESTS2[[#This Row],[Area_1990_%]]</f>
        <v>4.8372830133048411E-4</v>
      </c>
      <c r="Q198" s="54" t="b">
        <f t="shared" si="27"/>
        <v>1</v>
      </c>
      <c r="R198" s="51">
        <f t="shared" si="28"/>
        <v>21</v>
      </c>
      <c r="S198" s="51">
        <f t="shared" si="29"/>
        <v>0</v>
      </c>
      <c r="T198" s="48">
        <f t="shared" si="30"/>
        <v>0</v>
      </c>
      <c r="U198" s="43">
        <v>1.9</v>
      </c>
      <c r="V198" s="30">
        <v>0</v>
      </c>
      <c r="W198" s="38" t="s">
        <v>247</v>
      </c>
      <c r="X198" s="38">
        <f t="shared" si="31"/>
        <v>14</v>
      </c>
      <c r="Y198" s="38">
        <f t="shared" si="31"/>
        <v>7</v>
      </c>
      <c r="Z198" s="38">
        <f t="shared" si="31"/>
        <v>0</v>
      </c>
      <c r="AA198" s="38">
        <f t="shared" si="26"/>
        <v>0</v>
      </c>
      <c r="AB198" s="38">
        <f>FORESTS2[[#This Row],[Column7]]+FORESTS2[[#This Row],[Column8]]</f>
        <v>0</v>
      </c>
      <c r="AC198" s="63">
        <f t="shared" si="32"/>
        <v>1.4</v>
      </c>
      <c r="AD198" s="63">
        <f t="shared" si="32"/>
        <v>0.7</v>
      </c>
      <c r="AE198" s="63">
        <f t="shared" si="33"/>
        <v>0</v>
      </c>
      <c r="AF198" s="63">
        <f t="shared" si="33"/>
        <v>0</v>
      </c>
    </row>
    <row r="199" spans="1:32" hidden="1" x14ac:dyDescent="0.2">
      <c r="A199" s="28">
        <v>4</v>
      </c>
      <c r="B199" s="28" t="s">
        <v>0</v>
      </c>
      <c r="C199" s="38">
        <v>1208.44</v>
      </c>
      <c r="D199" s="38">
        <v>1208.44</v>
      </c>
      <c r="E199" s="38">
        <v>1208.44</v>
      </c>
      <c r="F199" s="38">
        <v>1208.44</v>
      </c>
      <c r="G199" s="38">
        <v>1208.44</v>
      </c>
      <c r="H199" s="38">
        <v>65286</v>
      </c>
      <c r="I199" s="54">
        <f t="shared" si="25"/>
        <v>1.8509940875532274E-2</v>
      </c>
      <c r="J199" s="54">
        <f t="shared" si="25"/>
        <v>1.8509940875532274E-2</v>
      </c>
      <c r="K199" s="54">
        <f t="shared" si="25"/>
        <v>1.8509940875532274E-2</v>
      </c>
      <c r="L199" s="54">
        <f t="shared" si="25"/>
        <v>1.8509940875532274E-2</v>
      </c>
      <c r="M199" s="54">
        <f t="shared" si="25"/>
        <v>1.8509940875532274E-2</v>
      </c>
      <c r="N199" s="51">
        <f>FORESTS2[[#This Row],[Area_2020]]-FORESTS2[[#This Row],[Area_1990]]</f>
        <v>0</v>
      </c>
      <c r="O199" s="51">
        <f>ABS(FORESTS2[[#This Row],[Area_Delta]])</f>
        <v>0</v>
      </c>
      <c r="P199" s="54">
        <f>FORESTS2[[#This Row],[Area_2020_%]]-FORESTS2[[#This Row],[Area_1990_%]]</f>
        <v>0</v>
      </c>
      <c r="Q199" s="54" t="b">
        <f t="shared" si="27"/>
        <v>0</v>
      </c>
      <c r="R199" s="51">
        <f t="shared" si="28"/>
        <v>0</v>
      </c>
      <c r="S199" s="51">
        <f t="shared" si="29"/>
        <v>0</v>
      </c>
      <c r="T199" s="48">
        <f t="shared" si="30"/>
        <v>0</v>
      </c>
      <c r="U199" s="43">
        <v>1.85</v>
      </c>
      <c r="V199" s="30" t="s">
        <v>247</v>
      </c>
      <c r="W199" s="38" t="s">
        <v>247</v>
      </c>
      <c r="X199" s="38">
        <f t="shared" si="31"/>
        <v>0</v>
      </c>
      <c r="Y199" s="38">
        <f t="shared" si="31"/>
        <v>0</v>
      </c>
      <c r="Z199" s="38">
        <f t="shared" si="31"/>
        <v>0</v>
      </c>
      <c r="AA199" s="38">
        <f t="shared" si="26"/>
        <v>0</v>
      </c>
      <c r="AB199" s="38">
        <f>FORESTS2[[#This Row],[Column7]]+FORESTS2[[#This Row],[Column8]]</f>
        <v>0</v>
      </c>
      <c r="AC199" s="63">
        <f t="shared" si="32"/>
        <v>0</v>
      </c>
      <c r="AD199" s="63">
        <f t="shared" si="32"/>
        <v>0</v>
      </c>
      <c r="AE199" s="63">
        <f t="shared" si="33"/>
        <v>0</v>
      </c>
      <c r="AF199" s="63">
        <f t="shared" si="33"/>
        <v>0</v>
      </c>
    </row>
    <row r="200" spans="1:32" hidden="1" x14ac:dyDescent="0.2">
      <c r="A200" s="28">
        <v>275</v>
      </c>
      <c r="B200" s="28" t="s">
        <v>226</v>
      </c>
      <c r="C200" s="30">
        <v>9.08</v>
      </c>
      <c r="D200" s="30">
        <v>9.08</v>
      </c>
      <c r="E200" s="30">
        <v>9.9499999999999993</v>
      </c>
      <c r="F200" s="30">
        <v>10.14</v>
      </c>
      <c r="G200" s="30">
        <v>10.14</v>
      </c>
      <c r="H200" s="30">
        <v>602</v>
      </c>
      <c r="I200" s="54">
        <f t="shared" si="25"/>
        <v>1.5083056478405316E-2</v>
      </c>
      <c r="J200" s="54">
        <f t="shared" si="25"/>
        <v>1.5083056478405316E-2</v>
      </c>
      <c r="K200" s="54">
        <f t="shared" si="25"/>
        <v>1.6528239202657807E-2</v>
      </c>
      <c r="L200" s="54">
        <f t="shared" si="25"/>
        <v>1.6843853820598009E-2</v>
      </c>
      <c r="M200" s="54">
        <f t="shared" si="25"/>
        <v>1.6843853820598009E-2</v>
      </c>
      <c r="N200" s="51">
        <f>FORESTS2[[#This Row],[Area_2020]]-FORESTS2[[#This Row],[Area_1990]]</f>
        <v>1.0600000000000005</v>
      </c>
      <c r="O200" s="51">
        <f>ABS(FORESTS2[[#This Row],[Area_Delta]])</f>
        <v>1.0600000000000005</v>
      </c>
      <c r="P200" s="54">
        <f>FORESTS2[[#This Row],[Area_2020_%]]-FORESTS2[[#This Row],[Area_1990_%]]</f>
        <v>1.7607973421926923E-3</v>
      </c>
      <c r="Q200" s="54" t="b">
        <f t="shared" si="27"/>
        <v>1</v>
      </c>
      <c r="R200" s="51">
        <f t="shared" si="28"/>
        <v>1.0600000000000005</v>
      </c>
      <c r="S200" s="51">
        <f t="shared" si="29"/>
        <v>0</v>
      </c>
      <c r="T200" s="48">
        <f t="shared" si="30"/>
        <v>0</v>
      </c>
      <c r="U200" s="48">
        <v>1.68</v>
      </c>
      <c r="V200" s="30" t="s">
        <v>247</v>
      </c>
      <c r="W200" s="30" t="s">
        <v>247</v>
      </c>
      <c r="X200" s="38">
        <f t="shared" si="31"/>
        <v>0</v>
      </c>
      <c r="Y200" s="38">
        <f t="shared" si="31"/>
        <v>0.86999999999999922</v>
      </c>
      <c r="Z200" s="38">
        <f t="shared" si="31"/>
        <v>0.19000000000000128</v>
      </c>
      <c r="AA200" s="38">
        <f t="shared" si="26"/>
        <v>0</v>
      </c>
      <c r="AB200" s="38">
        <f>FORESTS2[[#This Row],[Column7]]+FORESTS2[[#This Row],[Column8]]</f>
        <v>0.19000000000000128</v>
      </c>
      <c r="AC200" s="63">
        <f t="shared" si="32"/>
        <v>0</v>
      </c>
      <c r="AD200" s="63">
        <f t="shared" si="32"/>
        <v>8.6999999999999925E-2</v>
      </c>
      <c r="AE200" s="63">
        <f t="shared" si="33"/>
        <v>3.8000000000000256E-2</v>
      </c>
      <c r="AF200" s="63">
        <f t="shared" si="33"/>
        <v>0</v>
      </c>
    </row>
    <row r="201" spans="1:32" hidden="1" x14ac:dyDescent="0.2">
      <c r="A201" s="28">
        <v>296</v>
      </c>
      <c r="B201" s="28" t="s">
        <v>241</v>
      </c>
      <c r="C201" s="30">
        <v>1.18</v>
      </c>
      <c r="D201" s="30">
        <v>1.18</v>
      </c>
      <c r="E201" s="30">
        <v>1.18</v>
      </c>
      <c r="F201" s="30">
        <v>1.18</v>
      </c>
      <c r="G201" s="30">
        <v>1.18</v>
      </c>
      <c r="H201" s="30">
        <v>81</v>
      </c>
      <c r="I201" s="54">
        <f t="shared" si="25"/>
        <v>1.4567901234567901E-2</v>
      </c>
      <c r="J201" s="54">
        <f t="shared" si="25"/>
        <v>1.4567901234567901E-2</v>
      </c>
      <c r="K201" s="54">
        <f t="shared" si="25"/>
        <v>1.4567901234567901E-2</v>
      </c>
      <c r="L201" s="54">
        <f t="shared" si="25"/>
        <v>1.4567901234567901E-2</v>
      </c>
      <c r="M201" s="54">
        <f t="shared" si="25"/>
        <v>1.4567901234567901E-2</v>
      </c>
      <c r="N201" s="51">
        <f>FORESTS2[[#This Row],[Area_2020]]-FORESTS2[[#This Row],[Area_1990]]</f>
        <v>0</v>
      </c>
      <c r="O201" s="51">
        <f>ABS(FORESTS2[[#This Row],[Area_Delta]])</f>
        <v>0</v>
      </c>
      <c r="P201" s="54">
        <f>FORESTS2[[#This Row],[Area_2020_%]]-FORESTS2[[#This Row],[Area_1990_%]]</f>
        <v>0</v>
      </c>
      <c r="Q201" s="54" t="b">
        <f t="shared" si="27"/>
        <v>0</v>
      </c>
      <c r="R201" s="51">
        <f t="shared" si="28"/>
        <v>0</v>
      </c>
      <c r="S201" s="51">
        <f t="shared" si="29"/>
        <v>0</v>
      </c>
      <c r="T201" s="48">
        <f t="shared" si="30"/>
        <v>0</v>
      </c>
      <c r="U201" s="48">
        <v>1.46</v>
      </c>
      <c r="V201" s="30" t="s">
        <v>247</v>
      </c>
      <c r="W201" s="30" t="s">
        <v>247</v>
      </c>
      <c r="X201" s="38">
        <f t="shared" si="31"/>
        <v>0</v>
      </c>
      <c r="Y201" s="38">
        <f t="shared" si="31"/>
        <v>0</v>
      </c>
      <c r="Z201" s="38">
        <f t="shared" si="31"/>
        <v>0</v>
      </c>
      <c r="AA201" s="38">
        <f t="shared" si="26"/>
        <v>0</v>
      </c>
      <c r="AB201" s="38">
        <f>FORESTS2[[#This Row],[Column7]]+FORESTS2[[#This Row],[Column8]]</f>
        <v>0</v>
      </c>
      <c r="AC201" s="63">
        <f t="shared" si="32"/>
        <v>0</v>
      </c>
      <c r="AD201" s="63">
        <f t="shared" si="32"/>
        <v>0</v>
      </c>
      <c r="AE201" s="63">
        <f t="shared" si="33"/>
        <v>0</v>
      </c>
      <c r="AF201" s="63">
        <f t="shared" si="33"/>
        <v>0</v>
      </c>
    </row>
    <row r="202" spans="1:32" hidden="1" x14ac:dyDescent="0.2">
      <c r="A202" s="28">
        <v>418</v>
      </c>
      <c r="B202" s="28" t="s">
        <v>88</v>
      </c>
      <c r="C202" s="46">
        <v>17843</v>
      </c>
      <c r="D202" s="46">
        <v>17425</v>
      </c>
      <c r="E202" s="46">
        <v>16940.5</v>
      </c>
      <c r="F202" s="46">
        <v>16768</v>
      </c>
      <c r="G202" s="46">
        <v>16595.5</v>
      </c>
      <c r="H202" s="46">
        <v>23080</v>
      </c>
      <c r="I202" s="54">
        <f t="shared" si="25"/>
        <v>0.77309358752166379</v>
      </c>
      <c r="J202" s="54">
        <f t="shared" si="25"/>
        <v>0.75498266897746968</v>
      </c>
      <c r="K202" s="54">
        <f t="shared" si="25"/>
        <v>0.73399046793760836</v>
      </c>
      <c r="L202" s="54">
        <f t="shared" si="25"/>
        <v>0.72651646447140383</v>
      </c>
      <c r="M202" s="54">
        <f t="shared" si="25"/>
        <v>0.71904246100519931</v>
      </c>
      <c r="N202" s="51">
        <f>FORESTS2[[#This Row],[Area_2020]]-FORESTS2[[#This Row],[Area_1990]]</f>
        <v>-1247.5</v>
      </c>
      <c r="O202" s="51">
        <f>ABS(FORESTS2[[#This Row],[Area_Delta]])</f>
        <v>1247.5</v>
      </c>
      <c r="P202" s="54">
        <f>FORESTS2[[#This Row],[Area_2020_%]]-FORESTS2[[#This Row],[Area_1990_%]]</f>
        <v>-5.4051126516464487E-2</v>
      </c>
      <c r="Q202" s="54" t="b">
        <f t="shared" si="27"/>
        <v>0</v>
      </c>
      <c r="R202" s="51">
        <f t="shared" si="28"/>
        <v>0</v>
      </c>
      <c r="S202" s="51">
        <f t="shared" si="29"/>
        <v>1247.5</v>
      </c>
      <c r="T202" s="62">
        <f t="shared" si="30"/>
        <v>4</v>
      </c>
      <c r="U202" s="43">
        <v>71.900000000000006</v>
      </c>
      <c r="V202" s="30" t="s">
        <v>247</v>
      </c>
      <c r="W202" s="38">
        <v>12.42</v>
      </c>
      <c r="X202" s="38">
        <f t="shared" si="31"/>
        <v>-418</v>
      </c>
      <c r="Y202" s="38">
        <f t="shared" si="31"/>
        <v>-484.5</v>
      </c>
      <c r="Z202" s="38">
        <f t="shared" si="31"/>
        <v>-172.5</v>
      </c>
      <c r="AA202" s="38">
        <f t="shared" si="26"/>
        <v>-172.5</v>
      </c>
      <c r="AB202" s="38">
        <f>FORESTS2[[#This Row],[Column7]]+FORESTS2[[#This Row],[Column8]]</f>
        <v>-345</v>
      </c>
      <c r="AC202" s="63">
        <f t="shared" si="32"/>
        <v>-41.8</v>
      </c>
      <c r="AD202" s="63">
        <f t="shared" si="32"/>
        <v>-48.45</v>
      </c>
      <c r="AE202" s="63">
        <f t="shared" si="33"/>
        <v>-34.5</v>
      </c>
      <c r="AF202" s="63">
        <f t="shared" si="33"/>
        <v>-34.5</v>
      </c>
    </row>
    <row r="203" spans="1:32" hidden="1" x14ac:dyDescent="0.2">
      <c r="A203" s="28">
        <v>470</v>
      </c>
      <c r="B203" s="28" t="s">
        <v>101</v>
      </c>
      <c r="C203" s="30">
        <v>0.35</v>
      </c>
      <c r="D203" s="30">
        <v>0.35</v>
      </c>
      <c r="E203" s="30">
        <v>0.35</v>
      </c>
      <c r="F203" s="30">
        <v>0.35</v>
      </c>
      <c r="G203" s="30">
        <v>0.46</v>
      </c>
      <c r="H203" s="30">
        <v>32</v>
      </c>
      <c r="I203" s="54">
        <f t="shared" si="25"/>
        <v>1.0937499999999999E-2</v>
      </c>
      <c r="J203" s="54">
        <f t="shared" si="25"/>
        <v>1.0937499999999999E-2</v>
      </c>
      <c r="K203" s="54">
        <f t="shared" si="25"/>
        <v>1.0937499999999999E-2</v>
      </c>
      <c r="L203" s="54">
        <f t="shared" si="25"/>
        <v>1.0937499999999999E-2</v>
      </c>
      <c r="M203" s="54">
        <f t="shared" si="25"/>
        <v>1.4375000000000001E-2</v>
      </c>
      <c r="N203" s="51">
        <f>FORESTS2[[#This Row],[Area_2020]]-FORESTS2[[#This Row],[Area_1990]]</f>
        <v>0.11000000000000004</v>
      </c>
      <c r="O203" s="51">
        <f>ABS(FORESTS2[[#This Row],[Area_Delta]])</f>
        <v>0.11000000000000004</v>
      </c>
      <c r="P203" s="54">
        <f>FORESTS2[[#This Row],[Area_2020_%]]-FORESTS2[[#This Row],[Area_1990_%]]</f>
        <v>3.4375000000000013E-3</v>
      </c>
      <c r="Q203" s="54" t="b">
        <f t="shared" si="27"/>
        <v>1</v>
      </c>
      <c r="R203" s="51">
        <f t="shared" si="28"/>
        <v>0.11000000000000004</v>
      </c>
      <c r="S203" s="51">
        <f t="shared" si="29"/>
        <v>0</v>
      </c>
      <c r="T203" s="48">
        <f t="shared" si="30"/>
        <v>0</v>
      </c>
      <c r="U203" s="48">
        <v>1.44</v>
      </c>
      <c r="V203" s="30" t="s">
        <v>247</v>
      </c>
      <c r="W203" s="30" t="s">
        <v>247</v>
      </c>
      <c r="X203" s="38">
        <f t="shared" si="31"/>
        <v>0</v>
      </c>
      <c r="Y203" s="38">
        <f t="shared" si="31"/>
        <v>0</v>
      </c>
      <c r="Z203" s="38">
        <f t="shared" si="31"/>
        <v>0</v>
      </c>
      <c r="AA203" s="38">
        <f t="shared" si="26"/>
        <v>0.11000000000000004</v>
      </c>
      <c r="AB203" s="38">
        <f>FORESTS2[[#This Row],[Column7]]+FORESTS2[[#This Row],[Column8]]</f>
        <v>0.11000000000000004</v>
      </c>
      <c r="AC203" s="63">
        <f t="shared" si="32"/>
        <v>0</v>
      </c>
      <c r="AD203" s="63">
        <f t="shared" si="32"/>
        <v>0</v>
      </c>
      <c r="AE203" s="63">
        <f t="shared" si="33"/>
        <v>0</v>
      </c>
      <c r="AF203" s="63">
        <f t="shared" si="33"/>
        <v>2.2000000000000009E-2</v>
      </c>
    </row>
    <row r="204" spans="1:32" hidden="1" x14ac:dyDescent="0.2">
      <c r="A204" s="28">
        <v>398</v>
      </c>
      <c r="B204" s="28" t="s">
        <v>85</v>
      </c>
      <c r="C204" s="38">
        <v>3162.24</v>
      </c>
      <c r="D204" s="38">
        <v>3156.93</v>
      </c>
      <c r="E204" s="38">
        <v>3082.18</v>
      </c>
      <c r="F204" s="38">
        <v>3308.46</v>
      </c>
      <c r="G204" s="38">
        <v>3454.68</v>
      </c>
      <c r="H204" s="38">
        <v>269970</v>
      </c>
      <c r="I204" s="54">
        <f t="shared" si="25"/>
        <v>1.1713301477941992E-2</v>
      </c>
      <c r="J204" s="54">
        <f t="shared" si="25"/>
        <v>1.1693632625847316E-2</v>
      </c>
      <c r="K204" s="54">
        <f t="shared" si="25"/>
        <v>1.1416750009260287E-2</v>
      </c>
      <c r="L204" s="54">
        <f t="shared" si="25"/>
        <v>1.2254917213023669E-2</v>
      </c>
      <c r="M204" s="54">
        <f t="shared" si="25"/>
        <v>1.2796532948105344E-2</v>
      </c>
      <c r="N204" s="51">
        <f>FORESTS2[[#This Row],[Area_2020]]-FORESTS2[[#This Row],[Area_1990]]</f>
        <v>292.44000000000005</v>
      </c>
      <c r="O204" s="51">
        <f>ABS(FORESTS2[[#This Row],[Area_Delta]])</f>
        <v>292.44000000000005</v>
      </c>
      <c r="P204" s="54">
        <f>FORESTS2[[#This Row],[Area_2020_%]]-FORESTS2[[#This Row],[Area_1990_%]]</f>
        <v>1.0832314701633514E-3</v>
      </c>
      <c r="Q204" s="54" t="b">
        <f t="shared" si="27"/>
        <v>1</v>
      </c>
      <c r="R204" s="51">
        <f t="shared" si="28"/>
        <v>292.44000000000005</v>
      </c>
      <c r="S204" s="51">
        <f t="shared" si="29"/>
        <v>0</v>
      </c>
      <c r="T204" s="48">
        <f t="shared" si="30"/>
        <v>2</v>
      </c>
      <c r="U204" s="43">
        <v>1.28</v>
      </c>
      <c r="V204" s="30" t="s">
        <v>247</v>
      </c>
      <c r="W204" s="38">
        <v>9.6</v>
      </c>
      <c r="X204" s="38">
        <f t="shared" si="31"/>
        <v>-5.3099999999999454</v>
      </c>
      <c r="Y204" s="38">
        <f t="shared" si="31"/>
        <v>-74.75</v>
      </c>
      <c r="Z204" s="38">
        <f t="shared" si="31"/>
        <v>226.2800000000002</v>
      </c>
      <c r="AA204" s="38">
        <f t="shared" si="26"/>
        <v>146.2199999999998</v>
      </c>
      <c r="AB204" s="38">
        <f>FORESTS2[[#This Row],[Column7]]+FORESTS2[[#This Row],[Column8]]</f>
        <v>372.5</v>
      </c>
      <c r="AC204" s="63">
        <f t="shared" si="32"/>
        <v>-0.53099999999999459</v>
      </c>
      <c r="AD204" s="63">
        <f t="shared" si="32"/>
        <v>-7.4749999999999996</v>
      </c>
      <c r="AE204" s="63">
        <f t="shared" si="33"/>
        <v>45.256000000000043</v>
      </c>
      <c r="AF204" s="63">
        <f t="shared" si="33"/>
        <v>29.243999999999961</v>
      </c>
    </row>
    <row r="205" spans="1:32" hidden="1" x14ac:dyDescent="0.2">
      <c r="A205" s="28">
        <v>426</v>
      </c>
      <c r="B205" s="28" t="s">
        <v>91</v>
      </c>
      <c r="C205" s="30">
        <v>34.520000000000003</v>
      </c>
      <c r="D205" s="30">
        <v>34.520000000000003</v>
      </c>
      <c r="E205" s="30">
        <v>34.520000000000003</v>
      </c>
      <c r="F205" s="30">
        <v>34.520000000000003</v>
      </c>
      <c r="G205" s="30">
        <v>34.520000000000003</v>
      </c>
      <c r="H205" s="30">
        <v>3036</v>
      </c>
      <c r="I205" s="54">
        <f t="shared" si="25"/>
        <v>1.1370223978919632E-2</v>
      </c>
      <c r="J205" s="54">
        <f t="shared" si="25"/>
        <v>1.1370223978919632E-2</v>
      </c>
      <c r="K205" s="54">
        <f t="shared" si="25"/>
        <v>1.1370223978919632E-2</v>
      </c>
      <c r="L205" s="54">
        <f t="shared" si="25"/>
        <v>1.1370223978919632E-2</v>
      </c>
      <c r="M205" s="54">
        <f t="shared" si="25"/>
        <v>1.1370223978919632E-2</v>
      </c>
      <c r="N205" s="51">
        <f>FORESTS2[[#This Row],[Area_2020]]-FORESTS2[[#This Row],[Area_1990]]</f>
        <v>0</v>
      </c>
      <c r="O205" s="51">
        <f>ABS(FORESTS2[[#This Row],[Area_Delta]])</f>
        <v>0</v>
      </c>
      <c r="P205" s="54">
        <f>FORESTS2[[#This Row],[Area_2020_%]]-FORESTS2[[#This Row],[Area_1990_%]]</f>
        <v>0</v>
      </c>
      <c r="Q205" s="54" t="b">
        <f t="shared" si="27"/>
        <v>0</v>
      </c>
      <c r="R205" s="51">
        <f t="shared" si="28"/>
        <v>0</v>
      </c>
      <c r="S205" s="51">
        <f t="shared" si="29"/>
        <v>0</v>
      </c>
      <c r="T205" s="48">
        <f t="shared" si="30"/>
        <v>0</v>
      </c>
      <c r="U205" s="48">
        <v>1.1399999999999999</v>
      </c>
      <c r="V205" s="30" t="s">
        <v>247</v>
      </c>
      <c r="W205" s="30" t="s">
        <v>247</v>
      </c>
      <c r="X205" s="38">
        <f t="shared" si="31"/>
        <v>0</v>
      </c>
      <c r="Y205" s="38">
        <f t="shared" si="31"/>
        <v>0</v>
      </c>
      <c r="Z205" s="38">
        <f t="shared" si="31"/>
        <v>0</v>
      </c>
      <c r="AA205" s="38">
        <f t="shared" si="26"/>
        <v>0</v>
      </c>
      <c r="AB205" s="38">
        <f>FORESTS2[[#This Row],[Column7]]+FORESTS2[[#This Row],[Column8]]</f>
        <v>0</v>
      </c>
      <c r="AC205" s="63">
        <f t="shared" si="32"/>
        <v>0</v>
      </c>
      <c r="AD205" s="63">
        <f t="shared" si="32"/>
        <v>0</v>
      </c>
      <c r="AE205" s="63">
        <f t="shared" si="33"/>
        <v>0</v>
      </c>
      <c r="AF205" s="63">
        <f t="shared" si="33"/>
        <v>0</v>
      </c>
    </row>
    <row r="206" spans="1:32" hidden="1" x14ac:dyDescent="0.2">
      <c r="A206" s="28">
        <v>400</v>
      </c>
      <c r="B206" s="28" t="s">
        <v>84</v>
      </c>
      <c r="C206" s="38">
        <v>97.5</v>
      </c>
      <c r="D206" s="38">
        <v>97.5</v>
      </c>
      <c r="E206" s="38">
        <v>97.5</v>
      </c>
      <c r="F206" s="38">
        <v>97.5</v>
      </c>
      <c r="G206" s="38">
        <v>97.5</v>
      </c>
      <c r="H206" s="38">
        <v>8878</v>
      </c>
      <c r="I206" s="54">
        <f t="shared" si="25"/>
        <v>1.0982203198918676E-2</v>
      </c>
      <c r="J206" s="54">
        <f t="shared" si="25"/>
        <v>1.0982203198918676E-2</v>
      </c>
      <c r="K206" s="54">
        <f t="shared" si="25"/>
        <v>1.0982203198918676E-2</v>
      </c>
      <c r="L206" s="54">
        <f t="shared" si="25"/>
        <v>1.0982203198918676E-2</v>
      </c>
      <c r="M206" s="54">
        <f t="shared" si="25"/>
        <v>1.0982203198918676E-2</v>
      </c>
      <c r="N206" s="51">
        <f>FORESTS2[[#This Row],[Area_2020]]-FORESTS2[[#This Row],[Area_1990]]</f>
        <v>0</v>
      </c>
      <c r="O206" s="51">
        <f>ABS(FORESTS2[[#This Row],[Area_Delta]])</f>
        <v>0</v>
      </c>
      <c r="P206" s="54">
        <f>FORESTS2[[#This Row],[Area_2020_%]]-FORESTS2[[#This Row],[Area_1990_%]]</f>
        <v>0</v>
      </c>
      <c r="Q206" s="54" t="b">
        <f t="shared" si="27"/>
        <v>0</v>
      </c>
      <c r="R206" s="51">
        <f t="shared" si="28"/>
        <v>0</v>
      </c>
      <c r="S206" s="51">
        <f t="shared" si="29"/>
        <v>0</v>
      </c>
      <c r="T206" s="48">
        <f t="shared" si="30"/>
        <v>0</v>
      </c>
      <c r="U206" s="43">
        <v>1.1000000000000001</v>
      </c>
      <c r="V206" s="30" t="s">
        <v>247</v>
      </c>
      <c r="W206" s="38" t="s">
        <v>247</v>
      </c>
      <c r="X206" s="38">
        <f t="shared" si="31"/>
        <v>0</v>
      </c>
      <c r="Y206" s="38">
        <f t="shared" si="31"/>
        <v>0</v>
      </c>
      <c r="Z206" s="38">
        <f t="shared" si="31"/>
        <v>0</v>
      </c>
      <c r="AA206" s="38">
        <f t="shared" si="26"/>
        <v>0</v>
      </c>
      <c r="AB206" s="38">
        <f>FORESTS2[[#This Row],[Column7]]+FORESTS2[[#This Row],[Column8]]</f>
        <v>0</v>
      </c>
      <c r="AC206" s="63">
        <f t="shared" si="32"/>
        <v>0</v>
      </c>
      <c r="AD206" s="63">
        <f t="shared" si="32"/>
        <v>0</v>
      </c>
      <c r="AE206" s="63">
        <f t="shared" si="33"/>
        <v>0</v>
      </c>
      <c r="AF206" s="63">
        <f t="shared" si="33"/>
        <v>0</v>
      </c>
    </row>
    <row r="207" spans="1:32" hidden="1" x14ac:dyDescent="0.2">
      <c r="A207" s="28">
        <v>887</v>
      </c>
      <c r="B207" s="28" t="s">
        <v>183</v>
      </c>
      <c r="C207" s="38">
        <v>549</v>
      </c>
      <c r="D207" s="38">
        <v>549</v>
      </c>
      <c r="E207" s="38">
        <v>549</v>
      </c>
      <c r="F207" s="38">
        <v>549</v>
      </c>
      <c r="G207" s="38">
        <v>549</v>
      </c>
      <c r="H207" s="38">
        <v>52797</v>
      </c>
      <c r="I207" s="54">
        <f t="shared" si="25"/>
        <v>1.0398318086254901E-2</v>
      </c>
      <c r="J207" s="54">
        <f t="shared" si="25"/>
        <v>1.0398318086254901E-2</v>
      </c>
      <c r="K207" s="54">
        <f t="shared" si="25"/>
        <v>1.0398318086254901E-2</v>
      </c>
      <c r="L207" s="54">
        <f t="shared" si="25"/>
        <v>1.0398318086254901E-2</v>
      </c>
      <c r="M207" s="54">
        <f t="shared" si="25"/>
        <v>1.0398318086254901E-2</v>
      </c>
      <c r="N207" s="51">
        <f>FORESTS2[[#This Row],[Area_2020]]-FORESTS2[[#This Row],[Area_1990]]</f>
        <v>0</v>
      </c>
      <c r="O207" s="51">
        <f>ABS(FORESTS2[[#This Row],[Area_Delta]])</f>
        <v>0</v>
      </c>
      <c r="P207" s="54">
        <f>FORESTS2[[#This Row],[Area_2020_%]]-FORESTS2[[#This Row],[Area_1990_%]]</f>
        <v>0</v>
      </c>
      <c r="Q207" s="54" t="b">
        <f t="shared" si="27"/>
        <v>0</v>
      </c>
      <c r="R207" s="51">
        <f t="shared" si="28"/>
        <v>0</v>
      </c>
      <c r="S207" s="51">
        <f t="shared" si="29"/>
        <v>0</v>
      </c>
      <c r="T207" s="48">
        <f t="shared" si="30"/>
        <v>0</v>
      </c>
      <c r="U207" s="43">
        <v>1.04</v>
      </c>
      <c r="V207" s="30" t="s">
        <v>247</v>
      </c>
      <c r="W207" s="38" t="s">
        <v>247</v>
      </c>
      <c r="X207" s="38">
        <f t="shared" si="31"/>
        <v>0</v>
      </c>
      <c r="Y207" s="38">
        <f t="shared" si="31"/>
        <v>0</v>
      </c>
      <c r="Z207" s="38">
        <f t="shared" si="31"/>
        <v>0</v>
      </c>
      <c r="AA207" s="38">
        <f t="shared" si="26"/>
        <v>0</v>
      </c>
      <c r="AB207" s="38">
        <f>FORESTS2[[#This Row],[Column7]]+FORESTS2[[#This Row],[Column8]]</f>
        <v>0</v>
      </c>
      <c r="AC207" s="63">
        <f t="shared" si="32"/>
        <v>0</v>
      </c>
      <c r="AD207" s="63">
        <f t="shared" si="32"/>
        <v>0</v>
      </c>
      <c r="AE207" s="63">
        <f t="shared" si="33"/>
        <v>0</v>
      </c>
      <c r="AF207" s="63">
        <f t="shared" si="33"/>
        <v>0</v>
      </c>
    </row>
    <row r="208" spans="1:32" hidden="1" x14ac:dyDescent="0.2">
      <c r="A208" s="28">
        <v>48</v>
      </c>
      <c r="B208" s="28" t="s">
        <v>222</v>
      </c>
      <c r="C208" s="30">
        <v>0.22</v>
      </c>
      <c r="D208" s="30">
        <v>0.37</v>
      </c>
      <c r="E208" s="30">
        <v>0.52</v>
      </c>
      <c r="F208" s="30">
        <v>0.6</v>
      </c>
      <c r="G208" s="30">
        <v>0.7</v>
      </c>
      <c r="H208" s="30">
        <v>77</v>
      </c>
      <c r="I208" s="54">
        <f t="shared" ref="I208:M239" si="34">C208/$H208</f>
        <v>2.8571428571428571E-3</v>
      </c>
      <c r="J208" s="54">
        <f t="shared" si="34"/>
        <v>4.8051948051948054E-3</v>
      </c>
      <c r="K208" s="54">
        <f t="shared" si="34"/>
        <v>6.7532467532467532E-3</v>
      </c>
      <c r="L208" s="54">
        <f t="shared" si="34"/>
        <v>7.7922077922077922E-3</v>
      </c>
      <c r="M208" s="54">
        <f t="shared" si="34"/>
        <v>9.0909090909090905E-3</v>
      </c>
      <c r="N208" s="51">
        <f>FORESTS2[[#This Row],[Area_2020]]-FORESTS2[[#This Row],[Area_1990]]</f>
        <v>0.48</v>
      </c>
      <c r="O208" s="51">
        <f>ABS(FORESTS2[[#This Row],[Area_Delta]])</f>
        <v>0.48</v>
      </c>
      <c r="P208" s="54">
        <f>FORESTS2[[#This Row],[Area_2020_%]]-FORESTS2[[#This Row],[Area_1990_%]]</f>
        <v>6.2337662337662338E-3</v>
      </c>
      <c r="Q208" s="54" t="b">
        <f t="shared" si="27"/>
        <v>1</v>
      </c>
      <c r="R208" s="51">
        <f t="shared" si="28"/>
        <v>0.48</v>
      </c>
      <c r="S208" s="51">
        <f t="shared" si="29"/>
        <v>0</v>
      </c>
      <c r="T208" s="48">
        <f t="shared" si="30"/>
        <v>0</v>
      </c>
      <c r="U208" s="48">
        <v>0.91</v>
      </c>
      <c r="V208" s="30">
        <v>0</v>
      </c>
      <c r="W208" s="30">
        <v>0</v>
      </c>
      <c r="X208" s="38">
        <f t="shared" si="31"/>
        <v>0.15</v>
      </c>
      <c r="Y208" s="38">
        <f t="shared" si="31"/>
        <v>0.15000000000000002</v>
      </c>
      <c r="Z208" s="38">
        <f t="shared" si="31"/>
        <v>7.999999999999996E-2</v>
      </c>
      <c r="AA208" s="38">
        <f t="shared" si="26"/>
        <v>9.9999999999999978E-2</v>
      </c>
      <c r="AB208" s="38">
        <f>FORESTS2[[#This Row],[Column7]]+FORESTS2[[#This Row],[Column8]]</f>
        <v>0.17999999999999994</v>
      </c>
      <c r="AC208" s="63">
        <f t="shared" si="32"/>
        <v>1.4999999999999999E-2</v>
      </c>
      <c r="AD208" s="63">
        <f t="shared" si="32"/>
        <v>1.5000000000000003E-2</v>
      </c>
      <c r="AE208" s="63">
        <f t="shared" si="33"/>
        <v>1.5999999999999993E-2</v>
      </c>
      <c r="AF208" s="63">
        <f t="shared" si="33"/>
        <v>1.9999999999999997E-2</v>
      </c>
    </row>
    <row r="209" spans="1:32" hidden="1" x14ac:dyDescent="0.2">
      <c r="A209" s="28">
        <v>562</v>
      </c>
      <c r="B209" s="28" t="s">
        <v>119</v>
      </c>
      <c r="C209" s="46">
        <v>1945</v>
      </c>
      <c r="D209" s="46">
        <v>1328.1</v>
      </c>
      <c r="E209" s="46">
        <v>1203.9000000000001</v>
      </c>
      <c r="F209" s="46">
        <v>1141.8</v>
      </c>
      <c r="G209" s="46">
        <v>1079.7</v>
      </c>
      <c r="H209" s="46">
        <v>126670</v>
      </c>
      <c r="I209" s="54">
        <f t="shared" si="34"/>
        <v>1.5354859082655719E-2</v>
      </c>
      <c r="J209" s="54">
        <f t="shared" si="34"/>
        <v>1.0484724086208257E-2</v>
      </c>
      <c r="K209" s="54">
        <f t="shared" si="34"/>
        <v>9.5042235730638681E-3</v>
      </c>
      <c r="L209" s="54">
        <f t="shared" si="34"/>
        <v>9.0139733164916712E-3</v>
      </c>
      <c r="M209" s="54">
        <f t="shared" si="34"/>
        <v>8.523723059919476E-3</v>
      </c>
      <c r="N209" s="51">
        <f>FORESTS2[[#This Row],[Area_2020]]-FORESTS2[[#This Row],[Area_1990]]</f>
        <v>-865.3</v>
      </c>
      <c r="O209" s="51">
        <f>ABS(FORESTS2[[#This Row],[Area_Delta]])</f>
        <v>865.3</v>
      </c>
      <c r="P209" s="54">
        <f>FORESTS2[[#This Row],[Area_2020_%]]-FORESTS2[[#This Row],[Area_1990_%]]</f>
        <v>-6.8311360227362432E-3</v>
      </c>
      <c r="Q209" s="54" t="b">
        <f t="shared" si="27"/>
        <v>0</v>
      </c>
      <c r="R209" s="51">
        <f t="shared" si="28"/>
        <v>0</v>
      </c>
      <c r="S209" s="51">
        <f t="shared" si="29"/>
        <v>865.3</v>
      </c>
      <c r="T209" s="48">
        <f t="shared" si="30"/>
        <v>4</v>
      </c>
      <c r="U209" s="43">
        <v>0.85</v>
      </c>
      <c r="V209" s="30">
        <v>14.92</v>
      </c>
      <c r="W209" s="38" t="s">
        <v>247</v>
      </c>
      <c r="X209" s="38">
        <f t="shared" si="31"/>
        <v>-616.90000000000009</v>
      </c>
      <c r="Y209" s="38">
        <f t="shared" si="31"/>
        <v>-124.19999999999982</v>
      </c>
      <c r="Z209" s="38">
        <f t="shared" si="31"/>
        <v>-62.100000000000136</v>
      </c>
      <c r="AA209" s="38">
        <f t="shared" si="26"/>
        <v>-62.099999999999909</v>
      </c>
      <c r="AB209" s="38">
        <f>FORESTS2[[#This Row],[Column7]]+FORESTS2[[#This Row],[Column8]]</f>
        <v>-124.20000000000005</v>
      </c>
      <c r="AC209" s="63">
        <f t="shared" si="32"/>
        <v>-61.690000000000012</v>
      </c>
      <c r="AD209" s="63">
        <f t="shared" si="32"/>
        <v>-12.419999999999982</v>
      </c>
      <c r="AE209" s="63">
        <f t="shared" si="33"/>
        <v>-12.420000000000027</v>
      </c>
      <c r="AF209" s="63">
        <f t="shared" si="33"/>
        <v>-12.419999999999982</v>
      </c>
    </row>
    <row r="210" spans="1:32" hidden="1" x14ac:dyDescent="0.2">
      <c r="A210" s="28">
        <v>458</v>
      </c>
      <c r="B210" s="28" t="s">
        <v>98</v>
      </c>
      <c r="C210" s="38">
        <v>20618.5</v>
      </c>
      <c r="D210" s="38">
        <v>19691.349999999999</v>
      </c>
      <c r="E210" s="38">
        <v>18947.650000000001</v>
      </c>
      <c r="F210" s="38">
        <v>19464.22</v>
      </c>
      <c r="G210" s="38">
        <v>19114.04</v>
      </c>
      <c r="H210" s="38">
        <v>32855</v>
      </c>
      <c r="I210" s="54">
        <f t="shared" si="34"/>
        <v>0.62756049307563533</v>
      </c>
      <c r="J210" s="54">
        <f t="shared" si="34"/>
        <v>0.5993410439811292</v>
      </c>
      <c r="K210" s="54">
        <f t="shared" si="34"/>
        <v>0.57670521990564605</v>
      </c>
      <c r="L210" s="54">
        <f t="shared" si="34"/>
        <v>0.59242794095267082</v>
      </c>
      <c r="M210" s="54">
        <f t="shared" si="34"/>
        <v>0.58176959366915237</v>
      </c>
      <c r="N210" s="51">
        <f>FORESTS2[[#This Row],[Area_2020]]-FORESTS2[[#This Row],[Area_1990]]</f>
        <v>-1504.4599999999991</v>
      </c>
      <c r="O210" s="51">
        <f>ABS(FORESTS2[[#This Row],[Area_Delta]])</f>
        <v>1504.4599999999991</v>
      </c>
      <c r="P210" s="54">
        <f>FORESTS2[[#This Row],[Area_2020_%]]-FORESTS2[[#This Row],[Area_1990_%]]</f>
        <v>-4.5790899406482954E-2</v>
      </c>
      <c r="Q210" s="54" t="b">
        <f t="shared" si="27"/>
        <v>0</v>
      </c>
      <c r="R210" s="51">
        <f t="shared" si="28"/>
        <v>0</v>
      </c>
      <c r="S210" s="51">
        <f t="shared" si="29"/>
        <v>1504.4599999999991</v>
      </c>
      <c r="T210" s="62">
        <f t="shared" si="30"/>
        <v>3</v>
      </c>
      <c r="U210" s="43">
        <v>58.18</v>
      </c>
      <c r="V210" s="30" t="s">
        <v>247</v>
      </c>
      <c r="W210" s="38">
        <v>0.89</v>
      </c>
      <c r="X210" s="38">
        <f t="shared" si="31"/>
        <v>-927.15000000000146</v>
      </c>
      <c r="Y210" s="38">
        <f t="shared" si="31"/>
        <v>-743.69999999999709</v>
      </c>
      <c r="Z210" s="38">
        <f t="shared" si="31"/>
        <v>516.56999999999971</v>
      </c>
      <c r="AA210" s="38">
        <f t="shared" si="26"/>
        <v>-350.18000000000029</v>
      </c>
      <c r="AB210" s="38">
        <f>FORESTS2[[#This Row],[Column7]]+FORESTS2[[#This Row],[Column8]]</f>
        <v>166.38999999999942</v>
      </c>
      <c r="AC210" s="63">
        <f t="shared" si="32"/>
        <v>-92.715000000000146</v>
      </c>
      <c r="AD210" s="63">
        <f t="shared" si="32"/>
        <v>-74.369999999999706</v>
      </c>
      <c r="AE210" s="63">
        <f t="shared" si="33"/>
        <v>103.31399999999994</v>
      </c>
      <c r="AF210" s="63">
        <f t="shared" si="33"/>
        <v>-70.036000000000058</v>
      </c>
    </row>
    <row r="211" spans="1:32" hidden="1" x14ac:dyDescent="0.2">
      <c r="A211" s="28">
        <v>12</v>
      </c>
      <c r="B211" s="28" t="s">
        <v>1</v>
      </c>
      <c r="C211" s="38">
        <v>1667</v>
      </c>
      <c r="D211" s="38">
        <v>1579</v>
      </c>
      <c r="E211" s="38">
        <v>1918</v>
      </c>
      <c r="F211" s="38">
        <v>1956</v>
      </c>
      <c r="G211" s="38">
        <v>1949</v>
      </c>
      <c r="H211" s="38">
        <v>238174</v>
      </c>
      <c r="I211" s="54">
        <f t="shared" si="34"/>
        <v>6.9990847027803201E-3</v>
      </c>
      <c r="J211" s="54">
        <f t="shared" si="34"/>
        <v>6.6296069260288696E-3</v>
      </c>
      <c r="K211" s="54">
        <f t="shared" si="34"/>
        <v>8.0529360887418439E-3</v>
      </c>
      <c r="L211" s="54">
        <f t="shared" si="34"/>
        <v>8.2124833105208794E-3</v>
      </c>
      <c r="M211" s="54">
        <f t="shared" si="34"/>
        <v>8.1830930328247418E-3</v>
      </c>
      <c r="N211" s="51">
        <f>FORESTS2[[#This Row],[Area_2020]]-FORESTS2[[#This Row],[Area_1990]]</f>
        <v>282</v>
      </c>
      <c r="O211" s="51">
        <f>ABS(FORESTS2[[#This Row],[Area_Delta]])</f>
        <v>282</v>
      </c>
      <c r="P211" s="54">
        <f>FORESTS2[[#This Row],[Area_2020_%]]-FORESTS2[[#This Row],[Area_1990_%]]</f>
        <v>1.1840083300444218E-3</v>
      </c>
      <c r="Q211" s="54" t="b">
        <f t="shared" si="27"/>
        <v>1</v>
      </c>
      <c r="R211" s="51">
        <f t="shared" si="28"/>
        <v>282</v>
      </c>
      <c r="S211" s="51">
        <f t="shared" si="29"/>
        <v>0</v>
      </c>
      <c r="T211" s="48">
        <f t="shared" si="30"/>
        <v>2</v>
      </c>
      <c r="U211" s="43">
        <v>0.82</v>
      </c>
      <c r="V211" s="30">
        <v>5.4</v>
      </c>
      <c r="W211" s="38" t="s">
        <v>247</v>
      </c>
      <c r="X211" s="38">
        <f t="shared" si="31"/>
        <v>-88</v>
      </c>
      <c r="Y211" s="38">
        <f t="shared" si="31"/>
        <v>339</v>
      </c>
      <c r="Z211" s="38">
        <f t="shared" si="31"/>
        <v>38</v>
      </c>
      <c r="AA211" s="38">
        <f t="shared" si="26"/>
        <v>-7</v>
      </c>
      <c r="AB211" s="38">
        <f>FORESTS2[[#This Row],[Column7]]+FORESTS2[[#This Row],[Column8]]</f>
        <v>31</v>
      </c>
      <c r="AC211" s="63">
        <f t="shared" si="32"/>
        <v>-8.8000000000000007</v>
      </c>
      <c r="AD211" s="63">
        <f t="shared" si="32"/>
        <v>33.9</v>
      </c>
      <c r="AE211" s="63">
        <f t="shared" si="33"/>
        <v>7.6</v>
      </c>
      <c r="AF211" s="63">
        <f t="shared" si="33"/>
        <v>-1.4</v>
      </c>
    </row>
    <row r="212" spans="1:32" hidden="1" x14ac:dyDescent="0.2">
      <c r="A212" s="28">
        <v>352</v>
      </c>
      <c r="B212" s="28" t="s">
        <v>74</v>
      </c>
      <c r="C212" s="38">
        <v>17.07</v>
      </c>
      <c r="D212" s="38">
        <v>29.83</v>
      </c>
      <c r="E212" s="38">
        <v>44.67</v>
      </c>
      <c r="F212" s="38">
        <v>48.16</v>
      </c>
      <c r="G212" s="38">
        <v>51.35</v>
      </c>
      <c r="H212" s="38">
        <v>10025</v>
      </c>
      <c r="I212" s="54">
        <f t="shared" si="34"/>
        <v>1.7027431421446383E-3</v>
      </c>
      <c r="J212" s="54">
        <f t="shared" si="34"/>
        <v>2.9755610972568578E-3</v>
      </c>
      <c r="K212" s="54">
        <f t="shared" si="34"/>
        <v>4.4558603491271819E-3</v>
      </c>
      <c r="L212" s="54">
        <f t="shared" si="34"/>
        <v>4.8039900249376554E-3</v>
      </c>
      <c r="M212" s="54">
        <f t="shared" si="34"/>
        <v>5.1221945137157106E-3</v>
      </c>
      <c r="N212" s="51">
        <f>FORESTS2[[#This Row],[Area_2020]]-FORESTS2[[#This Row],[Area_1990]]</f>
        <v>34.28</v>
      </c>
      <c r="O212" s="51">
        <f>ABS(FORESTS2[[#This Row],[Area_Delta]])</f>
        <v>34.28</v>
      </c>
      <c r="P212" s="54">
        <f>FORESTS2[[#This Row],[Area_2020_%]]-FORESTS2[[#This Row],[Area_1990_%]]</f>
        <v>3.4194513715710721E-3</v>
      </c>
      <c r="Q212" s="54" t="b">
        <f t="shared" si="27"/>
        <v>1</v>
      </c>
      <c r="R212" s="51">
        <f t="shared" si="28"/>
        <v>34.28</v>
      </c>
      <c r="S212" s="51">
        <f t="shared" si="29"/>
        <v>0</v>
      </c>
      <c r="T212" s="48">
        <f t="shared" si="30"/>
        <v>0</v>
      </c>
      <c r="U212" s="43">
        <v>0.51</v>
      </c>
      <c r="V212" s="30">
        <v>0</v>
      </c>
      <c r="W212" s="38">
        <v>0</v>
      </c>
      <c r="X212" s="38">
        <f t="shared" si="31"/>
        <v>12.759999999999998</v>
      </c>
      <c r="Y212" s="38">
        <f t="shared" si="31"/>
        <v>14.840000000000003</v>
      </c>
      <c r="Z212" s="38">
        <f t="shared" si="31"/>
        <v>3.4899999999999949</v>
      </c>
      <c r="AA212" s="38">
        <f t="shared" si="26"/>
        <v>3.1900000000000048</v>
      </c>
      <c r="AB212" s="38">
        <f>FORESTS2[[#This Row],[Column7]]+FORESTS2[[#This Row],[Column8]]</f>
        <v>6.68</v>
      </c>
      <c r="AC212" s="63">
        <f t="shared" si="32"/>
        <v>1.2759999999999998</v>
      </c>
      <c r="AD212" s="63">
        <f t="shared" si="32"/>
        <v>1.4840000000000004</v>
      </c>
      <c r="AE212" s="63">
        <f t="shared" si="33"/>
        <v>0.69799999999999895</v>
      </c>
      <c r="AF212" s="63">
        <f t="shared" si="33"/>
        <v>0.63800000000000101</v>
      </c>
    </row>
    <row r="213" spans="1:32" hidden="1" x14ac:dyDescent="0.2">
      <c r="A213" s="28">
        <v>682</v>
      </c>
      <c r="B213" s="28" t="s">
        <v>225</v>
      </c>
      <c r="C213" s="38">
        <v>977</v>
      </c>
      <c r="D213" s="38">
        <v>977</v>
      </c>
      <c r="E213" s="38">
        <v>977</v>
      </c>
      <c r="F213" s="38">
        <v>977</v>
      </c>
      <c r="G213" s="38">
        <v>977</v>
      </c>
      <c r="H213" s="38">
        <v>214969</v>
      </c>
      <c r="I213" s="54">
        <f t="shared" si="34"/>
        <v>4.5448413492177944E-3</v>
      </c>
      <c r="J213" s="54">
        <f t="shared" si="34"/>
        <v>4.5448413492177944E-3</v>
      </c>
      <c r="K213" s="54">
        <f t="shared" si="34"/>
        <v>4.5448413492177944E-3</v>
      </c>
      <c r="L213" s="54">
        <f t="shared" si="34"/>
        <v>4.5448413492177944E-3</v>
      </c>
      <c r="M213" s="54">
        <f t="shared" si="34"/>
        <v>4.5448413492177944E-3</v>
      </c>
      <c r="N213" s="51">
        <f>FORESTS2[[#This Row],[Area_2020]]-FORESTS2[[#This Row],[Area_1990]]</f>
        <v>0</v>
      </c>
      <c r="O213" s="51">
        <f>ABS(FORESTS2[[#This Row],[Area_Delta]])</f>
        <v>0</v>
      </c>
      <c r="P213" s="54">
        <f>FORESTS2[[#This Row],[Area_2020_%]]-FORESTS2[[#This Row],[Area_1990_%]]</f>
        <v>0</v>
      </c>
      <c r="Q213" s="54" t="b">
        <f t="shared" si="27"/>
        <v>0</v>
      </c>
      <c r="R213" s="51">
        <f t="shared" si="28"/>
        <v>0</v>
      </c>
      <c r="S213" s="51">
        <f t="shared" si="29"/>
        <v>0</v>
      </c>
      <c r="T213" s="48">
        <f t="shared" si="30"/>
        <v>0</v>
      </c>
      <c r="U213" s="43">
        <v>0.45</v>
      </c>
      <c r="V213" s="30" t="s">
        <v>247</v>
      </c>
      <c r="W213" s="38" t="s">
        <v>247</v>
      </c>
      <c r="X213" s="38">
        <f t="shared" si="31"/>
        <v>0</v>
      </c>
      <c r="Y213" s="38">
        <f t="shared" si="31"/>
        <v>0</v>
      </c>
      <c r="Z213" s="38">
        <f t="shared" si="31"/>
        <v>0</v>
      </c>
      <c r="AA213" s="38">
        <f t="shared" si="26"/>
        <v>0</v>
      </c>
      <c r="AB213" s="38">
        <f>FORESTS2[[#This Row],[Column7]]+FORESTS2[[#This Row],[Column8]]</f>
        <v>0</v>
      </c>
      <c r="AC213" s="63">
        <f t="shared" si="32"/>
        <v>0</v>
      </c>
      <c r="AD213" s="63">
        <f t="shared" si="32"/>
        <v>0</v>
      </c>
      <c r="AE213" s="63">
        <f t="shared" si="33"/>
        <v>0</v>
      </c>
      <c r="AF213" s="63">
        <f t="shared" si="33"/>
        <v>0</v>
      </c>
    </row>
    <row r="214" spans="1:32" hidden="1" x14ac:dyDescent="0.2">
      <c r="A214" s="28">
        <v>218</v>
      </c>
      <c r="B214" s="28" t="s">
        <v>47</v>
      </c>
      <c r="C214" s="46">
        <v>14632.21</v>
      </c>
      <c r="D214" s="46">
        <v>13730.5</v>
      </c>
      <c r="E214" s="46">
        <v>13028.19</v>
      </c>
      <c r="F214" s="46">
        <v>12819.18</v>
      </c>
      <c r="G214" s="46">
        <v>12497.83</v>
      </c>
      <c r="H214" s="46">
        <v>24836</v>
      </c>
      <c r="I214" s="54">
        <f t="shared" si="34"/>
        <v>0.58915324528909641</v>
      </c>
      <c r="J214" s="54">
        <f t="shared" si="34"/>
        <v>0.55284667418263811</v>
      </c>
      <c r="K214" s="54">
        <f t="shared" si="34"/>
        <v>0.52456877113866973</v>
      </c>
      <c r="L214" s="54">
        <f t="shared" si="34"/>
        <v>0.51615316476083106</v>
      </c>
      <c r="M214" s="54">
        <f t="shared" si="34"/>
        <v>0.50321428571428573</v>
      </c>
      <c r="N214" s="51">
        <f>FORESTS2[[#This Row],[Area_2020]]-FORESTS2[[#This Row],[Area_1990]]</f>
        <v>-2134.3799999999992</v>
      </c>
      <c r="O214" s="51">
        <f>ABS(FORESTS2[[#This Row],[Area_Delta]])</f>
        <v>2134.3799999999992</v>
      </c>
      <c r="P214" s="54">
        <f>FORESTS2[[#This Row],[Area_2020_%]]-FORESTS2[[#This Row],[Area_1990_%]]</f>
        <v>-8.593895957481068E-2</v>
      </c>
      <c r="Q214" s="54" t="b">
        <f t="shared" si="27"/>
        <v>0</v>
      </c>
      <c r="R214" s="51">
        <f t="shared" si="28"/>
        <v>0</v>
      </c>
      <c r="S214" s="51">
        <f t="shared" si="29"/>
        <v>2134.3799999999992</v>
      </c>
      <c r="T214" s="62">
        <f t="shared" si="30"/>
        <v>4</v>
      </c>
      <c r="U214" s="43">
        <v>50.32</v>
      </c>
      <c r="V214" s="30">
        <v>87.22</v>
      </c>
      <c r="W214" s="38" t="s">
        <v>247</v>
      </c>
      <c r="X214" s="38">
        <f t="shared" si="31"/>
        <v>-901.70999999999913</v>
      </c>
      <c r="Y214" s="38">
        <f t="shared" si="31"/>
        <v>-702.30999999999949</v>
      </c>
      <c r="Z214" s="38">
        <f t="shared" si="31"/>
        <v>-209.01000000000022</v>
      </c>
      <c r="AA214" s="38">
        <f t="shared" si="26"/>
        <v>-321.35000000000036</v>
      </c>
      <c r="AB214" s="38">
        <f>FORESTS2[[#This Row],[Column7]]+FORESTS2[[#This Row],[Column8]]</f>
        <v>-530.36000000000058</v>
      </c>
      <c r="AC214" s="63">
        <f t="shared" si="32"/>
        <v>-90.170999999999907</v>
      </c>
      <c r="AD214" s="63">
        <f t="shared" si="32"/>
        <v>-70.230999999999952</v>
      </c>
      <c r="AE214" s="63">
        <f t="shared" si="33"/>
        <v>-41.802000000000042</v>
      </c>
      <c r="AF214" s="63">
        <f t="shared" si="33"/>
        <v>-64.270000000000067</v>
      </c>
    </row>
    <row r="215" spans="1:32" hidden="1" x14ac:dyDescent="0.2">
      <c r="A215" s="28">
        <v>414</v>
      </c>
      <c r="B215" s="28" t="s">
        <v>223</v>
      </c>
      <c r="C215" s="30">
        <v>3.45</v>
      </c>
      <c r="D215" s="30">
        <v>4.8499999999999996</v>
      </c>
      <c r="E215" s="30">
        <v>6.25</v>
      </c>
      <c r="F215" s="30">
        <v>6.25</v>
      </c>
      <c r="G215" s="30">
        <v>6.25</v>
      </c>
      <c r="H215" s="30">
        <v>1782</v>
      </c>
      <c r="I215" s="54">
        <f t="shared" si="34"/>
        <v>1.9360269360269361E-3</v>
      </c>
      <c r="J215" s="54">
        <f t="shared" si="34"/>
        <v>2.7216610549943882E-3</v>
      </c>
      <c r="K215" s="54">
        <f t="shared" si="34"/>
        <v>3.5072951739618407E-3</v>
      </c>
      <c r="L215" s="54">
        <f t="shared" si="34"/>
        <v>3.5072951739618407E-3</v>
      </c>
      <c r="M215" s="54">
        <f t="shared" si="34"/>
        <v>3.5072951739618407E-3</v>
      </c>
      <c r="N215" s="51">
        <f>FORESTS2[[#This Row],[Area_2020]]-FORESTS2[[#This Row],[Area_1990]]</f>
        <v>2.8</v>
      </c>
      <c r="O215" s="51">
        <f>ABS(FORESTS2[[#This Row],[Area_Delta]])</f>
        <v>2.8</v>
      </c>
      <c r="P215" s="54">
        <f>FORESTS2[[#This Row],[Area_2020_%]]-FORESTS2[[#This Row],[Area_1990_%]]</f>
        <v>1.5712682379349046E-3</v>
      </c>
      <c r="Q215" s="54" t="b">
        <f t="shared" si="27"/>
        <v>1</v>
      </c>
      <c r="R215" s="51">
        <f t="shared" si="28"/>
        <v>2.8</v>
      </c>
      <c r="S215" s="51">
        <f t="shared" si="29"/>
        <v>0</v>
      </c>
      <c r="T215" s="48">
        <f t="shared" si="30"/>
        <v>0</v>
      </c>
      <c r="U215" s="48">
        <v>0.35</v>
      </c>
      <c r="V215" s="30">
        <v>0</v>
      </c>
      <c r="W215" s="30" t="s">
        <v>247</v>
      </c>
      <c r="X215" s="38">
        <f t="shared" si="31"/>
        <v>1.3999999999999995</v>
      </c>
      <c r="Y215" s="38">
        <f t="shared" si="31"/>
        <v>1.4000000000000004</v>
      </c>
      <c r="Z215" s="38">
        <f t="shared" si="31"/>
        <v>0</v>
      </c>
      <c r="AA215" s="38">
        <f t="shared" si="26"/>
        <v>0</v>
      </c>
      <c r="AB215" s="38">
        <f>FORESTS2[[#This Row],[Column7]]+FORESTS2[[#This Row],[Column8]]</f>
        <v>0</v>
      </c>
      <c r="AC215" s="63">
        <f t="shared" si="32"/>
        <v>0.13999999999999996</v>
      </c>
      <c r="AD215" s="63">
        <f t="shared" si="32"/>
        <v>0.14000000000000004</v>
      </c>
      <c r="AE215" s="63">
        <f t="shared" si="33"/>
        <v>0</v>
      </c>
      <c r="AF215" s="63">
        <f t="shared" si="33"/>
        <v>0</v>
      </c>
    </row>
    <row r="216" spans="1:32" hidden="1" x14ac:dyDescent="0.2">
      <c r="A216" s="28">
        <v>478</v>
      </c>
      <c r="B216" s="28" t="s">
        <v>104</v>
      </c>
      <c r="C216" s="46">
        <v>476.04</v>
      </c>
      <c r="D216" s="46">
        <v>421.64</v>
      </c>
      <c r="E216" s="46">
        <v>367.24</v>
      </c>
      <c r="F216" s="46">
        <v>340.04</v>
      </c>
      <c r="G216" s="46">
        <v>312.8</v>
      </c>
      <c r="H216" s="46">
        <v>103070</v>
      </c>
      <c r="I216" s="54">
        <f t="shared" si="34"/>
        <v>4.6186087125254681E-3</v>
      </c>
      <c r="J216" s="54">
        <f t="shared" si="34"/>
        <v>4.0908120694673521E-3</v>
      </c>
      <c r="K216" s="54">
        <f t="shared" si="34"/>
        <v>3.5630154264092366E-3</v>
      </c>
      <c r="L216" s="54">
        <f t="shared" si="34"/>
        <v>3.2991171048801786E-3</v>
      </c>
      <c r="M216" s="54">
        <f t="shared" si="34"/>
        <v>3.0348306975841663E-3</v>
      </c>
      <c r="N216" s="51">
        <f>FORESTS2[[#This Row],[Area_2020]]-FORESTS2[[#This Row],[Area_1990]]</f>
        <v>-163.24</v>
      </c>
      <c r="O216" s="51">
        <f>ABS(FORESTS2[[#This Row],[Area_Delta]])</f>
        <v>163.24</v>
      </c>
      <c r="P216" s="54">
        <f>FORESTS2[[#This Row],[Area_2020_%]]-FORESTS2[[#This Row],[Area_1990_%]]</f>
        <v>-1.5837780149413018E-3</v>
      </c>
      <c r="Q216" s="54" t="b">
        <f t="shared" si="27"/>
        <v>0</v>
      </c>
      <c r="R216" s="51">
        <f t="shared" si="28"/>
        <v>0</v>
      </c>
      <c r="S216" s="51">
        <f t="shared" si="29"/>
        <v>163.24</v>
      </c>
      <c r="T216" s="48">
        <f t="shared" si="30"/>
        <v>4</v>
      </c>
      <c r="U216" s="43">
        <v>0.3</v>
      </c>
      <c r="V216" s="30">
        <v>45.38</v>
      </c>
      <c r="W216" s="38">
        <v>0.47</v>
      </c>
      <c r="X216" s="38">
        <f t="shared" si="31"/>
        <v>-54.400000000000034</v>
      </c>
      <c r="Y216" s="38">
        <f t="shared" si="31"/>
        <v>-54.399999999999977</v>
      </c>
      <c r="Z216" s="38">
        <f t="shared" si="31"/>
        <v>-27.199999999999989</v>
      </c>
      <c r="AA216" s="38">
        <f t="shared" si="26"/>
        <v>-27.240000000000009</v>
      </c>
      <c r="AB216" s="38">
        <f>FORESTS2[[#This Row],[Column7]]+FORESTS2[[#This Row],[Column8]]</f>
        <v>-54.44</v>
      </c>
      <c r="AC216" s="63">
        <f t="shared" si="32"/>
        <v>-5.4400000000000031</v>
      </c>
      <c r="AD216" s="63">
        <f t="shared" si="32"/>
        <v>-5.4399999999999977</v>
      </c>
      <c r="AE216" s="63">
        <f t="shared" si="33"/>
        <v>-5.4399999999999977</v>
      </c>
      <c r="AF216" s="63">
        <f t="shared" si="33"/>
        <v>-5.4480000000000022</v>
      </c>
    </row>
    <row r="217" spans="1:32" hidden="1" x14ac:dyDescent="0.2">
      <c r="A217" s="28">
        <v>262</v>
      </c>
      <c r="B217" s="28" t="s">
        <v>44</v>
      </c>
      <c r="C217" s="30">
        <v>5.6</v>
      </c>
      <c r="D217" s="30">
        <v>5.6</v>
      </c>
      <c r="E217" s="30">
        <v>5.6</v>
      </c>
      <c r="F217" s="30">
        <v>5.6</v>
      </c>
      <c r="G217" s="30">
        <v>5.8</v>
      </c>
      <c r="H217" s="30">
        <v>2318</v>
      </c>
      <c r="I217" s="54">
        <f t="shared" si="34"/>
        <v>2.4158757549611731E-3</v>
      </c>
      <c r="J217" s="54">
        <f t="shared" si="34"/>
        <v>2.4158757549611731E-3</v>
      </c>
      <c r="K217" s="54">
        <f t="shared" si="34"/>
        <v>2.4158757549611731E-3</v>
      </c>
      <c r="L217" s="54">
        <f t="shared" si="34"/>
        <v>2.4158757549611731E-3</v>
      </c>
      <c r="M217" s="54">
        <f t="shared" si="34"/>
        <v>2.5021570319240724E-3</v>
      </c>
      <c r="N217" s="51">
        <f>FORESTS2[[#This Row],[Area_2020]]-FORESTS2[[#This Row],[Area_1990]]</f>
        <v>0.20000000000000018</v>
      </c>
      <c r="O217" s="51">
        <f>ABS(FORESTS2[[#This Row],[Area_Delta]])</f>
        <v>0.20000000000000018</v>
      </c>
      <c r="P217" s="54">
        <f>FORESTS2[[#This Row],[Area_2020_%]]-FORESTS2[[#This Row],[Area_1990_%]]</f>
        <v>8.6281276962899348E-5</v>
      </c>
      <c r="Q217" s="54" t="b">
        <f t="shared" si="27"/>
        <v>1</v>
      </c>
      <c r="R217" s="51">
        <f t="shared" si="28"/>
        <v>0.20000000000000018</v>
      </c>
      <c r="S217" s="51">
        <f t="shared" si="29"/>
        <v>0</v>
      </c>
      <c r="T217" s="48">
        <f t="shared" si="30"/>
        <v>0</v>
      </c>
      <c r="U217" s="48">
        <v>0.25</v>
      </c>
      <c r="V217" s="30">
        <v>0.16</v>
      </c>
      <c r="W217" s="30" t="s">
        <v>247</v>
      </c>
      <c r="X217" s="38">
        <f t="shared" si="31"/>
        <v>0</v>
      </c>
      <c r="Y217" s="38">
        <f t="shared" si="31"/>
        <v>0</v>
      </c>
      <c r="Z217" s="38">
        <f t="shared" si="31"/>
        <v>0</v>
      </c>
      <c r="AA217" s="38">
        <f t="shared" si="26"/>
        <v>0.20000000000000018</v>
      </c>
      <c r="AB217" s="38">
        <f>FORESTS2[[#This Row],[Column7]]+FORESTS2[[#This Row],[Column8]]</f>
        <v>0.20000000000000018</v>
      </c>
      <c r="AC217" s="63">
        <f t="shared" si="32"/>
        <v>0</v>
      </c>
      <c r="AD217" s="63">
        <f t="shared" si="32"/>
        <v>0</v>
      </c>
      <c r="AE217" s="63">
        <f t="shared" si="33"/>
        <v>0</v>
      </c>
      <c r="AF217" s="63">
        <f t="shared" si="33"/>
        <v>4.0000000000000036E-2</v>
      </c>
    </row>
    <row r="218" spans="1:32" hidden="1" x14ac:dyDescent="0.2">
      <c r="A218" s="28">
        <v>531</v>
      </c>
      <c r="B218" s="28" t="s">
        <v>209</v>
      </c>
      <c r="C218" s="30">
        <v>7.0000000000000007E-2</v>
      </c>
      <c r="D218" s="30">
        <v>7.0000000000000007E-2</v>
      </c>
      <c r="E218" s="30">
        <v>7.0000000000000007E-2</v>
      </c>
      <c r="F218" s="30">
        <v>7.0000000000000007E-2</v>
      </c>
      <c r="G218" s="30">
        <v>7.0000000000000007E-2</v>
      </c>
      <c r="H218" s="30">
        <v>44.4</v>
      </c>
      <c r="I218" s="54">
        <f t="shared" si="34"/>
        <v>1.5765765765765767E-3</v>
      </c>
      <c r="J218" s="54">
        <f t="shared" si="34"/>
        <v>1.5765765765765767E-3</v>
      </c>
      <c r="K218" s="54">
        <f t="shared" si="34"/>
        <v>1.5765765765765767E-3</v>
      </c>
      <c r="L218" s="54">
        <f t="shared" si="34"/>
        <v>1.5765765765765767E-3</v>
      </c>
      <c r="M218" s="54">
        <f t="shared" si="34"/>
        <v>1.5765765765765767E-3</v>
      </c>
      <c r="N218" s="51">
        <f>FORESTS2[[#This Row],[Area_2020]]-FORESTS2[[#This Row],[Area_1990]]</f>
        <v>0</v>
      </c>
      <c r="O218" s="51">
        <f>ABS(FORESTS2[[#This Row],[Area_Delta]])</f>
        <v>0</v>
      </c>
      <c r="P218" s="54">
        <f>FORESTS2[[#This Row],[Area_2020_%]]-FORESTS2[[#This Row],[Area_1990_%]]</f>
        <v>0</v>
      </c>
      <c r="Q218" s="54" t="b">
        <f t="shared" si="27"/>
        <v>0</v>
      </c>
      <c r="R218" s="51">
        <f t="shared" si="28"/>
        <v>0</v>
      </c>
      <c r="S218" s="51">
        <f t="shared" si="29"/>
        <v>0</v>
      </c>
      <c r="T218" s="48">
        <f t="shared" si="30"/>
        <v>0</v>
      </c>
      <c r="U218" s="48">
        <v>0.16</v>
      </c>
      <c r="V218" s="30" t="s">
        <v>247</v>
      </c>
      <c r="W218" s="30" t="s">
        <v>247</v>
      </c>
      <c r="X218" s="38">
        <f t="shared" si="31"/>
        <v>0</v>
      </c>
      <c r="Y218" s="38">
        <f t="shared" si="31"/>
        <v>0</v>
      </c>
      <c r="Z218" s="38">
        <f t="shared" si="31"/>
        <v>0</v>
      </c>
      <c r="AA218" s="38">
        <f t="shared" si="26"/>
        <v>0</v>
      </c>
      <c r="AB218" s="38">
        <f>FORESTS2[[#This Row],[Column7]]+FORESTS2[[#This Row],[Column8]]</f>
        <v>0</v>
      </c>
      <c r="AC218" s="63">
        <f t="shared" si="32"/>
        <v>0</v>
      </c>
      <c r="AD218" s="63">
        <f t="shared" si="32"/>
        <v>0</v>
      </c>
      <c r="AE218" s="63">
        <f t="shared" si="33"/>
        <v>0</v>
      </c>
      <c r="AF218" s="63">
        <f t="shared" si="33"/>
        <v>0</v>
      </c>
    </row>
    <row r="219" spans="1:32" hidden="1" x14ac:dyDescent="0.2">
      <c r="A219" s="28">
        <v>894</v>
      </c>
      <c r="B219" s="28" t="s">
        <v>184</v>
      </c>
      <c r="C219" s="46">
        <v>47412</v>
      </c>
      <c r="D219" s="46">
        <v>47054</v>
      </c>
      <c r="E219" s="46">
        <v>46696</v>
      </c>
      <c r="F219" s="46">
        <v>45755.1</v>
      </c>
      <c r="G219" s="46">
        <v>44814.03</v>
      </c>
      <c r="H219" s="46">
        <v>74339</v>
      </c>
      <c r="I219" s="54">
        <f t="shared" si="34"/>
        <v>0.63778097633812669</v>
      </c>
      <c r="J219" s="54">
        <f t="shared" si="34"/>
        <v>0.63296519996233469</v>
      </c>
      <c r="K219" s="54">
        <f t="shared" si="34"/>
        <v>0.62814942358654269</v>
      </c>
      <c r="L219" s="54">
        <f t="shared" si="34"/>
        <v>0.61549254092737327</v>
      </c>
      <c r="M219" s="54">
        <f t="shared" si="34"/>
        <v>0.60283337144701976</v>
      </c>
      <c r="N219" s="51">
        <f>FORESTS2[[#This Row],[Area_2020]]-FORESTS2[[#This Row],[Area_1990]]</f>
        <v>-2597.9700000000012</v>
      </c>
      <c r="O219" s="51">
        <f>ABS(FORESTS2[[#This Row],[Area_Delta]])</f>
        <v>2597.9700000000012</v>
      </c>
      <c r="P219" s="54">
        <f>FORESTS2[[#This Row],[Area_2020_%]]-FORESTS2[[#This Row],[Area_1990_%]]</f>
        <v>-3.4947604891106931E-2</v>
      </c>
      <c r="Q219" s="54" t="b">
        <f t="shared" si="27"/>
        <v>0</v>
      </c>
      <c r="R219" s="51">
        <f t="shared" si="28"/>
        <v>0</v>
      </c>
      <c r="S219" s="51">
        <f t="shared" si="29"/>
        <v>2597.9700000000012</v>
      </c>
      <c r="T219" s="62">
        <f t="shared" si="30"/>
        <v>4</v>
      </c>
      <c r="U219" s="43">
        <v>60.28</v>
      </c>
      <c r="V219" s="30">
        <v>189.71</v>
      </c>
      <c r="W219" s="38">
        <v>15077</v>
      </c>
      <c r="X219" s="38">
        <f t="shared" si="31"/>
        <v>-358</v>
      </c>
      <c r="Y219" s="38">
        <f t="shared" si="31"/>
        <v>-358</v>
      </c>
      <c r="Z219" s="38">
        <f t="shared" si="31"/>
        <v>-940.90000000000146</v>
      </c>
      <c r="AA219" s="38">
        <f t="shared" si="26"/>
        <v>-941.06999999999971</v>
      </c>
      <c r="AB219" s="38">
        <f>FORESTS2[[#This Row],[Column7]]+FORESTS2[[#This Row],[Column8]]</f>
        <v>-1881.9700000000012</v>
      </c>
      <c r="AC219" s="63">
        <f t="shared" si="32"/>
        <v>-35.799999999999997</v>
      </c>
      <c r="AD219" s="63">
        <f t="shared" si="32"/>
        <v>-35.799999999999997</v>
      </c>
      <c r="AE219" s="63">
        <f t="shared" si="33"/>
        <v>-188.18000000000029</v>
      </c>
      <c r="AF219" s="63">
        <f t="shared" si="33"/>
        <v>-188.21399999999994</v>
      </c>
    </row>
    <row r="220" spans="1:32" hidden="1" x14ac:dyDescent="0.2">
      <c r="A220" s="28">
        <v>434</v>
      </c>
      <c r="B220" s="28" t="s">
        <v>197</v>
      </c>
      <c r="C220" s="38">
        <v>217</v>
      </c>
      <c r="D220" s="38">
        <v>217</v>
      </c>
      <c r="E220" s="38">
        <v>217</v>
      </c>
      <c r="F220" s="38">
        <v>217</v>
      </c>
      <c r="G220" s="38">
        <v>217</v>
      </c>
      <c r="H220" s="38">
        <v>175954</v>
      </c>
      <c r="I220" s="54">
        <f t="shared" si="34"/>
        <v>1.2332768791843323E-3</v>
      </c>
      <c r="J220" s="54">
        <f t="shared" si="34"/>
        <v>1.2332768791843323E-3</v>
      </c>
      <c r="K220" s="54">
        <f t="shared" si="34"/>
        <v>1.2332768791843323E-3</v>
      </c>
      <c r="L220" s="54">
        <f t="shared" si="34"/>
        <v>1.2332768791843323E-3</v>
      </c>
      <c r="M220" s="54">
        <f t="shared" si="34"/>
        <v>1.2332768791843323E-3</v>
      </c>
      <c r="N220" s="51">
        <f>FORESTS2[[#This Row],[Area_2020]]-FORESTS2[[#This Row],[Area_1990]]</f>
        <v>0</v>
      </c>
      <c r="O220" s="51">
        <f>ABS(FORESTS2[[#This Row],[Area_Delta]])</f>
        <v>0</v>
      </c>
      <c r="P220" s="54">
        <f>FORESTS2[[#This Row],[Area_2020_%]]-FORESTS2[[#This Row],[Area_1990_%]]</f>
        <v>0</v>
      </c>
      <c r="Q220" s="54" t="b">
        <f t="shared" si="27"/>
        <v>0</v>
      </c>
      <c r="R220" s="51">
        <f t="shared" si="28"/>
        <v>0</v>
      </c>
      <c r="S220" s="51">
        <f t="shared" si="29"/>
        <v>0</v>
      </c>
      <c r="T220" s="48">
        <f t="shared" si="30"/>
        <v>0</v>
      </c>
      <c r="U220" s="43">
        <v>0.12</v>
      </c>
      <c r="V220" s="30" t="s">
        <v>247</v>
      </c>
      <c r="W220" s="38" t="s">
        <v>247</v>
      </c>
      <c r="X220" s="38">
        <f t="shared" si="31"/>
        <v>0</v>
      </c>
      <c r="Y220" s="38">
        <f t="shared" si="31"/>
        <v>0</v>
      </c>
      <c r="Z220" s="38">
        <f t="shared" si="31"/>
        <v>0</v>
      </c>
      <c r="AA220" s="38">
        <f t="shared" si="26"/>
        <v>0</v>
      </c>
      <c r="AB220" s="38">
        <f>FORESTS2[[#This Row],[Column7]]+FORESTS2[[#This Row],[Column8]]</f>
        <v>0</v>
      </c>
      <c r="AC220" s="63">
        <f t="shared" si="32"/>
        <v>0</v>
      </c>
      <c r="AD220" s="63">
        <f t="shared" si="32"/>
        <v>0</v>
      </c>
      <c r="AE220" s="63">
        <f t="shared" si="33"/>
        <v>0</v>
      </c>
      <c r="AF220" s="63">
        <f t="shared" si="33"/>
        <v>0</v>
      </c>
    </row>
    <row r="221" spans="1:32" hidden="1" x14ac:dyDescent="0.2">
      <c r="A221" s="28">
        <v>234</v>
      </c>
      <c r="B221" s="31" t="s">
        <v>230</v>
      </c>
      <c r="C221" s="30">
        <v>0.08</v>
      </c>
      <c r="D221" s="30">
        <v>0.08</v>
      </c>
      <c r="E221" s="30">
        <v>0.08</v>
      </c>
      <c r="F221" s="30">
        <v>0.08</v>
      </c>
      <c r="G221" s="30">
        <v>0.08</v>
      </c>
      <c r="H221" s="30">
        <v>140</v>
      </c>
      <c r="I221" s="54">
        <f t="shared" si="34"/>
        <v>5.7142857142857147E-4</v>
      </c>
      <c r="J221" s="54">
        <f t="shared" si="34"/>
        <v>5.7142857142857147E-4</v>
      </c>
      <c r="K221" s="54">
        <f t="shared" si="34"/>
        <v>5.7142857142857147E-4</v>
      </c>
      <c r="L221" s="54">
        <f t="shared" si="34"/>
        <v>5.7142857142857147E-4</v>
      </c>
      <c r="M221" s="54">
        <f t="shared" si="34"/>
        <v>5.7142857142857147E-4</v>
      </c>
      <c r="N221" s="51">
        <f>FORESTS2[[#This Row],[Area_2020]]-FORESTS2[[#This Row],[Area_1990]]</f>
        <v>0</v>
      </c>
      <c r="O221" s="51">
        <f>ABS(FORESTS2[[#This Row],[Area_Delta]])</f>
        <v>0</v>
      </c>
      <c r="P221" s="54">
        <f>FORESTS2[[#This Row],[Area_2020_%]]-FORESTS2[[#This Row],[Area_1990_%]]</f>
        <v>0</v>
      </c>
      <c r="Q221" s="54" t="b">
        <f t="shared" si="27"/>
        <v>0</v>
      </c>
      <c r="R221" s="51">
        <f t="shared" si="28"/>
        <v>0</v>
      </c>
      <c r="S221" s="51">
        <f t="shared" si="29"/>
        <v>0</v>
      </c>
      <c r="T221" s="48">
        <f t="shared" si="30"/>
        <v>0</v>
      </c>
      <c r="U221" s="48">
        <v>0.06</v>
      </c>
      <c r="V221" s="30">
        <v>0</v>
      </c>
      <c r="W221" s="30" t="s">
        <v>247</v>
      </c>
      <c r="X221" s="38">
        <f t="shared" si="31"/>
        <v>0</v>
      </c>
      <c r="Y221" s="38">
        <f t="shared" si="31"/>
        <v>0</v>
      </c>
      <c r="Z221" s="38">
        <f t="shared" si="31"/>
        <v>0</v>
      </c>
      <c r="AA221" s="38">
        <f t="shared" si="26"/>
        <v>0</v>
      </c>
      <c r="AB221" s="38">
        <f>FORESTS2[[#This Row],[Column7]]+FORESTS2[[#This Row],[Column8]]</f>
        <v>0</v>
      </c>
      <c r="AC221" s="63">
        <f t="shared" si="32"/>
        <v>0</v>
      </c>
      <c r="AD221" s="63">
        <f t="shared" si="32"/>
        <v>0</v>
      </c>
      <c r="AE221" s="63">
        <f t="shared" si="33"/>
        <v>0</v>
      </c>
      <c r="AF221" s="63">
        <f t="shared" si="33"/>
        <v>0</v>
      </c>
    </row>
    <row r="222" spans="1:32" hidden="1" x14ac:dyDescent="0.2">
      <c r="A222" s="28">
        <v>818</v>
      </c>
      <c r="B222" s="28" t="s">
        <v>48</v>
      </c>
      <c r="C222" s="38">
        <v>43.81</v>
      </c>
      <c r="D222" s="38">
        <v>59.21</v>
      </c>
      <c r="E222" s="38">
        <v>65.64</v>
      </c>
      <c r="F222" s="38">
        <v>48.42</v>
      </c>
      <c r="G222" s="38">
        <v>44.98</v>
      </c>
      <c r="H222" s="38">
        <v>99545</v>
      </c>
      <c r="I222" s="54">
        <f t="shared" si="34"/>
        <v>4.4010246622130694E-4</v>
      </c>
      <c r="J222" s="54">
        <f t="shared" si="34"/>
        <v>5.9480636897885379E-4</v>
      </c>
      <c r="K222" s="54">
        <f t="shared" si="34"/>
        <v>6.5940027123411523E-4</v>
      </c>
      <c r="L222" s="54">
        <f t="shared" si="34"/>
        <v>4.8641317996885833E-4</v>
      </c>
      <c r="M222" s="54">
        <f t="shared" si="34"/>
        <v>4.5185594454769199E-4</v>
      </c>
      <c r="N222" s="51">
        <f>FORESTS2[[#This Row],[Area_2020]]-FORESTS2[[#This Row],[Area_1990]]</f>
        <v>1.1699999999999946</v>
      </c>
      <c r="O222" s="51">
        <f>ABS(FORESTS2[[#This Row],[Area_Delta]])</f>
        <v>1.1699999999999946</v>
      </c>
      <c r="P222" s="54">
        <f>FORESTS2[[#This Row],[Area_2020_%]]-FORESTS2[[#This Row],[Area_1990_%]]</f>
        <v>1.1753478326385046E-5</v>
      </c>
      <c r="Q222" s="54" t="b">
        <f t="shared" si="27"/>
        <v>1</v>
      </c>
      <c r="R222" s="51">
        <f t="shared" si="28"/>
        <v>1.1699999999999946</v>
      </c>
      <c r="S222" s="51">
        <f t="shared" si="29"/>
        <v>0</v>
      </c>
      <c r="T222" s="48">
        <f t="shared" si="30"/>
        <v>2</v>
      </c>
      <c r="U222" s="43">
        <v>0.05</v>
      </c>
      <c r="V222" s="30" t="s">
        <v>247</v>
      </c>
      <c r="W222" s="38" t="s">
        <v>247</v>
      </c>
      <c r="X222" s="38">
        <f t="shared" si="31"/>
        <v>15.399999999999999</v>
      </c>
      <c r="Y222" s="38">
        <f t="shared" si="31"/>
        <v>6.43</v>
      </c>
      <c r="Z222" s="38">
        <f t="shared" si="31"/>
        <v>-17.22</v>
      </c>
      <c r="AA222" s="38">
        <f t="shared" si="26"/>
        <v>-3.4400000000000048</v>
      </c>
      <c r="AB222" s="38">
        <f>FORESTS2[[#This Row],[Column7]]+FORESTS2[[#This Row],[Column8]]</f>
        <v>-20.660000000000004</v>
      </c>
      <c r="AC222" s="63">
        <f t="shared" si="32"/>
        <v>1.5399999999999998</v>
      </c>
      <c r="AD222" s="63">
        <f t="shared" si="32"/>
        <v>0.64300000000000002</v>
      </c>
      <c r="AE222" s="63">
        <f t="shared" si="33"/>
        <v>-3.444</v>
      </c>
      <c r="AF222" s="63">
        <f t="shared" si="33"/>
        <v>-0.68800000000000094</v>
      </c>
    </row>
    <row r="223" spans="1:32" hidden="1" x14ac:dyDescent="0.2">
      <c r="A223" s="28">
        <v>604</v>
      </c>
      <c r="B223" s="28" t="s">
        <v>130</v>
      </c>
      <c r="C223" s="46">
        <v>76448.539999999994</v>
      </c>
      <c r="D223" s="46">
        <v>75297.83</v>
      </c>
      <c r="E223" s="46">
        <v>74049.8</v>
      </c>
      <c r="F223" s="46">
        <v>73194.53</v>
      </c>
      <c r="G223" s="46">
        <v>72330.37</v>
      </c>
      <c r="H223" s="46">
        <v>128000</v>
      </c>
      <c r="I223" s="54">
        <f t="shared" si="34"/>
        <v>0.59725421874999995</v>
      </c>
      <c r="J223" s="54">
        <f t="shared" si="34"/>
        <v>0.58826429687500004</v>
      </c>
      <c r="K223" s="54">
        <f t="shared" si="34"/>
        <v>0.57851406250000004</v>
      </c>
      <c r="L223" s="54">
        <f t="shared" si="34"/>
        <v>0.571832265625</v>
      </c>
      <c r="M223" s="54">
        <f t="shared" si="34"/>
        <v>0.56508101562500002</v>
      </c>
      <c r="N223" s="51">
        <f>FORESTS2[[#This Row],[Area_2020]]-FORESTS2[[#This Row],[Area_1990]]</f>
        <v>-4118.1699999999983</v>
      </c>
      <c r="O223" s="51">
        <f>ABS(FORESTS2[[#This Row],[Area_Delta]])</f>
        <v>4118.1699999999983</v>
      </c>
      <c r="P223" s="54">
        <f>FORESTS2[[#This Row],[Area_2020_%]]-FORESTS2[[#This Row],[Area_1990_%]]</f>
        <v>-3.2173203124999938E-2</v>
      </c>
      <c r="Q223" s="54" t="b">
        <f t="shared" si="27"/>
        <v>0</v>
      </c>
      <c r="R223" s="51">
        <f t="shared" si="28"/>
        <v>0</v>
      </c>
      <c r="S223" s="51">
        <f t="shared" si="29"/>
        <v>4118.1699999999983</v>
      </c>
      <c r="T223" s="62">
        <f t="shared" si="30"/>
        <v>4</v>
      </c>
      <c r="U223" s="43">
        <v>56.51</v>
      </c>
      <c r="V223" s="30">
        <v>179.09</v>
      </c>
      <c r="W223" s="38">
        <v>22.41</v>
      </c>
      <c r="X223" s="38">
        <f t="shared" si="31"/>
        <v>-1150.7099999999919</v>
      </c>
      <c r="Y223" s="38">
        <f t="shared" si="31"/>
        <v>-1248.0299999999988</v>
      </c>
      <c r="Z223" s="38">
        <f t="shared" si="31"/>
        <v>-855.27000000000407</v>
      </c>
      <c r="AA223" s="38">
        <f t="shared" si="26"/>
        <v>-864.16000000000349</v>
      </c>
      <c r="AB223" s="38">
        <f>FORESTS2[[#This Row],[Column7]]+FORESTS2[[#This Row],[Column8]]</f>
        <v>-1719.4300000000076</v>
      </c>
      <c r="AC223" s="63">
        <f t="shared" si="32"/>
        <v>-115.07099999999919</v>
      </c>
      <c r="AD223" s="63">
        <f t="shared" si="32"/>
        <v>-124.80299999999988</v>
      </c>
      <c r="AE223" s="63">
        <f t="shared" si="33"/>
        <v>-171.05400000000083</v>
      </c>
      <c r="AF223" s="63">
        <f t="shared" si="33"/>
        <v>-172.8320000000007</v>
      </c>
    </row>
    <row r="224" spans="1:32" hidden="1" x14ac:dyDescent="0.2">
      <c r="A224" s="28">
        <v>512</v>
      </c>
      <c r="B224" s="28" t="s">
        <v>124</v>
      </c>
      <c r="C224" s="38">
        <v>3</v>
      </c>
      <c r="D224" s="38">
        <v>3</v>
      </c>
      <c r="E224" s="38">
        <v>3</v>
      </c>
      <c r="F224" s="38">
        <v>3</v>
      </c>
      <c r="G224" s="38">
        <v>2.5</v>
      </c>
      <c r="H224" s="38">
        <v>30950</v>
      </c>
      <c r="I224" s="54">
        <f t="shared" si="34"/>
        <v>9.6930533117932147E-5</v>
      </c>
      <c r="J224" s="54">
        <f t="shared" si="34"/>
        <v>9.6930533117932147E-5</v>
      </c>
      <c r="K224" s="54">
        <f t="shared" si="34"/>
        <v>9.6930533117932147E-5</v>
      </c>
      <c r="L224" s="54">
        <f t="shared" si="34"/>
        <v>9.6930533117932147E-5</v>
      </c>
      <c r="M224" s="54">
        <f t="shared" si="34"/>
        <v>8.0775444264943462E-5</v>
      </c>
      <c r="N224" s="51">
        <f>FORESTS2[[#This Row],[Area_2020]]-FORESTS2[[#This Row],[Area_1990]]</f>
        <v>-0.5</v>
      </c>
      <c r="O224" s="51">
        <f>ABS(FORESTS2[[#This Row],[Area_Delta]])</f>
        <v>0.5</v>
      </c>
      <c r="P224" s="54">
        <f>FORESTS2[[#This Row],[Area_2020_%]]-FORESTS2[[#This Row],[Area_1990_%]]</f>
        <v>-1.6155088852988684E-5</v>
      </c>
      <c r="Q224" s="54" t="b">
        <f t="shared" si="27"/>
        <v>0</v>
      </c>
      <c r="R224" s="51">
        <f t="shared" si="28"/>
        <v>0</v>
      </c>
      <c r="S224" s="51">
        <f t="shared" si="29"/>
        <v>0.5</v>
      </c>
      <c r="T224" s="48">
        <f t="shared" si="30"/>
        <v>1</v>
      </c>
      <c r="U224" s="43">
        <v>0.01</v>
      </c>
      <c r="V224" s="30" t="s">
        <v>247</v>
      </c>
      <c r="W224" s="38">
        <v>0</v>
      </c>
      <c r="X224" s="38">
        <f t="shared" si="31"/>
        <v>0</v>
      </c>
      <c r="Y224" s="38">
        <f t="shared" si="31"/>
        <v>0</v>
      </c>
      <c r="Z224" s="38">
        <f t="shared" si="31"/>
        <v>0</v>
      </c>
      <c r="AA224" s="38">
        <f t="shared" si="26"/>
        <v>-0.5</v>
      </c>
      <c r="AB224" s="38">
        <f>FORESTS2[[#This Row],[Column7]]+FORESTS2[[#This Row],[Column8]]</f>
        <v>-0.5</v>
      </c>
      <c r="AC224" s="63">
        <f t="shared" si="32"/>
        <v>0</v>
      </c>
      <c r="AD224" s="63">
        <f t="shared" si="32"/>
        <v>0</v>
      </c>
      <c r="AE224" s="63">
        <f t="shared" si="33"/>
        <v>0</v>
      </c>
      <c r="AF224" s="63">
        <f t="shared" si="33"/>
        <v>-0.1</v>
      </c>
    </row>
    <row r="225" spans="1:32" hidden="1" x14ac:dyDescent="0.2">
      <c r="A225" s="28">
        <v>304</v>
      </c>
      <c r="B225" s="28" t="s">
        <v>64</v>
      </c>
      <c r="C225" s="38">
        <v>0.22</v>
      </c>
      <c r="D225" s="38">
        <v>0.22</v>
      </c>
      <c r="E225" s="38">
        <v>0.22</v>
      </c>
      <c r="F225" s="38">
        <v>0.22</v>
      </c>
      <c r="G225" s="38">
        <v>0.22</v>
      </c>
      <c r="H225" s="38">
        <v>41045</v>
      </c>
      <c r="I225" s="54">
        <f t="shared" si="34"/>
        <v>5.3599707637958335E-6</v>
      </c>
      <c r="J225" s="54">
        <f t="shared" si="34"/>
        <v>5.3599707637958335E-6</v>
      </c>
      <c r="K225" s="54">
        <f t="shared" si="34"/>
        <v>5.3599707637958335E-6</v>
      </c>
      <c r="L225" s="54">
        <f t="shared" si="34"/>
        <v>5.3599707637958335E-6</v>
      </c>
      <c r="M225" s="54">
        <f t="shared" si="34"/>
        <v>5.3599707637958335E-6</v>
      </c>
      <c r="N225" s="51">
        <f>FORESTS2[[#This Row],[Area_2020]]-FORESTS2[[#This Row],[Area_1990]]</f>
        <v>0</v>
      </c>
      <c r="O225" s="51">
        <f>ABS(FORESTS2[[#This Row],[Area_Delta]])</f>
        <v>0</v>
      </c>
      <c r="P225" s="54">
        <f>FORESTS2[[#This Row],[Area_2020_%]]-FORESTS2[[#This Row],[Area_1990_%]]</f>
        <v>0</v>
      </c>
      <c r="Q225" s="54" t="b">
        <f t="shared" si="27"/>
        <v>0</v>
      </c>
      <c r="R225" s="51">
        <f t="shared" si="28"/>
        <v>0</v>
      </c>
      <c r="S225" s="51">
        <f t="shared" si="29"/>
        <v>0</v>
      </c>
      <c r="T225" s="48">
        <f t="shared" si="30"/>
        <v>0</v>
      </c>
      <c r="U225" s="43">
        <v>0</v>
      </c>
      <c r="V225" s="30">
        <v>0</v>
      </c>
      <c r="W225" s="38">
        <v>0</v>
      </c>
      <c r="X225" s="38">
        <f t="shared" si="31"/>
        <v>0</v>
      </c>
      <c r="Y225" s="38">
        <f t="shared" si="31"/>
        <v>0</v>
      </c>
      <c r="Z225" s="38">
        <f t="shared" si="31"/>
        <v>0</v>
      </c>
      <c r="AA225" s="38">
        <f t="shared" si="26"/>
        <v>0</v>
      </c>
      <c r="AB225" s="38">
        <f>FORESTS2[[#This Row],[Column7]]+FORESTS2[[#This Row],[Column8]]</f>
        <v>0</v>
      </c>
      <c r="AC225" s="63">
        <f t="shared" si="32"/>
        <v>0</v>
      </c>
      <c r="AD225" s="63">
        <f t="shared" si="32"/>
        <v>0</v>
      </c>
      <c r="AE225" s="63">
        <f t="shared" si="33"/>
        <v>0</v>
      </c>
      <c r="AF225" s="63">
        <f t="shared" si="33"/>
        <v>0</v>
      </c>
    </row>
    <row r="226" spans="1:32" hidden="1" x14ac:dyDescent="0.2">
      <c r="A226" s="28">
        <v>744</v>
      </c>
      <c r="B226" s="28" t="s">
        <v>159</v>
      </c>
      <c r="C226" s="38">
        <v>0</v>
      </c>
      <c r="D226" s="38">
        <v>0</v>
      </c>
      <c r="E226" s="38">
        <v>0</v>
      </c>
      <c r="F226" s="38">
        <v>0</v>
      </c>
      <c r="G226" s="38">
        <v>0</v>
      </c>
      <c r="H226" s="38">
        <v>6100</v>
      </c>
      <c r="I226" s="54">
        <f t="shared" si="34"/>
        <v>0</v>
      </c>
      <c r="J226" s="54">
        <f t="shared" si="34"/>
        <v>0</v>
      </c>
      <c r="K226" s="54">
        <f t="shared" si="34"/>
        <v>0</v>
      </c>
      <c r="L226" s="54">
        <f t="shared" si="34"/>
        <v>0</v>
      </c>
      <c r="M226" s="54">
        <f t="shared" si="34"/>
        <v>0</v>
      </c>
      <c r="N226" s="51">
        <f>FORESTS2[[#This Row],[Area_2020]]-FORESTS2[[#This Row],[Area_1990]]</f>
        <v>0</v>
      </c>
      <c r="O226" s="51">
        <f>ABS(FORESTS2[[#This Row],[Area_Delta]])</f>
        <v>0</v>
      </c>
      <c r="P226" s="54">
        <f>FORESTS2[[#This Row],[Area_2020_%]]-FORESTS2[[#This Row],[Area_1990_%]]</f>
        <v>0</v>
      </c>
      <c r="Q226" s="54" t="b">
        <f t="shared" si="27"/>
        <v>0</v>
      </c>
      <c r="R226" s="51">
        <f t="shared" si="28"/>
        <v>0</v>
      </c>
      <c r="S226" s="51">
        <f t="shared" si="29"/>
        <v>0</v>
      </c>
      <c r="T226" s="48">
        <f t="shared" si="30"/>
        <v>0</v>
      </c>
      <c r="U226" s="43">
        <v>0</v>
      </c>
      <c r="V226" s="30">
        <v>0</v>
      </c>
      <c r="W226" s="38">
        <v>0</v>
      </c>
      <c r="X226" s="38">
        <f t="shared" si="31"/>
        <v>0</v>
      </c>
      <c r="Y226" s="38">
        <f t="shared" si="31"/>
        <v>0</v>
      </c>
      <c r="Z226" s="38">
        <f t="shared" si="31"/>
        <v>0</v>
      </c>
      <c r="AA226" s="38">
        <f t="shared" si="26"/>
        <v>0</v>
      </c>
      <c r="AB226" s="38">
        <f>FORESTS2[[#This Row],[Column7]]+FORESTS2[[#This Row],[Column8]]</f>
        <v>0</v>
      </c>
      <c r="AC226" s="63">
        <f t="shared" si="32"/>
        <v>0</v>
      </c>
      <c r="AD226" s="63">
        <f t="shared" si="32"/>
        <v>0</v>
      </c>
      <c r="AE226" s="63">
        <f t="shared" si="33"/>
        <v>0</v>
      </c>
      <c r="AF226" s="63">
        <f t="shared" si="33"/>
        <v>0</v>
      </c>
    </row>
    <row r="227" spans="1:32" hidden="1" x14ac:dyDescent="0.2">
      <c r="A227" s="28">
        <v>238</v>
      </c>
      <c r="B227" s="28" t="s">
        <v>216</v>
      </c>
      <c r="C227" s="30">
        <v>0</v>
      </c>
      <c r="D227" s="30">
        <v>0</v>
      </c>
      <c r="E227" s="30">
        <v>0</v>
      </c>
      <c r="F227" s="30">
        <v>0</v>
      </c>
      <c r="G227" s="30">
        <v>0</v>
      </c>
      <c r="H227" s="30">
        <v>1217</v>
      </c>
      <c r="I227" s="54">
        <f t="shared" si="34"/>
        <v>0</v>
      </c>
      <c r="J227" s="54">
        <f t="shared" si="34"/>
        <v>0</v>
      </c>
      <c r="K227" s="54">
        <f t="shared" si="34"/>
        <v>0</v>
      </c>
      <c r="L227" s="54">
        <f t="shared" si="34"/>
        <v>0</v>
      </c>
      <c r="M227" s="54">
        <f t="shared" si="34"/>
        <v>0</v>
      </c>
      <c r="N227" s="51">
        <f>FORESTS2[[#This Row],[Area_2020]]-FORESTS2[[#This Row],[Area_1990]]</f>
        <v>0</v>
      </c>
      <c r="O227" s="51">
        <f>ABS(FORESTS2[[#This Row],[Area_Delta]])</f>
        <v>0</v>
      </c>
      <c r="P227" s="54">
        <f>FORESTS2[[#This Row],[Area_2020_%]]-FORESTS2[[#This Row],[Area_1990_%]]</f>
        <v>0</v>
      </c>
      <c r="Q227" s="54" t="b">
        <f t="shared" si="27"/>
        <v>0</v>
      </c>
      <c r="R227" s="51">
        <f t="shared" si="28"/>
        <v>0</v>
      </c>
      <c r="S227" s="51">
        <f t="shared" si="29"/>
        <v>0</v>
      </c>
      <c r="T227" s="48">
        <f t="shared" si="30"/>
        <v>0</v>
      </c>
      <c r="U227" s="48">
        <v>0</v>
      </c>
      <c r="V227" s="30">
        <v>0</v>
      </c>
      <c r="W227" s="30">
        <v>0</v>
      </c>
      <c r="X227" s="38">
        <f t="shared" si="31"/>
        <v>0</v>
      </c>
      <c r="Y227" s="38">
        <f t="shared" si="31"/>
        <v>0</v>
      </c>
      <c r="Z227" s="38">
        <f t="shared" si="31"/>
        <v>0</v>
      </c>
      <c r="AA227" s="38">
        <f t="shared" si="26"/>
        <v>0</v>
      </c>
      <c r="AB227" s="38">
        <f>FORESTS2[[#This Row],[Column7]]+FORESTS2[[#This Row],[Column8]]</f>
        <v>0</v>
      </c>
      <c r="AC227" s="63">
        <f t="shared" si="32"/>
        <v>0</v>
      </c>
      <c r="AD227" s="63">
        <f t="shared" si="32"/>
        <v>0</v>
      </c>
      <c r="AE227" s="63">
        <f t="shared" si="33"/>
        <v>0</v>
      </c>
      <c r="AF227" s="63">
        <f t="shared" si="33"/>
        <v>0</v>
      </c>
    </row>
    <row r="228" spans="1:32" x14ac:dyDescent="0.2">
      <c r="A228" s="28">
        <v>76</v>
      </c>
      <c r="B228" s="28" t="s">
        <v>20</v>
      </c>
      <c r="C228" s="46">
        <v>588898</v>
      </c>
      <c r="D228" s="46">
        <v>551088.6</v>
      </c>
      <c r="E228" s="46">
        <v>511580.7</v>
      </c>
      <c r="F228" s="46">
        <v>503884.79999999999</v>
      </c>
      <c r="G228" s="46">
        <v>496619.6</v>
      </c>
      <c r="H228" s="46">
        <v>835814</v>
      </c>
      <c r="I228" s="54">
        <f t="shared" si="34"/>
        <v>0.70458020564383939</v>
      </c>
      <c r="J228" s="54">
        <f t="shared" si="34"/>
        <v>0.65934358601315601</v>
      </c>
      <c r="K228" s="54">
        <f t="shared" si="34"/>
        <v>0.61207481568865807</v>
      </c>
      <c r="L228" s="54">
        <f t="shared" si="34"/>
        <v>0.60286714508251837</v>
      </c>
      <c r="M228" s="54">
        <f t="shared" si="34"/>
        <v>0.59417478051336781</v>
      </c>
      <c r="N228" s="51">
        <f>FORESTS2[[#This Row],[Area_2020]]-FORESTS2[[#This Row],[Area_1990]]</f>
        <v>-92278.400000000023</v>
      </c>
      <c r="O228" s="51">
        <f>ABS(FORESTS2[[#This Row],[Area_Delta]])</f>
        <v>92278.400000000023</v>
      </c>
      <c r="P228" s="54">
        <f>FORESTS2[[#This Row],[Area_2020_%]]-FORESTS2[[#This Row],[Area_1990_%]]</f>
        <v>-0.11040542513047158</v>
      </c>
      <c r="Q228" s="48" t="b">
        <f t="shared" si="27"/>
        <v>0</v>
      </c>
      <c r="R228" s="51">
        <f t="shared" si="28"/>
        <v>0</v>
      </c>
      <c r="S228" s="51">
        <f t="shared" si="29"/>
        <v>92278.400000000023</v>
      </c>
      <c r="T228" s="62">
        <f t="shared" si="30"/>
        <v>4</v>
      </c>
      <c r="U228" s="43">
        <v>59.42</v>
      </c>
      <c r="V228" s="30">
        <v>1695.7</v>
      </c>
      <c r="W228" s="38">
        <v>32998.07</v>
      </c>
      <c r="X228" s="38">
        <f t="shared" si="31"/>
        <v>-37809.400000000023</v>
      </c>
      <c r="Y228" s="38">
        <f t="shared" si="31"/>
        <v>-39507.899999999965</v>
      </c>
      <c r="Z228" s="38">
        <f t="shared" si="31"/>
        <v>-7695.9000000000233</v>
      </c>
      <c r="AA228" s="38">
        <f t="shared" si="26"/>
        <v>-7265.2000000000116</v>
      </c>
      <c r="AB228" s="38">
        <f>FORESTS2[[#This Row],[Column7]]+FORESTS2[[#This Row],[Column8]]</f>
        <v>-14961.100000000035</v>
      </c>
      <c r="AC228" s="63">
        <f t="shared" si="32"/>
        <v>-3780.9400000000023</v>
      </c>
      <c r="AD228" s="63">
        <f t="shared" si="32"/>
        <v>-3950.7899999999963</v>
      </c>
      <c r="AE228" s="63">
        <f t="shared" si="33"/>
        <v>-1539.1800000000046</v>
      </c>
      <c r="AF228" s="63">
        <f t="shared" si="33"/>
        <v>-1453.0400000000022</v>
      </c>
    </row>
    <row r="229" spans="1:32" x14ac:dyDescent="0.2">
      <c r="A229" s="28">
        <v>834</v>
      </c>
      <c r="B229" s="28" t="s">
        <v>175</v>
      </c>
      <c r="C229" s="46">
        <v>57390.01</v>
      </c>
      <c r="D229" s="46">
        <v>53670.01</v>
      </c>
      <c r="E229" s="46">
        <v>49950.01</v>
      </c>
      <c r="F229" s="46">
        <v>48090</v>
      </c>
      <c r="G229" s="46">
        <v>45745</v>
      </c>
      <c r="H229" s="46">
        <v>88580</v>
      </c>
      <c r="I229" s="54">
        <f t="shared" si="34"/>
        <v>0.64788902686836758</v>
      </c>
      <c r="J229" s="54">
        <f t="shared" si="34"/>
        <v>0.60589309099119437</v>
      </c>
      <c r="K229" s="54">
        <f t="shared" si="34"/>
        <v>0.56389715511402128</v>
      </c>
      <c r="L229" s="54">
        <f t="shared" si="34"/>
        <v>0.54289907428313389</v>
      </c>
      <c r="M229" s="54">
        <f t="shared" si="34"/>
        <v>0.51642582975841045</v>
      </c>
      <c r="N229" s="51">
        <f>FORESTS2[[#This Row],[Area_2020]]-FORESTS2[[#This Row],[Area_1990]]</f>
        <v>-11645.010000000002</v>
      </c>
      <c r="O229" s="51">
        <f>ABS(FORESTS2[[#This Row],[Area_Delta]])</f>
        <v>11645.010000000002</v>
      </c>
      <c r="P229" s="54">
        <f>FORESTS2[[#This Row],[Area_2020_%]]-FORESTS2[[#This Row],[Area_1990_%]]</f>
        <v>-0.13146319710995713</v>
      </c>
      <c r="Q229" s="48" t="b">
        <f t="shared" si="27"/>
        <v>0</v>
      </c>
      <c r="R229" s="51">
        <f t="shared" si="28"/>
        <v>0</v>
      </c>
      <c r="S229" s="51">
        <f t="shared" si="29"/>
        <v>11645.010000000002</v>
      </c>
      <c r="T229" s="62">
        <f t="shared" si="30"/>
        <v>4</v>
      </c>
      <c r="U229" s="43">
        <v>51.64</v>
      </c>
      <c r="V229" s="30">
        <v>474</v>
      </c>
      <c r="W229" s="38">
        <v>587.29999999999995</v>
      </c>
      <c r="X229" s="38">
        <f t="shared" si="31"/>
        <v>-3720</v>
      </c>
      <c r="Y229" s="38">
        <f t="shared" si="31"/>
        <v>-3720</v>
      </c>
      <c r="Z229" s="38">
        <f t="shared" si="31"/>
        <v>-1860.010000000002</v>
      </c>
      <c r="AA229" s="38">
        <f t="shared" si="26"/>
        <v>-2345</v>
      </c>
      <c r="AB229" s="38">
        <f>FORESTS2[[#This Row],[Column7]]+FORESTS2[[#This Row],[Column8]]</f>
        <v>-4205.010000000002</v>
      </c>
      <c r="AC229" s="63">
        <f t="shared" si="32"/>
        <v>-372</v>
      </c>
      <c r="AD229" s="63">
        <f t="shared" si="32"/>
        <v>-372</v>
      </c>
      <c r="AE229" s="63">
        <f t="shared" si="33"/>
        <v>-372.00200000000041</v>
      </c>
      <c r="AF229" s="63">
        <f t="shared" si="33"/>
        <v>-469</v>
      </c>
    </row>
    <row r="230" spans="1:32" hidden="1" x14ac:dyDescent="0.2">
      <c r="A230" s="28">
        <v>292</v>
      </c>
      <c r="B230" s="28" t="s">
        <v>234</v>
      </c>
      <c r="C230" s="30">
        <v>0</v>
      </c>
      <c r="D230" s="30">
        <v>0</v>
      </c>
      <c r="E230" s="30">
        <v>0</v>
      </c>
      <c r="F230" s="30">
        <v>0</v>
      </c>
      <c r="G230" s="30">
        <v>0</v>
      </c>
      <c r="H230" s="30">
        <v>1</v>
      </c>
      <c r="I230" s="54">
        <f t="shared" si="34"/>
        <v>0</v>
      </c>
      <c r="J230" s="54">
        <f t="shared" si="34"/>
        <v>0</v>
      </c>
      <c r="K230" s="54">
        <f t="shared" si="34"/>
        <v>0</v>
      </c>
      <c r="L230" s="54">
        <f t="shared" si="34"/>
        <v>0</v>
      </c>
      <c r="M230" s="54">
        <f t="shared" si="34"/>
        <v>0</v>
      </c>
      <c r="N230" s="51">
        <f>FORESTS2[[#This Row],[Area_2020]]-FORESTS2[[#This Row],[Area_1990]]</f>
        <v>0</v>
      </c>
      <c r="O230" s="51">
        <f>ABS(FORESTS2[[#This Row],[Area_Delta]])</f>
        <v>0</v>
      </c>
      <c r="P230" s="54">
        <f>FORESTS2[[#This Row],[Area_2020_%]]-FORESTS2[[#This Row],[Area_1990_%]]</f>
        <v>0</v>
      </c>
      <c r="Q230" s="54" t="b">
        <f t="shared" si="27"/>
        <v>0</v>
      </c>
      <c r="R230" s="51">
        <f t="shared" si="28"/>
        <v>0</v>
      </c>
      <c r="S230" s="51">
        <f t="shared" si="29"/>
        <v>0</v>
      </c>
      <c r="T230" s="48">
        <f t="shared" si="30"/>
        <v>0</v>
      </c>
      <c r="U230" s="48">
        <v>0</v>
      </c>
      <c r="V230" s="30">
        <v>0</v>
      </c>
      <c r="W230" s="30">
        <v>0</v>
      </c>
      <c r="X230" s="38">
        <f t="shared" si="31"/>
        <v>0</v>
      </c>
      <c r="Y230" s="38">
        <f t="shared" si="31"/>
        <v>0</v>
      </c>
      <c r="Z230" s="38">
        <f t="shared" si="31"/>
        <v>0</v>
      </c>
      <c r="AA230" s="38">
        <f t="shared" si="26"/>
        <v>0</v>
      </c>
      <c r="AB230" s="38">
        <f>FORESTS2[[#This Row],[Column7]]+FORESTS2[[#This Row],[Column8]]</f>
        <v>0</v>
      </c>
      <c r="AC230" s="63">
        <f t="shared" si="32"/>
        <v>0</v>
      </c>
      <c r="AD230" s="63">
        <f t="shared" si="32"/>
        <v>0</v>
      </c>
      <c r="AE230" s="63">
        <f t="shared" si="33"/>
        <v>0</v>
      </c>
      <c r="AF230" s="63">
        <f t="shared" si="33"/>
        <v>0</v>
      </c>
    </row>
    <row r="231" spans="1:32" hidden="1" x14ac:dyDescent="0.2">
      <c r="A231" s="28">
        <v>520</v>
      </c>
      <c r="B231" s="28" t="s">
        <v>242</v>
      </c>
      <c r="C231" s="30">
        <v>0</v>
      </c>
      <c r="D231" s="30">
        <v>0</v>
      </c>
      <c r="E231" s="30">
        <v>0</v>
      </c>
      <c r="F231" s="30">
        <v>0</v>
      </c>
      <c r="G231" s="30">
        <v>0</v>
      </c>
      <c r="H231" s="30">
        <v>2</v>
      </c>
      <c r="I231" s="54">
        <f t="shared" si="34"/>
        <v>0</v>
      </c>
      <c r="J231" s="54">
        <f t="shared" si="34"/>
        <v>0</v>
      </c>
      <c r="K231" s="54">
        <f t="shared" si="34"/>
        <v>0</v>
      </c>
      <c r="L231" s="54">
        <f t="shared" si="34"/>
        <v>0</v>
      </c>
      <c r="M231" s="54">
        <f t="shared" si="34"/>
        <v>0</v>
      </c>
      <c r="N231" s="51">
        <f>FORESTS2[[#This Row],[Area_2020]]-FORESTS2[[#This Row],[Area_1990]]</f>
        <v>0</v>
      </c>
      <c r="O231" s="51">
        <f>ABS(FORESTS2[[#This Row],[Area_Delta]])</f>
        <v>0</v>
      </c>
      <c r="P231" s="54">
        <f>FORESTS2[[#This Row],[Area_2020_%]]-FORESTS2[[#This Row],[Area_1990_%]]</f>
        <v>0</v>
      </c>
      <c r="Q231" s="54" t="b">
        <f t="shared" si="27"/>
        <v>0</v>
      </c>
      <c r="R231" s="51">
        <f t="shared" si="28"/>
        <v>0</v>
      </c>
      <c r="S231" s="51">
        <f t="shared" si="29"/>
        <v>0</v>
      </c>
      <c r="T231" s="48">
        <f t="shared" si="30"/>
        <v>0</v>
      </c>
      <c r="U231" s="48">
        <v>0</v>
      </c>
      <c r="V231" s="30">
        <v>0</v>
      </c>
      <c r="W231" s="30">
        <v>0</v>
      </c>
      <c r="X231" s="38">
        <f t="shared" si="31"/>
        <v>0</v>
      </c>
      <c r="Y231" s="38">
        <f t="shared" si="31"/>
        <v>0</v>
      </c>
      <c r="Z231" s="38">
        <f t="shared" si="31"/>
        <v>0</v>
      </c>
      <c r="AA231" s="38">
        <f t="shared" si="26"/>
        <v>0</v>
      </c>
      <c r="AB231" s="38">
        <f>FORESTS2[[#This Row],[Column7]]+FORESTS2[[#This Row],[Column8]]</f>
        <v>0</v>
      </c>
      <c r="AC231" s="63">
        <f t="shared" si="32"/>
        <v>0</v>
      </c>
      <c r="AD231" s="63">
        <f t="shared" si="32"/>
        <v>0</v>
      </c>
      <c r="AE231" s="63">
        <f t="shared" si="33"/>
        <v>0</v>
      </c>
      <c r="AF231" s="63">
        <f t="shared" si="33"/>
        <v>0</v>
      </c>
    </row>
    <row r="232" spans="1:32" hidden="1" x14ac:dyDescent="0.2">
      <c r="A232" s="28">
        <v>634</v>
      </c>
      <c r="B232" s="28" t="s">
        <v>224</v>
      </c>
      <c r="C232" s="30">
        <v>0</v>
      </c>
      <c r="D232" s="30">
        <v>0</v>
      </c>
      <c r="E232" s="30">
        <v>0</v>
      </c>
      <c r="F232" s="30">
        <v>0</v>
      </c>
      <c r="G232" s="30">
        <v>0</v>
      </c>
      <c r="H232" s="30">
        <v>1161</v>
      </c>
      <c r="I232" s="54">
        <f t="shared" si="34"/>
        <v>0</v>
      </c>
      <c r="J232" s="54">
        <f t="shared" si="34"/>
        <v>0</v>
      </c>
      <c r="K232" s="54">
        <f t="shared" si="34"/>
        <v>0</v>
      </c>
      <c r="L232" s="54">
        <f t="shared" si="34"/>
        <v>0</v>
      </c>
      <c r="M232" s="54">
        <f t="shared" si="34"/>
        <v>0</v>
      </c>
      <c r="N232" s="51">
        <f>FORESTS2[[#This Row],[Area_2020]]-FORESTS2[[#This Row],[Area_1990]]</f>
        <v>0</v>
      </c>
      <c r="O232" s="51">
        <f>ABS(FORESTS2[[#This Row],[Area_Delta]])</f>
        <v>0</v>
      </c>
      <c r="P232" s="54">
        <f>FORESTS2[[#This Row],[Area_2020_%]]-FORESTS2[[#This Row],[Area_1990_%]]</f>
        <v>0</v>
      </c>
      <c r="Q232" s="54" t="b">
        <f t="shared" si="27"/>
        <v>0</v>
      </c>
      <c r="R232" s="51">
        <f t="shared" si="28"/>
        <v>0</v>
      </c>
      <c r="S232" s="51">
        <f t="shared" si="29"/>
        <v>0</v>
      </c>
      <c r="T232" s="48">
        <f t="shared" si="30"/>
        <v>0</v>
      </c>
      <c r="U232" s="48">
        <v>0</v>
      </c>
      <c r="V232" s="30">
        <v>0</v>
      </c>
      <c r="W232" s="30">
        <v>0</v>
      </c>
      <c r="X232" s="38">
        <f t="shared" si="31"/>
        <v>0</v>
      </c>
      <c r="Y232" s="38">
        <f t="shared" si="31"/>
        <v>0</v>
      </c>
      <c r="Z232" s="38">
        <f t="shared" si="31"/>
        <v>0</v>
      </c>
      <c r="AA232" s="38">
        <f t="shared" si="26"/>
        <v>0</v>
      </c>
      <c r="AB232" s="38">
        <f>FORESTS2[[#This Row],[Column7]]+FORESTS2[[#This Row],[Column8]]</f>
        <v>0</v>
      </c>
      <c r="AC232" s="63">
        <f t="shared" si="32"/>
        <v>0</v>
      </c>
      <c r="AD232" s="63">
        <f t="shared" si="32"/>
        <v>0</v>
      </c>
      <c r="AE232" s="63">
        <f t="shared" si="33"/>
        <v>0</v>
      </c>
      <c r="AF232" s="63">
        <f t="shared" si="33"/>
        <v>0</v>
      </c>
    </row>
    <row r="233" spans="1:32" hidden="1" x14ac:dyDescent="0.2">
      <c r="A233" s="28">
        <v>772</v>
      </c>
      <c r="B233" s="28" t="s">
        <v>245</v>
      </c>
      <c r="C233" s="30">
        <v>0</v>
      </c>
      <c r="D233" s="30">
        <v>0</v>
      </c>
      <c r="E233" s="30">
        <v>0</v>
      </c>
      <c r="F233" s="30">
        <v>0</v>
      </c>
      <c r="G233" s="30">
        <v>0</v>
      </c>
      <c r="H233" s="30">
        <v>1</v>
      </c>
      <c r="I233" s="54">
        <f t="shared" si="34"/>
        <v>0</v>
      </c>
      <c r="J233" s="54">
        <f t="shared" si="34"/>
        <v>0</v>
      </c>
      <c r="K233" s="54">
        <f t="shared" si="34"/>
        <v>0</v>
      </c>
      <c r="L233" s="54">
        <f t="shared" si="34"/>
        <v>0</v>
      </c>
      <c r="M233" s="54">
        <f t="shared" si="34"/>
        <v>0</v>
      </c>
      <c r="N233" s="51">
        <f>FORESTS2[[#This Row],[Area_2020]]-FORESTS2[[#This Row],[Area_1990]]</f>
        <v>0</v>
      </c>
      <c r="O233" s="51">
        <f>ABS(FORESTS2[[#This Row],[Area_Delta]])</f>
        <v>0</v>
      </c>
      <c r="P233" s="54">
        <f>FORESTS2[[#This Row],[Area_2020_%]]-FORESTS2[[#This Row],[Area_1990_%]]</f>
        <v>0</v>
      </c>
      <c r="Q233" s="54" t="b">
        <f t="shared" si="27"/>
        <v>0</v>
      </c>
      <c r="R233" s="51">
        <f t="shared" si="28"/>
        <v>0</v>
      </c>
      <c r="S233" s="51">
        <f t="shared" si="29"/>
        <v>0</v>
      </c>
      <c r="T233" s="48">
        <f t="shared" si="30"/>
        <v>0</v>
      </c>
      <c r="U233" s="48">
        <v>0</v>
      </c>
      <c r="V233" s="30">
        <v>0</v>
      </c>
      <c r="W233" s="30">
        <v>0</v>
      </c>
      <c r="X233" s="38">
        <f t="shared" si="31"/>
        <v>0</v>
      </c>
      <c r="Y233" s="38">
        <f t="shared" si="31"/>
        <v>0</v>
      </c>
      <c r="Z233" s="38">
        <f t="shared" si="31"/>
        <v>0</v>
      </c>
      <c r="AA233" s="38">
        <f t="shared" si="26"/>
        <v>0</v>
      </c>
      <c r="AB233" s="38">
        <f>FORESTS2[[#This Row],[Column7]]+FORESTS2[[#This Row],[Column8]]</f>
        <v>0</v>
      </c>
      <c r="AC233" s="63">
        <f t="shared" si="32"/>
        <v>0</v>
      </c>
      <c r="AD233" s="63">
        <f t="shared" si="32"/>
        <v>0</v>
      </c>
      <c r="AE233" s="63">
        <f t="shared" si="33"/>
        <v>0</v>
      </c>
      <c r="AF233" s="63">
        <f t="shared" si="33"/>
        <v>0</v>
      </c>
    </row>
    <row r="234" spans="1:32" hidden="1" x14ac:dyDescent="0.2">
      <c r="A234" s="28">
        <v>336</v>
      </c>
      <c r="B234" s="28" t="s">
        <v>235</v>
      </c>
      <c r="C234" s="30">
        <v>0</v>
      </c>
      <c r="D234" s="30">
        <v>0</v>
      </c>
      <c r="E234" s="30">
        <v>0</v>
      </c>
      <c r="F234" s="30">
        <v>0</v>
      </c>
      <c r="G234" s="30">
        <v>0</v>
      </c>
      <c r="H234" s="30">
        <v>9.9999999999999995E-7</v>
      </c>
      <c r="I234" s="54">
        <f t="shared" si="34"/>
        <v>0</v>
      </c>
      <c r="J234" s="54">
        <f t="shared" si="34"/>
        <v>0</v>
      </c>
      <c r="K234" s="54">
        <f t="shared" si="34"/>
        <v>0</v>
      </c>
      <c r="L234" s="54">
        <f t="shared" si="34"/>
        <v>0</v>
      </c>
      <c r="M234" s="54">
        <f t="shared" si="34"/>
        <v>0</v>
      </c>
      <c r="N234" s="51">
        <f>FORESTS2[[#This Row],[Area_2020]]-FORESTS2[[#This Row],[Area_1990]]</f>
        <v>0</v>
      </c>
      <c r="O234" s="51">
        <f>ABS(FORESTS2[[#This Row],[Area_Delta]])</f>
        <v>0</v>
      </c>
      <c r="P234" s="54">
        <f>FORESTS2[[#This Row],[Area_2020_%]]-FORESTS2[[#This Row],[Area_1990_%]]</f>
        <v>0</v>
      </c>
      <c r="Q234" s="54" t="b">
        <f t="shared" si="27"/>
        <v>0</v>
      </c>
      <c r="R234" s="51">
        <f t="shared" si="28"/>
        <v>0</v>
      </c>
      <c r="S234" s="51">
        <f t="shared" si="29"/>
        <v>0</v>
      </c>
      <c r="T234" s="48">
        <f t="shared" si="30"/>
        <v>0</v>
      </c>
      <c r="U234" s="48">
        <v>0</v>
      </c>
      <c r="V234" s="30">
        <v>0</v>
      </c>
      <c r="W234" s="30">
        <v>0</v>
      </c>
      <c r="X234" s="38">
        <f t="shared" si="31"/>
        <v>0</v>
      </c>
      <c r="Y234" s="38">
        <f t="shared" si="31"/>
        <v>0</v>
      </c>
      <c r="Z234" s="38">
        <f t="shared" si="31"/>
        <v>0</v>
      </c>
      <c r="AA234" s="38">
        <f t="shared" si="26"/>
        <v>0</v>
      </c>
      <c r="AB234" s="38">
        <f>FORESTS2[[#This Row],[Column7]]+FORESTS2[[#This Row],[Column8]]</f>
        <v>0</v>
      </c>
      <c r="AC234" s="63">
        <f t="shared" si="32"/>
        <v>0</v>
      </c>
      <c r="AD234" s="63">
        <f t="shared" si="32"/>
        <v>0</v>
      </c>
      <c r="AE234" s="63">
        <f t="shared" si="33"/>
        <v>0</v>
      </c>
      <c r="AF234" s="63">
        <f t="shared" si="33"/>
        <v>0</v>
      </c>
    </row>
    <row r="235" spans="1:32" x14ac:dyDescent="0.2">
      <c r="A235" s="28">
        <v>360</v>
      </c>
      <c r="B235" s="28" t="s">
        <v>76</v>
      </c>
      <c r="C235" s="46">
        <v>118545</v>
      </c>
      <c r="D235" s="46">
        <v>101280</v>
      </c>
      <c r="E235" s="46">
        <v>99659.199999999997</v>
      </c>
      <c r="F235" s="46">
        <v>95027.9</v>
      </c>
      <c r="G235" s="46">
        <v>92133.2</v>
      </c>
      <c r="H235" s="46">
        <v>187752</v>
      </c>
      <c r="I235" s="54">
        <f t="shared" si="34"/>
        <v>0.63139140994503384</v>
      </c>
      <c r="J235" s="54">
        <f t="shared" si="34"/>
        <v>0.53943499936085904</v>
      </c>
      <c r="K235" s="54">
        <f t="shared" si="34"/>
        <v>0.53080233499509988</v>
      </c>
      <c r="L235" s="54">
        <f t="shared" si="34"/>
        <v>0.50613522092973706</v>
      </c>
      <c r="M235" s="54">
        <f t="shared" si="34"/>
        <v>0.49071754228982911</v>
      </c>
      <c r="N235" s="51">
        <f>FORESTS2[[#This Row],[Area_2020]]-FORESTS2[[#This Row],[Area_1990]]</f>
        <v>-26411.800000000003</v>
      </c>
      <c r="O235" s="51">
        <f>ABS(FORESTS2[[#This Row],[Area_Delta]])</f>
        <v>26411.800000000003</v>
      </c>
      <c r="P235" s="54">
        <f>FORESTS2[[#This Row],[Area_2020_%]]-FORESTS2[[#This Row],[Area_1990_%]]</f>
        <v>-0.14067386765520473</v>
      </c>
      <c r="Q235" s="48" t="b">
        <f t="shared" si="27"/>
        <v>0</v>
      </c>
      <c r="R235" s="51">
        <f t="shared" si="28"/>
        <v>0</v>
      </c>
      <c r="S235" s="51">
        <f t="shared" si="29"/>
        <v>26411.800000000003</v>
      </c>
      <c r="T235" s="62">
        <f t="shared" si="30"/>
        <v>4</v>
      </c>
      <c r="U235" s="43">
        <v>49.07</v>
      </c>
      <c r="V235" s="30">
        <v>650</v>
      </c>
      <c r="W235" s="38" t="s">
        <v>247</v>
      </c>
      <c r="X235" s="38">
        <f t="shared" si="31"/>
        <v>-17265</v>
      </c>
      <c r="Y235" s="38">
        <f t="shared" si="31"/>
        <v>-1620.8000000000029</v>
      </c>
      <c r="Z235" s="38">
        <f t="shared" si="31"/>
        <v>-4631.3000000000029</v>
      </c>
      <c r="AA235" s="38">
        <f t="shared" si="26"/>
        <v>-2894.6999999999971</v>
      </c>
      <c r="AB235" s="38">
        <f>FORESTS2[[#This Row],[Column7]]+FORESTS2[[#This Row],[Column8]]</f>
        <v>-7526</v>
      </c>
      <c r="AC235" s="63">
        <f t="shared" si="32"/>
        <v>-1726.5</v>
      </c>
      <c r="AD235" s="63">
        <f t="shared" si="32"/>
        <v>-162.0800000000003</v>
      </c>
      <c r="AE235" s="63">
        <f t="shared" si="33"/>
        <v>-926.26000000000056</v>
      </c>
      <c r="AF235" s="63">
        <f t="shared" si="33"/>
        <v>-578.93999999999937</v>
      </c>
    </row>
    <row r="236" spans="1:32" x14ac:dyDescent="0.2">
      <c r="A236" s="28">
        <v>384</v>
      </c>
      <c r="B236" s="31" t="s">
        <v>200</v>
      </c>
      <c r="C236" s="46">
        <v>7850.86</v>
      </c>
      <c r="D236" s="46">
        <v>5094.45</v>
      </c>
      <c r="E236" s="46">
        <v>3965.58</v>
      </c>
      <c r="F236" s="46">
        <v>3401.15</v>
      </c>
      <c r="G236" s="46">
        <v>2836.71</v>
      </c>
      <c r="H236" s="46">
        <v>31800</v>
      </c>
      <c r="I236" s="54">
        <f t="shared" si="34"/>
        <v>0.2468823899371069</v>
      </c>
      <c r="J236" s="54">
        <f t="shared" si="34"/>
        <v>0.16020283018867923</v>
      </c>
      <c r="K236" s="54">
        <f t="shared" si="34"/>
        <v>0.12470377358490566</v>
      </c>
      <c r="L236" s="54">
        <f t="shared" si="34"/>
        <v>0.10695440251572327</v>
      </c>
      <c r="M236" s="54">
        <f t="shared" si="34"/>
        <v>8.9204716981132082E-2</v>
      </c>
      <c r="N236" s="51">
        <f>FORESTS2[[#This Row],[Area_2020]]-FORESTS2[[#This Row],[Area_1990]]</f>
        <v>-5014.1499999999996</v>
      </c>
      <c r="O236" s="51">
        <f>ABS(FORESTS2[[#This Row],[Area_Delta]])</f>
        <v>5014.1499999999996</v>
      </c>
      <c r="P236" s="54">
        <f>FORESTS2[[#This Row],[Area_2020_%]]-FORESTS2[[#This Row],[Area_1990_%]]</f>
        <v>-0.15767767295597482</v>
      </c>
      <c r="Q236" s="48" t="b">
        <f t="shared" si="27"/>
        <v>0</v>
      </c>
      <c r="R236" s="51">
        <f t="shared" si="28"/>
        <v>0</v>
      </c>
      <c r="S236" s="51">
        <f t="shared" si="29"/>
        <v>5014.1499999999996</v>
      </c>
      <c r="T236" s="48">
        <f t="shared" si="30"/>
        <v>4</v>
      </c>
      <c r="U236" s="43">
        <v>8.92</v>
      </c>
      <c r="V236" s="30" t="s">
        <v>247</v>
      </c>
      <c r="W236" s="38" t="s">
        <v>247</v>
      </c>
      <c r="X236" s="38">
        <f t="shared" si="31"/>
        <v>-2756.41</v>
      </c>
      <c r="Y236" s="38">
        <f t="shared" si="31"/>
        <v>-1128.8699999999999</v>
      </c>
      <c r="Z236" s="38">
        <f t="shared" si="31"/>
        <v>-564.42999999999984</v>
      </c>
      <c r="AA236" s="38">
        <f t="shared" si="26"/>
        <v>-564.44000000000005</v>
      </c>
      <c r="AB236" s="38">
        <f>FORESTS2[[#This Row],[Column7]]+FORESTS2[[#This Row],[Column8]]</f>
        <v>-1128.8699999999999</v>
      </c>
      <c r="AC236" s="63">
        <f t="shared" si="32"/>
        <v>-275.64099999999996</v>
      </c>
      <c r="AD236" s="63">
        <f t="shared" si="32"/>
        <v>-112.88699999999999</v>
      </c>
      <c r="AE236" s="63">
        <f t="shared" si="33"/>
        <v>-112.88599999999997</v>
      </c>
      <c r="AF236" s="63">
        <f t="shared" si="33"/>
        <v>-112.88800000000001</v>
      </c>
    </row>
    <row r="237" spans="1:32" x14ac:dyDescent="0.2">
      <c r="A237" s="28">
        <v>104</v>
      </c>
      <c r="B237" s="28" t="s">
        <v>113</v>
      </c>
      <c r="C237" s="46">
        <v>39218.480000000003</v>
      </c>
      <c r="D237" s="46">
        <v>34868.11</v>
      </c>
      <c r="E237" s="46">
        <v>31441</v>
      </c>
      <c r="F237" s="46">
        <v>29992.44</v>
      </c>
      <c r="G237" s="46">
        <v>28543.89</v>
      </c>
      <c r="H237" s="46">
        <v>65308</v>
      </c>
      <c r="I237" s="54">
        <f t="shared" si="34"/>
        <v>0.60051571017333261</v>
      </c>
      <c r="J237" s="54">
        <f t="shared" si="34"/>
        <v>0.53390258467569063</v>
      </c>
      <c r="K237" s="54">
        <f t="shared" si="34"/>
        <v>0.48142647148894469</v>
      </c>
      <c r="L237" s="54">
        <f t="shared" si="34"/>
        <v>0.45924603417651738</v>
      </c>
      <c r="M237" s="54">
        <f t="shared" si="34"/>
        <v>0.43706574998468795</v>
      </c>
      <c r="N237" s="51">
        <f>FORESTS2[[#This Row],[Area_2020]]-FORESTS2[[#This Row],[Area_1990]]</f>
        <v>-10674.590000000004</v>
      </c>
      <c r="O237" s="51">
        <f>ABS(FORESTS2[[#This Row],[Area_Delta]])</f>
        <v>10674.590000000004</v>
      </c>
      <c r="P237" s="54">
        <f>FORESTS2[[#This Row],[Area_2020_%]]-FORESTS2[[#This Row],[Area_1990_%]]</f>
        <v>-0.16344996018864466</v>
      </c>
      <c r="Q237" s="48" t="b">
        <f t="shared" si="27"/>
        <v>0</v>
      </c>
      <c r="R237" s="51">
        <f t="shared" si="28"/>
        <v>0</v>
      </c>
      <c r="S237" s="51">
        <f t="shared" si="29"/>
        <v>10674.590000000004</v>
      </c>
      <c r="T237" s="62">
        <f t="shared" si="30"/>
        <v>4</v>
      </c>
      <c r="U237" s="43">
        <v>43.71</v>
      </c>
      <c r="V237" s="30">
        <v>293.92</v>
      </c>
      <c r="W237" s="38">
        <v>1186.9000000000001</v>
      </c>
      <c r="X237" s="38">
        <f t="shared" si="31"/>
        <v>-4350.3700000000026</v>
      </c>
      <c r="Y237" s="38">
        <f t="shared" si="31"/>
        <v>-3427.1100000000006</v>
      </c>
      <c r="Z237" s="38">
        <f t="shared" si="31"/>
        <v>-1448.5600000000013</v>
      </c>
      <c r="AA237" s="38">
        <f t="shared" si="26"/>
        <v>-1448.5499999999993</v>
      </c>
      <c r="AB237" s="38">
        <f>FORESTS2[[#This Row],[Column7]]+FORESTS2[[#This Row],[Column8]]</f>
        <v>-2897.1100000000006</v>
      </c>
      <c r="AC237" s="63">
        <f t="shared" si="32"/>
        <v>-435.03700000000026</v>
      </c>
      <c r="AD237" s="63">
        <f t="shared" si="32"/>
        <v>-342.71100000000007</v>
      </c>
      <c r="AE237" s="63">
        <f t="shared" si="33"/>
        <v>-289.71200000000027</v>
      </c>
      <c r="AF237" s="63">
        <f t="shared" si="33"/>
        <v>-289.70999999999987</v>
      </c>
    </row>
    <row r="238" spans="1:32" hidden="1" x14ac:dyDescent="0.2">
      <c r="A238" s="28">
        <v>492</v>
      </c>
      <c r="B238" s="28" t="s">
        <v>238</v>
      </c>
      <c r="C238" s="30">
        <v>0</v>
      </c>
      <c r="D238" s="30">
        <v>0</v>
      </c>
      <c r="E238" s="30">
        <v>0</v>
      </c>
      <c r="F238" s="30">
        <v>0</v>
      </c>
      <c r="G238" s="30">
        <v>0</v>
      </c>
      <c r="H238" s="30">
        <v>9.9999999999999995E-7</v>
      </c>
      <c r="I238" s="54">
        <f t="shared" si="34"/>
        <v>0</v>
      </c>
      <c r="J238" s="54">
        <f t="shared" si="34"/>
        <v>0</v>
      </c>
      <c r="K238" s="54">
        <f t="shared" si="34"/>
        <v>0</v>
      </c>
      <c r="L238" s="54">
        <f t="shared" si="34"/>
        <v>0</v>
      </c>
      <c r="M238" s="54">
        <f t="shared" si="34"/>
        <v>0</v>
      </c>
      <c r="N238" s="51">
        <f>FORESTS2[[#This Row],[Area_2020]]-FORESTS2[[#This Row],[Area_1990]]</f>
        <v>0</v>
      </c>
      <c r="O238" s="51">
        <f>ABS(FORESTS2[[#This Row],[Area_Delta]])</f>
        <v>0</v>
      </c>
      <c r="P238" s="54">
        <f>FORESTS2[[#This Row],[Area_2020_%]]-FORESTS2[[#This Row],[Area_1990_%]]</f>
        <v>0</v>
      </c>
      <c r="Q238" s="54" t="b">
        <f t="shared" si="27"/>
        <v>0</v>
      </c>
      <c r="R238" s="51">
        <f t="shared" si="28"/>
        <v>0</v>
      </c>
      <c r="S238" s="51">
        <f t="shared" si="29"/>
        <v>0</v>
      </c>
      <c r="T238" s="48">
        <f t="shared" si="30"/>
        <v>0</v>
      </c>
      <c r="U238" s="48">
        <v>0</v>
      </c>
      <c r="V238" s="30">
        <v>0</v>
      </c>
      <c r="W238" s="30">
        <v>0</v>
      </c>
      <c r="X238" s="38">
        <f t="shared" si="31"/>
        <v>0</v>
      </c>
      <c r="Y238" s="38">
        <f t="shared" si="31"/>
        <v>0</v>
      </c>
      <c r="Z238" s="38">
        <f t="shared" si="31"/>
        <v>0</v>
      </c>
      <c r="AA238" s="38">
        <f t="shared" si="26"/>
        <v>0</v>
      </c>
      <c r="AB238" s="38">
        <f>FORESTS2[[#This Row],[Column7]]+FORESTS2[[#This Row],[Column8]]</f>
        <v>0</v>
      </c>
      <c r="AC238" s="63">
        <f t="shared" si="32"/>
        <v>0</v>
      </c>
      <c r="AD238" s="63">
        <f t="shared" si="32"/>
        <v>0</v>
      </c>
      <c r="AE238" s="63">
        <f t="shared" si="33"/>
        <v>0</v>
      </c>
      <c r="AF238" s="63">
        <f t="shared" si="33"/>
        <v>0</v>
      </c>
    </row>
    <row r="239" spans="1:32" x14ac:dyDescent="0.2">
      <c r="A239" s="28">
        <v>600</v>
      </c>
      <c r="B239" s="28" t="s">
        <v>129</v>
      </c>
      <c r="C239" s="46">
        <v>25545.86</v>
      </c>
      <c r="D239" s="46">
        <v>22991.65</v>
      </c>
      <c r="E239" s="46">
        <v>19570.21</v>
      </c>
      <c r="F239" s="46">
        <v>17498.939999999999</v>
      </c>
      <c r="G239" s="46">
        <v>16102.26</v>
      </c>
      <c r="H239" s="46">
        <v>39730</v>
      </c>
      <c r="I239" s="54">
        <f t="shared" si="34"/>
        <v>0.64298665995469417</v>
      </c>
      <c r="J239" s="54">
        <f t="shared" si="34"/>
        <v>0.57869745784042292</v>
      </c>
      <c r="K239" s="54">
        <f t="shared" si="34"/>
        <v>0.49258016612131889</v>
      </c>
      <c r="L239" s="54">
        <f t="shared" si="34"/>
        <v>0.44044651396929269</v>
      </c>
      <c r="M239" s="54">
        <f t="shared" si="34"/>
        <v>0.40529222250188773</v>
      </c>
      <c r="N239" s="51">
        <f>FORESTS2[[#This Row],[Area_2020]]-FORESTS2[[#This Row],[Area_1990]]</f>
        <v>-9443.6</v>
      </c>
      <c r="O239" s="51">
        <f>ABS(FORESTS2[[#This Row],[Area_Delta]])</f>
        <v>9443.6</v>
      </c>
      <c r="P239" s="54">
        <f>FORESTS2[[#This Row],[Area_2020_%]]-FORESTS2[[#This Row],[Area_1990_%]]</f>
        <v>-0.23769443745280644</v>
      </c>
      <c r="Q239" s="48" t="b">
        <f t="shared" si="27"/>
        <v>0</v>
      </c>
      <c r="R239" s="51">
        <f t="shared" si="28"/>
        <v>0</v>
      </c>
      <c r="S239" s="51">
        <f t="shared" si="29"/>
        <v>9443.6</v>
      </c>
      <c r="T239" s="62">
        <f t="shared" si="30"/>
        <v>4</v>
      </c>
      <c r="U239" s="43">
        <v>40.53</v>
      </c>
      <c r="V239" s="30">
        <v>279.33999999999997</v>
      </c>
      <c r="W239" s="38" t="s">
        <v>247</v>
      </c>
      <c r="X239" s="38">
        <f t="shared" si="31"/>
        <v>-2554.2099999999991</v>
      </c>
      <c r="Y239" s="38">
        <f t="shared" si="31"/>
        <v>-3421.4400000000023</v>
      </c>
      <c r="Z239" s="38">
        <f t="shared" si="31"/>
        <v>-2071.2700000000004</v>
      </c>
      <c r="AA239" s="38">
        <f t="shared" si="26"/>
        <v>-1396.6799999999985</v>
      </c>
      <c r="AB239" s="38">
        <f>FORESTS2[[#This Row],[Column7]]+FORESTS2[[#This Row],[Column8]]</f>
        <v>-3467.9499999999989</v>
      </c>
      <c r="AC239" s="63">
        <f t="shared" si="32"/>
        <v>-255.42099999999991</v>
      </c>
      <c r="AD239" s="63">
        <f t="shared" si="32"/>
        <v>-342.14400000000023</v>
      </c>
      <c r="AE239" s="63">
        <f t="shared" si="33"/>
        <v>-414.25400000000008</v>
      </c>
      <c r="AF239" s="63">
        <f t="shared" si="33"/>
        <v>-279.33599999999967</v>
      </c>
    </row>
    <row r="240" spans="1:32" x14ac:dyDescent="0.2">
      <c r="A240" s="28" t="s">
        <v>314</v>
      </c>
      <c r="B240" s="28" t="str">
        <f xml:space="preserve"> "Country count: " &amp; SUBTOTAL(2,FORESTS2[ID])</f>
        <v>Country count: 37</v>
      </c>
      <c r="C240" s="38">
        <f>+SUBTOTAL(109,FORESTS2[[#Headers],[#Data],[Area_1990]])</f>
        <v>2853439.0199999991</v>
      </c>
      <c r="D240" s="38">
        <f>+SUBTOTAL(109,FORESTS2[[#Headers],[#Data],[Area_2000]])</f>
        <v>2799908.1199999996</v>
      </c>
      <c r="E240" s="38">
        <f>+SUBTOTAL(109,FORESTS2[[#Headers],[#Data],[Area_2010]])</f>
        <v>2770364.4899999998</v>
      </c>
      <c r="F240" s="38">
        <f>+SUBTOTAL(109,FORESTS2[[#Headers],[#Data],[Area_2015]])</f>
        <v>2754606.959999999</v>
      </c>
      <c r="G240" s="38">
        <f>+SUBTOTAL(109,FORESTS2[[#Headers],[#Data],[Area_2020]])</f>
        <v>2739344.0599999996</v>
      </c>
      <c r="H240" s="38">
        <f>+SUBTOTAL(109,FORESTS2[Total_Land])</f>
        <v>6999125.9000000004</v>
      </c>
      <c r="I240" s="54">
        <f>SUBTOTAL(101,FORESTS2[Area_1990_%])</f>
        <v>0.37073717573501397</v>
      </c>
      <c r="J240" s="54">
        <f>SUBTOTAL(101,FORESTS2[Area_2000_%])</f>
        <v>0.36846927800787493</v>
      </c>
      <c r="K240" s="54">
        <f>SUBTOTAL(101,FORESTS2[Area_2010_%])</f>
        <v>0.36710913127218986</v>
      </c>
      <c r="L240" s="54">
        <f>SUBTOTAL(101,FORESTS2[Area_2015_%])</f>
        <v>0.36475863371513317</v>
      </c>
      <c r="M240" s="54">
        <f>SUBTOTAL(101,FORESTS2[Area_2020_%])</f>
        <v>0.36164951463807876</v>
      </c>
      <c r="Q240" s="50">
        <f>SUBTOTAL(103,FORESTS2[Net_Gain])</f>
        <v>37</v>
      </c>
      <c r="R240" s="51">
        <f>SUBTOTAL(109,FORESTS2[GAIN  only])</f>
        <v>115560.03999999996</v>
      </c>
      <c r="S240" s="51">
        <f>SUBTOTAL(109,FORESTS2[LOSS only])</f>
        <v>229655.00000000003</v>
      </c>
      <c r="T240" s="50"/>
      <c r="U240" s="50"/>
      <c r="W240" s="30"/>
      <c r="X240" s="30"/>
      <c r="Y240" s="30"/>
      <c r="Z240" s="30"/>
      <c r="AA240" s="30"/>
      <c r="AB240" s="30"/>
      <c r="AC240" s="28"/>
      <c r="AD240" s="28"/>
      <c r="AE240" s="28"/>
      <c r="AF240" s="63">
        <f>SUBTOTAL(109,FORESTS2[PA_growth4])</f>
        <v>-3052.5799999999967</v>
      </c>
    </row>
    <row r="241" spans="1:34" x14ac:dyDescent="0.2">
      <c r="C241" s="49">
        <f>C240/$H$240</f>
        <v>0.40768505392937693</v>
      </c>
      <c r="D241" s="49">
        <f t="shared" ref="D241:G241" si="35">D240/$H$240</f>
        <v>0.40003682745583979</v>
      </c>
      <c r="E241" s="49">
        <f t="shared" si="35"/>
        <v>0.39581578179640969</v>
      </c>
      <c r="F241" s="49">
        <f t="shared" si="35"/>
        <v>0.39356442495197846</v>
      </c>
      <c r="G241" s="49">
        <f t="shared" si="35"/>
        <v>0.39138373836081436</v>
      </c>
      <c r="H241" s="38"/>
      <c r="Q241" s="50"/>
      <c r="R241" s="51"/>
      <c r="S241" s="51"/>
      <c r="T241" s="50"/>
      <c r="U241" s="50"/>
      <c r="W241" s="30"/>
      <c r="X241" s="30"/>
      <c r="Y241" s="30"/>
      <c r="Z241" s="30"/>
      <c r="AA241" s="30"/>
      <c r="AB241" s="30"/>
      <c r="AC241" s="28"/>
      <c r="AD241" s="28"/>
      <c r="AE241" s="28"/>
      <c r="AF241" s="63"/>
    </row>
    <row r="242" spans="1:34" ht="34" customHeight="1" x14ac:dyDescent="0.2">
      <c r="C242" s="30"/>
      <c r="D242" s="30"/>
      <c r="E242" s="30"/>
      <c r="F242" s="30"/>
      <c r="G242" s="30"/>
      <c r="H242" s="30"/>
      <c r="Q242" s="48">
        <f>SUMPRODUCT(FORESTS2[Net_Gain])</f>
        <v>0</v>
      </c>
      <c r="S242" s="54">
        <f>FORESTS2[[#Totals],[GAIN  only]]/FORESTS2[[#Totals],[LOSS only]]</f>
        <v>0.50318974113343906</v>
      </c>
      <c r="U242" s="48"/>
      <c r="W242" s="30"/>
      <c r="X242" s="30"/>
      <c r="Y242" s="30"/>
      <c r="Z242" s="30"/>
      <c r="AA242" s="30"/>
      <c r="AB242" s="30"/>
      <c r="AC242" s="28"/>
      <c r="AD242" s="28"/>
      <c r="AE242" s="28"/>
      <c r="AF242" s="28"/>
      <c r="AG242" s="28">
        <f>SUM(AG4:AG125)</f>
        <v>52</v>
      </c>
    </row>
    <row r="243" spans="1:34" x14ac:dyDescent="0.2">
      <c r="A243" s="58" t="s">
        <v>315</v>
      </c>
      <c r="B243" s="70" t="str">
        <f>"Countries: " &amp; COUNT(FORESTS2[ID])</f>
        <v>Countries: 236</v>
      </c>
      <c r="C243" s="38">
        <f>SUM(FORESTS2[Area_1990])</f>
        <v>4236433.4200000018</v>
      </c>
      <c r="D243" s="38">
        <f>SUM(FORESTS2[Area_2000])</f>
        <v>4158049.5200000033</v>
      </c>
      <c r="E243" s="38">
        <f>SUM(FORESTS2[Area_2010])</f>
        <v>4106316.9400000027</v>
      </c>
      <c r="F243" s="38">
        <f>SUM(FORESTS2[Area_2015])</f>
        <v>4083867.4800000028</v>
      </c>
      <c r="G243" s="38">
        <f>SUM(FORESTS2[Area_2020])</f>
        <v>4058930.8099999982</v>
      </c>
      <c r="H243" s="38">
        <f>SUM(FORESTS2[Total_Land])</f>
        <v>13038546.750002002</v>
      </c>
      <c r="I243" s="71">
        <f>AVERAGE(FORESTS2[Area_1990_%])</f>
        <v>0.32717775115555392</v>
      </c>
      <c r="J243" s="71">
        <f>AVERAGE(FORESTS2[Area_2000_%])</f>
        <v>0.32248685808495459</v>
      </c>
      <c r="K243" s="71">
        <f>AVERAGE(FORESTS2[Area_2010_%])</f>
        <v>0.31984397766672223</v>
      </c>
      <c r="L243" s="71">
        <f>AVERAGE(FORESTS2[Area_2015_%])</f>
        <v>0.31815666372505924</v>
      </c>
      <c r="M243" s="71">
        <f>AVERAGE(FORESTS2[Area_2020_%])</f>
        <v>0.31576096035913093</v>
      </c>
      <c r="N243" s="38"/>
      <c r="O243" s="38"/>
      <c r="P243" s="71"/>
      <c r="Q243" s="75">
        <f>COUNTIF(Q4:Q239, "=TRUE")</f>
        <v>91</v>
      </c>
      <c r="R243" s="38">
        <f>SUM(FORESTS2[GAIN  only])</f>
        <v>122154.39999999997</v>
      </c>
      <c r="S243" s="38">
        <f>SUM(FORESTS2[LOSS only])</f>
        <v>299657.01</v>
      </c>
      <c r="U243" s="48"/>
      <c r="W243" s="30"/>
      <c r="X243" s="30">
        <f>COUNTIF(X2:X237, "&gt;0")</f>
        <v>76</v>
      </c>
      <c r="Y243" s="30"/>
      <c r="Z243" s="30"/>
      <c r="AA243" s="30"/>
      <c r="AB243" s="30"/>
      <c r="AC243" s="28"/>
      <c r="AD243" s="28"/>
      <c r="AE243" s="28"/>
      <c r="AF243" s="28"/>
    </row>
    <row r="244" spans="1:34" x14ac:dyDescent="0.2">
      <c r="B244" s="28">
        <f>COUNT(FORESTS2[ID])</f>
        <v>236</v>
      </c>
      <c r="C244" s="49">
        <f>C243/$H$243</f>
        <v>0.32491607394814542</v>
      </c>
      <c r="D244" s="49">
        <f>D243/$H$243</f>
        <v>0.31890436869426148</v>
      </c>
      <c r="E244" s="49">
        <f>E243/$H$243</f>
        <v>0.31493670412305513</v>
      </c>
      <c r="F244" s="49">
        <f>F243/$H$243</f>
        <v>0.31321492788292343</v>
      </c>
      <c r="G244" s="49">
        <f>G243/$H$243</f>
        <v>0.3113023934204458</v>
      </c>
      <c r="H244" s="71"/>
      <c r="S244" s="54">
        <f>R243/S243</f>
        <v>0.40764739660186811</v>
      </c>
      <c r="U244" s="48"/>
      <c r="W244" s="30"/>
      <c r="X244" s="30"/>
      <c r="Y244" s="30"/>
      <c r="Z244" s="30"/>
      <c r="AA244" s="30"/>
      <c r="AB244" s="30"/>
      <c r="AC244" s="28"/>
      <c r="AD244" s="28"/>
      <c r="AE244" s="28"/>
      <c r="AF244" s="28"/>
    </row>
    <row r="246" spans="1:34" x14ac:dyDescent="0.2">
      <c r="B246" s="28" t="s">
        <v>316</v>
      </c>
      <c r="C246" s="46">
        <v>1990</v>
      </c>
      <c r="D246" s="46">
        <v>2000</v>
      </c>
      <c r="E246" s="46">
        <v>2010</v>
      </c>
      <c r="F246" s="46">
        <v>2015</v>
      </c>
      <c r="G246" s="46">
        <v>2020</v>
      </c>
      <c r="AC246" s="70">
        <v>2000</v>
      </c>
      <c r="AD246" s="70">
        <v>2010</v>
      </c>
      <c r="AE246" s="70">
        <v>2015</v>
      </c>
      <c r="AF246" s="70">
        <v>2020</v>
      </c>
      <c r="AH246" s="28" t="s">
        <v>316</v>
      </c>
    </row>
    <row r="252" spans="1:34" x14ac:dyDescent="0.2">
      <c r="S252" s="51">
        <v>5267.130000000001</v>
      </c>
    </row>
    <row r="253" spans="1:34" x14ac:dyDescent="0.2">
      <c r="S253" s="51">
        <v>1184</v>
      </c>
    </row>
    <row r="254" spans="1:34" x14ac:dyDescent="0.2">
      <c r="S254" s="51">
        <v>4667.5099999999984</v>
      </c>
    </row>
    <row r="255" spans="1:34" x14ac:dyDescent="0.2">
      <c r="S255" s="51">
        <v>1233</v>
      </c>
    </row>
    <row r="256" spans="1:34" x14ac:dyDescent="0.2">
      <c r="S256" s="51">
        <v>1976.3799999999992</v>
      </c>
    </row>
    <row r="257" spans="19:19" x14ac:dyDescent="0.2">
      <c r="S257" s="51">
        <v>62837.59</v>
      </c>
    </row>
    <row r="258" spans="19:19" x14ac:dyDescent="0.2">
      <c r="S258" s="51">
        <v>2817</v>
      </c>
    </row>
    <row r="259" spans="19:19" x14ac:dyDescent="0.2">
      <c r="S259" s="51">
        <v>2964.6500000000015</v>
      </c>
    </row>
    <row r="260" spans="19:19" x14ac:dyDescent="0.2">
      <c r="S260" s="51">
        <v>2436.880000000001</v>
      </c>
    </row>
    <row r="261" spans="19:19" x14ac:dyDescent="0.2">
      <c r="S261" s="51">
        <v>8222</v>
      </c>
    </row>
    <row r="262" spans="19:19" x14ac:dyDescent="0.2">
      <c r="S262" s="51">
        <v>1140.29</v>
      </c>
    </row>
    <row r="263" spans="19:19" x14ac:dyDescent="0.2">
      <c r="S263" s="51">
        <v>1675.8100000000013</v>
      </c>
    </row>
    <row r="264" spans="19:19" x14ac:dyDescent="0.2">
      <c r="S264" s="51">
        <v>7345</v>
      </c>
    </row>
    <row r="265" spans="19:19" x14ac:dyDescent="0.2">
      <c r="S265" s="51">
        <v>6361.6999999999534</v>
      </c>
    </row>
    <row r="266" spans="19:19" x14ac:dyDescent="0.2">
      <c r="S266" s="51">
        <f>SUM(S252:S265)</f>
        <v>110128.93999999996</v>
      </c>
    </row>
  </sheetData>
  <conditionalFormatting sqref="X4:AB239">
    <cfRule type="cellIs" dxfId="66" priority="1" operator="lessThan">
      <formula>0</formula>
    </cfRule>
  </conditionalFormatting>
  <pageMargins left="0.7" right="0.7" top="0.75" bottom="0.75" header="0.3" footer="0.3"/>
  <pageSetup scale="51" orientation="landscape" horizontalDpi="0" verticalDpi="0"/>
  <drawing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F79C6F59-26F2-2B4A-9BDF-2CA8FF6370E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'data (2)'!AG4:AG70</xm:f>
              <xm:sqref>AG4</xm:sqref>
            </x14:sparkline>
            <x14:sparkline>
              <xm:f>'data (2)'!AG23:AG89</xm:f>
              <xm:sqref>AG23</xm:sqref>
            </x14:sparkline>
            <x14:sparkline>
              <xm:f>'data (2)'!AG24:AG90</xm:f>
              <xm:sqref>AG24</xm:sqref>
            </x14:sparkline>
            <x14:sparkline>
              <xm:f>'data (2)'!AG29:AG95</xm:f>
              <xm:sqref>AG29</xm:sqref>
            </x14:sparkline>
            <x14:sparkline>
              <xm:f>'data (2)'!AG32:AG98</xm:f>
              <xm:sqref>AG32</xm:sqref>
            </x14:sparkline>
            <x14:sparkline>
              <xm:f>'data (2)'!AG39:AG105</xm:f>
              <xm:sqref>AG39</xm:sqref>
            </x14:sparkline>
            <x14:sparkline>
              <xm:f>'data (2)'!AG45:AG111</xm:f>
              <xm:sqref>AG45</xm:sqref>
            </x14:sparkline>
            <x14:sparkline>
              <xm:f>'data (2)'!AG49:AG115</xm:f>
              <xm:sqref>AG49</xm:sqref>
            </x14:sparkline>
            <x14:sparkline>
              <xm:f>'data (2)'!AG50:AG116</xm:f>
              <xm:sqref>AG50</xm:sqref>
            </x14:sparkline>
            <x14:sparkline>
              <xm:f>'data (2)'!AG51:AG117</xm:f>
              <xm:sqref>AG51</xm:sqref>
            </x14:sparkline>
            <x14:sparkline>
              <xm:f>'data (2)'!AG54:AG120</xm:f>
              <xm:sqref>AG54</xm:sqref>
            </x14:sparkline>
            <x14:sparkline>
              <xm:f>'data (2)'!AG56:AG122</xm:f>
              <xm:sqref>AG56</xm:sqref>
            </x14:sparkline>
            <x14:sparkline>
              <xm:f>'data (2)'!AG57:AG123</xm:f>
              <xm:sqref>AG57</xm:sqref>
            </x14:sparkline>
            <x14:sparkline>
              <xm:f>'data (2)'!AG58:AG124</xm:f>
              <xm:sqref>AG58</xm:sqref>
            </x14:sparkline>
            <x14:sparkline>
              <xm:f>'data (2)'!AG59:AG125</xm:f>
              <xm:sqref>AG59</xm:sqref>
            </x14:sparkline>
            <x14:sparkline>
              <xm:f>'data (2)'!AG63:AG130</xm:f>
              <xm:sqref>AG63</xm:sqref>
            </x14:sparkline>
            <x14:sparkline>
              <xm:f>'data (2)'!AG64:AG131</xm:f>
              <xm:sqref>AG64</xm:sqref>
            </x14:sparkline>
            <x14:sparkline>
              <xm:f>'data (2)'!AG66:AG133</xm:f>
              <xm:sqref>AG66</xm:sqref>
            </x14:sparkline>
            <x14:sparkline>
              <xm:f>'data (2)'!AG67:AG134</xm:f>
              <xm:sqref>AG67</xm:sqref>
            </x14:sparkline>
            <x14:sparkline>
              <xm:f>'data (2)'!AG70:AG137</xm:f>
              <xm:sqref>AG70</xm:sqref>
            </x14:sparkline>
            <x14:sparkline>
              <xm:f>'data (2)'!AG75:AG142</xm:f>
              <xm:sqref>AG75</xm:sqref>
            </x14:sparkline>
            <x14:sparkline>
              <xm:f>'data (2)'!AG76:AG143</xm:f>
              <xm:sqref>AG76</xm:sqref>
            </x14:sparkline>
            <x14:sparkline>
              <xm:f>'data (2)'!AG77:AG144</xm:f>
              <xm:sqref>AG77</xm:sqref>
            </x14:sparkline>
            <x14:sparkline>
              <xm:f>'data (2)'!AG78:AG145</xm:f>
              <xm:sqref>AG78</xm:sqref>
            </x14:sparkline>
            <x14:sparkline>
              <xm:f>'data (2)'!AG80:AG147</xm:f>
              <xm:sqref>AG80</xm:sqref>
            </x14:sparkline>
            <x14:sparkline>
              <xm:f>'data (2)'!AG83:AG150</xm:f>
              <xm:sqref>AG83</xm:sqref>
            </x14:sparkline>
            <x14:sparkline>
              <xm:f>'data (2)'!AG84:AG151</xm:f>
              <xm:sqref>AG84</xm:sqref>
            </x14:sparkline>
            <x14:sparkline>
              <xm:f>'data (2)'!AG86:AG153</xm:f>
              <xm:sqref>AG86</xm:sqref>
            </x14:sparkline>
            <x14:sparkline>
              <xm:f>'data (2)'!AG87:AG154</xm:f>
              <xm:sqref>AG87</xm:sqref>
            </x14:sparkline>
            <x14:sparkline>
              <xm:f>'data (2)'!AG89:AG156</xm:f>
              <xm:sqref>AG89</xm:sqref>
            </x14:sparkline>
            <x14:sparkline>
              <xm:f>'data (2)'!AG95:AG162</xm:f>
              <xm:sqref>AG95</xm:sqref>
            </x14:sparkline>
            <x14:sparkline>
              <xm:f>'data (2)'!AG96:AG163</xm:f>
              <xm:sqref>AG96</xm:sqref>
            </x14:sparkline>
            <x14:sparkline>
              <xm:f>'data (2)'!AG97:AG164</xm:f>
              <xm:sqref>AG97</xm:sqref>
            </x14:sparkline>
            <x14:sparkline>
              <xm:f>'data (2)'!AG98:AG165</xm:f>
              <xm:sqref>AG98</xm:sqref>
            </x14:sparkline>
            <x14:sparkline>
              <xm:f>'data (2)'!AG99:AG166</xm:f>
              <xm:sqref>AG99</xm:sqref>
            </x14:sparkline>
            <x14:sparkline>
              <xm:f>'data (2)'!AG101:AG168</xm:f>
              <xm:sqref>AG101</xm:sqref>
            </x14:sparkline>
            <x14:sparkline>
              <xm:f>'data (2)'!AG102:AG169</xm:f>
              <xm:sqref>AG102</xm:sqref>
            </x14:sparkline>
            <x14:sparkline>
              <xm:f>'data (2)'!AG104:AG171</xm:f>
              <xm:sqref>AG104</xm:sqref>
            </x14:sparkline>
            <x14:sparkline>
              <xm:f>'data (2)'!AG108:AG175</xm:f>
              <xm:sqref>AG108</xm:sqref>
            </x14:sparkline>
            <x14:sparkline>
              <xm:f>'data (2)'!AG109:AG176</xm:f>
              <xm:sqref>AG109</xm:sqref>
            </x14:sparkline>
            <x14:sparkline>
              <xm:f>'data (2)'!AG110:AG177</xm:f>
              <xm:sqref>AG110</xm:sqref>
            </x14:sparkline>
            <x14:sparkline>
              <xm:f>'data (2)'!AG111:AG178</xm:f>
              <xm:sqref>AG111</xm:sqref>
            </x14:sparkline>
            <x14:sparkline>
              <xm:f>'data (2)'!AG113:AG180</xm:f>
              <xm:sqref>AG113</xm:sqref>
            </x14:sparkline>
            <x14:sparkline>
              <xm:f>'data (2)'!AG114:AG181</xm:f>
              <xm:sqref>AG114</xm:sqref>
            </x14:sparkline>
            <x14:sparkline>
              <xm:f>'data (2)'!AG116:AG183</xm:f>
              <xm:sqref>AG116</xm:sqref>
            </x14:sparkline>
            <x14:sparkline>
              <xm:f>'data (2)'!AG118:AG185</xm:f>
              <xm:sqref>AG118</xm:sqref>
            </x14:sparkline>
            <x14:sparkline>
              <xm:f>'data (2)'!AG119:AG186</xm:f>
              <xm:sqref>AG119</xm:sqref>
            </x14:sparkline>
            <x14:sparkline>
              <xm:f>'data (2)'!AG121:AG188</xm:f>
              <xm:sqref>AG121</xm:sqref>
            </x14:sparkline>
            <x14:sparkline>
              <xm:f>'data (2)'!AG122:AG189</xm:f>
              <xm:sqref>AG122</xm:sqref>
            </x14:sparkline>
            <x14:sparkline>
              <xm:f>'data (2)'!AG123:AG190</xm:f>
              <xm:sqref>AG123</xm:sqref>
            </x14:sparkline>
            <x14:sparkline>
              <xm:f>'data (2)'!AG124:AG191</xm:f>
              <xm:sqref>AG124</xm:sqref>
            </x14:sparkline>
            <x14:sparkline>
              <xm:f>'data (2)'!AG125:AG192</xm:f>
              <xm:sqref>AG125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C540-4991-0E48-9235-D6F759FB1DE9}">
  <sheetPr codeName="Sheet3"/>
  <dimension ref="A1:W157"/>
  <sheetViews>
    <sheetView zoomScale="150" zoomScaleNormal="150" workbookViewId="0">
      <selection activeCell="I4" sqref="I4"/>
    </sheetView>
  </sheetViews>
  <sheetFormatPr baseColWidth="10" defaultRowHeight="16" x14ac:dyDescent="0.2"/>
  <cols>
    <col min="6" max="9" width="12" customWidth="1"/>
    <col min="10" max="11" width="12" style="91" customWidth="1"/>
    <col min="12" max="13" width="12" customWidth="1"/>
    <col min="16" max="16" width="12.83203125" customWidth="1"/>
  </cols>
  <sheetData>
    <row r="1" spans="1:23" x14ac:dyDescent="0.2">
      <c r="A1" s="76"/>
      <c r="B1" s="76"/>
      <c r="C1" s="76"/>
      <c r="D1" s="76"/>
      <c r="E1" s="76"/>
      <c r="F1" s="77" t="s">
        <v>336</v>
      </c>
      <c r="G1" s="78" t="s">
        <v>334</v>
      </c>
      <c r="H1" s="78" t="s">
        <v>337</v>
      </c>
      <c r="I1" s="78" t="s">
        <v>351</v>
      </c>
      <c r="J1" s="87" t="s">
        <v>335</v>
      </c>
      <c r="K1" s="87" t="s">
        <v>338</v>
      </c>
      <c r="L1" s="78" t="s">
        <v>339</v>
      </c>
      <c r="M1" s="78" t="s">
        <v>340</v>
      </c>
      <c r="N1" s="76"/>
      <c r="O1" s="76"/>
      <c r="P1" s="81" t="s">
        <v>345</v>
      </c>
      <c r="Q1" s="76"/>
      <c r="R1" s="76"/>
      <c r="S1" s="76"/>
      <c r="V1" s="85" t="s">
        <v>348</v>
      </c>
    </row>
    <row r="2" spans="1:23" x14ac:dyDescent="0.2">
      <c r="A2" s="79"/>
      <c r="B2" s="79"/>
      <c r="C2" s="79"/>
      <c r="D2" s="79"/>
      <c r="E2" s="79"/>
      <c r="F2" s="80" t="s">
        <v>341</v>
      </c>
      <c r="G2" s="80" t="s">
        <v>342</v>
      </c>
      <c r="H2" s="80" t="s">
        <v>342</v>
      </c>
      <c r="I2" s="80" t="s">
        <v>352</v>
      </c>
      <c r="J2" s="88" t="s">
        <v>343</v>
      </c>
      <c r="K2" s="88" t="s">
        <v>343</v>
      </c>
      <c r="L2" s="80" t="s">
        <v>344</v>
      </c>
      <c r="M2" s="80" t="s">
        <v>344</v>
      </c>
      <c r="N2" s="76"/>
      <c r="O2" s="76"/>
      <c r="P2" s="83">
        <v>5.0000578703703704</v>
      </c>
      <c r="Q2" s="76"/>
      <c r="R2" s="76"/>
      <c r="S2" s="76"/>
      <c r="V2" t="s">
        <v>349</v>
      </c>
      <c r="W2" s="86" cm="1">
        <f t="array" ref="W2">_xlfn.LAMBDA(_xlpm.s0,_xlpm.v,_xlpm.t, _xlpm.s0 + _xlpm.v * _xlpm.t )(1,1,$P$2)</f>
        <v>6.0000578703703704</v>
      </c>
    </row>
    <row r="3" spans="1:23" x14ac:dyDescent="0.2">
      <c r="A3" s="79">
        <v>1</v>
      </c>
      <c r="B3" s="79">
        <v>2</v>
      </c>
      <c r="C3" s="79">
        <v>3</v>
      </c>
      <c r="D3" s="79"/>
      <c r="E3" s="82" t="s">
        <v>347</v>
      </c>
      <c r="F3" s="79">
        <v>0</v>
      </c>
      <c r="G3" s="79">
        <v>0</v>
      </c>
      <c r="H3" s="79">
        <v>0</v>
      </c>
      <c r="I3" s="79">
        <v>90</v>
      </c>
      <c r="J3" s="89">
        <v>0</v>
      </c>
      <c r="K3" s="89">
        <v>0</v>
      </c>
      <c r="L3" s="79">
        <v>0.1</v>
      </c>
      <c r="M3" s="76">
        <v>10</v>
      </c>
      <c r="N3" s="76"/>
      <c r="O3" s="76"/>
      <c r="P3" s="81" t="s">
        <v>346</v>
      </c>
      <c r="Q3" s="76"/>
      <c r="R3" s="76"/>
      <c r="S3" s="76"/>
      <c r="V3" t="s">
        <v>350</v>
      </c>
      <c r="W3" cm="1">
        <f t="array" ref="W3">_xlfn.LAMBDA(_xlpm.v0,_xlpm.a,_xlpm.t, _xlpm.v0 + _xlpm.a * _xlpm.t)(0, 9.8, 1)</f>
        <v>9.8000000000000007</v>
      </c>
    </row>
    <row r="4" spans="1:23" x14ac:dyDescent="0.2">
      <c r="A4" s="79">
        <v>4</v>
      </c>
      <c r="B4" s="79">
        <v>5</v>
      </c>
      <c r="C4" s="79">
        <v>6</v>
      </c>
      <c r="D4" s="79"/>
      <c r="E4" s="79"/>
      <c r="F4" s="84">
        <f>F3+$P$2</f>
        <v>5.0000578703703704</v>
      </c>
      <c r="G4" s="90" cm="1">
        <f t="array" ref="G4">Displacement(G3,J3,$P$2)</f>
        <v>0</v>
      </c>
      <c r="H4" s="90" cm="1">
        <f t="array" ref="H4">Displacement(H3,K3,$P$2)</f>
        <v>0</v>
      </c>
      <c r="I4" s="90" t="e">
        <f>ATAN2( (H4-H3), (G4-G3) )</f>
        <v>#DIV/0!</v>
      </c>
      <c r="J4" s="90" cm="1">
        <f t="array" ref="J4">Velocity(J3, L3, $P$2)</f>
        <v>0.50000578703703702</v>
      </c>
      <c r="K4" s="90" cm="1">
        <f t="array" ref="K4">Velocity(K3, M3, $P$2)</f>
        <v>50.000578703703702</v>
      </c>
      <c r="L4" s="89">
        <f>L3</f>
        <v>0.1</v>
      </c>
      <c r="M4" s="90">
        <f>M3</f>
        <v>10</v>
      </c>
      <c r="N4" s="76"/>
      <c r="O4" s="76"/>
      <c r="P4" s="76"/>
      <c r="Q4" s="76"/>
      <c r="R4" s="76"/>
      <c r="S4" s="76"/>
      <c r="V4" t="s">
        <v>353</v>
      </c>
    </row>
    <row r="5" spans="1:23" x14ac:dyDescent="0.2">
      <c r="A5" s="79">
        <v>7</v>
      </c>
      <c r="B5" s="79">
        <v>8</v>
      </c>
      <c r="C5" s="79">
        <v>9</v>
      </c>
      <c r="D5" s="79"/>
      <c r="E5" s="79"/>
      <c r="F5" s="84">
        <f t="shared" ref="F5:F56" si="0">F4+$P$2</f>
        <v>10.000115740740741</v>
      </c>
      <c r="G5" s="90" cm="1">
        <f t="array" ref="G5">Displacement(G4,J4,$P$2)</f>
        <v>2.5000578707052683</v>
      </c>
      <c r="H5" s="90" cm="1">
        <f t="array" ref="H5">Displacement(H4,K4,$P$2)</f>
        <v>250.00578707052682</v>
      </c>
      <c r="I5" s="90">
        <f>DEGREES((ATAN2((H5-H4),(G5-G4))))</f>
        <v>0.57293869768348593</v>
      </c>
      <c r="J5" s="90" cm="1">
        <f t="array" ref="J5">Velocity(J4, L4, $P$2)</f>
        <v>1.000011574074074</v>
      </c>
      <c r="K5" s="90" cm="1">
        <f t="array" ref="K5">Velocity(K4, M4, $P$2)</f>
        <v>100.0011574074074</v>
      </c>
      <c r="L5" s="89">
        <f t="shared" ref="L5:L6" si="1">L4</f>
        <v>0.1</v>
      </c>
      <c r="M5" s="90">
        <f t="shared" ref="M5:M54" si="2">M4</f>
        <v>10</v>
      </c>
      <c r="N5" s="76"/>
      <c r="O5" s="76"/>
      <c r="P5" s="76"/>
      <c r="Q5" s="76"/>
      <c r="R5" s="76"/>
      <c r="S5" s="76"/>
      <c r="W5" t="s">
        <v>354</v>
      </c>
    </row>
    <row r="6" spans="1:23" x14ac:dyDescent="0.2">
      <c r="A6" s="79"/>
      <c r="B6" s="79"/>
      <c r="C6" s="79"/>
      <c r="D6" s="79"/>
      <c r="E6" s="79"/>
      <c r="F6" s="84">
        <f t="shared" si="0"/>
        <v>15.000173611111112</v>
      </c>
      <c r="G6" s="90" cm="1">
        <f t="array" ref="G6">Displacement(G5,J5,$P$2)</f>
        <v>7.5001736121158054</v>
      </c>
      <c r="H6" s="90" cm="1">
        <f t="array" ref="H6">Displacement(H5,K5,$P$2)</f>
        <v>750.01736121158046</v>
      </c>
      <c r="I6" s="90">
        <f t="shared" ref="I6:I42" si="3">DEGREES(ATAN(H6-H5)/(G6-G5))</f>
        <v>17.976666120318885</v>
      </c>
      <c r="J6" s="90" cm="1">
        <f t="array" ref="J6">Velocity(J5, L5, $P$2)</f>
        <v>1.5000173611111109</v>
      </c>
      <c r="K6" s="90" cm="1">
        <f t="array" ref="K6">Velocity(K5, M5, $P$2)</f>
        <v>150.00173611111111</v>
      </c>
      <c r="L6" s="89">
        <f t="shared" si="1"/>
        <v>0.1</v>
      </c>
      <c r="M6" s="90">
        <f t="shared" si="2"/>
        <v>10</v>
      </c>
      <c r="N6" s="76"/>
      <c r="O6" s="76"/>
      <c r="P6" s="76"/>
      <c r="Q6" s="76"/>
      <c r="R6" s="76"/>
      <c r="S6" s="76"/>
      <c r="W6" s="92" t="s">
        <v>355</v>
      </c>
    </row>
    <row r="7" spans="1:23" x14ac:dyDescent="0.2">
      <c r="A7" s="79"/>
      <c r="B7" s="79"/>
      <c r="C7" s="79"/>
      <c r="D7" s="79"/>
      <c r="E7" s="79"/>
      <c r="F7" s="84">
        <f t="shared" si="0"/>
        <v>20.000231481481482</v>
      </c>
      <c r="G7" s="90" cm="1">
        <f t="array" ref="G7">Displacement(G6,J6,$P$2)</f>
        <v>15.000347224231611</v>
      </c>
      <c r="H7" s="90" cm="1">
        <f t="array" ref="H7">Displacement(H6,K6,$P$2)</f>
        <v>1500.0347224231609</v>
      </c>
      <c r="I7" s="90">
        <f t="shared" si="3"/>
        <v>11.989536788278889</v>
      </c>
      <c r="J7" s="90" cm="1">
        <f t="array" ref="J7">Velocity(J6, L6, $P$2)</f>
        <v>2.0000231481481481</v>
      </c>
      <c r="K7" s="90" cm="1">
        <f t="array" ref="K7">Velocity(K6, M6, $P$2)</f>
        <v>200.00231481481481</v>
      </c>
      <c r="L7" s="89">
        <v>0.3</v>
      </c>
      <c r="M7" s="90">
        <f t="shared" si="2"/>
        <v>10</v>
      </c>
      <c r="N7" s="76"/>
      <c r="O7" s="76"/>
      <c r="P7" s="76"/>
      <c r="Q7" s="76"/>
      <c r="R7" s="76"/>
      <c r="S7" s="76"/>
      <c r="W7" s="92">
        <f>_xlfn.LET(_xlpm.x_0, G4, _xlpm.x_1, G5, _xlpm.z_0, H4, _xlpm.z_1, H5, _xlpm.dX, _xlpm.x_1 - _xlpm.x_0, _xlpm.dZ, _xlpm.z_1 - _xlpm.z_0,  _xlpm.AOA, ATAN2(_xlpm.dZ, _xlpm.dX ), DEGREES(_xlpm.AOA))</f>
        <v>0.57293869768348593</v>
      </c>
    </row>
    <row r="8" spans="1:23" x14ac:dyDescent="0.2">
      <c r="A8" s="79">
        <v>17</v>
      </c>
      <c r="B8" s="79">
        <v>29</v>
      </c>
      <c r="C8" s="79">
        <v>45</v>
      </c>
      <c r="D8" s="79"/>
      <c r="E8" s="79"/>
      <c r="F8" s="84">
        <f t="shared" si="0"/>
        <v>25.000289351851851</v>
      </c>
      <c r="G8" s="90" cm="1">
        <f t="array" ref="G8">Displacement(G7,J7,$P$2)</f>
        <v>25.000578707052682</v>
      </c>
      <c r="H8" s="90" cm="1">
        <f t="array" ref="H8">Displacement(H7,K7,$P$2)</f>
        <v>2500.0578707052682</v>
      </c>
      <c r="I8" s="90">
        <f t="shared" si="3"/>
        <v>8.9940623594924478</v>
      </c>
      <c r="J8" s="90" cm="1">
        <f t="array" ref="J8">Velocity(J7, L7, $P$2)</f>
        <v>3.500040509259259</v>
      </c>
      <c r="K8" s="90" cm="1">
        <f t="array" ref="K8">Velocity(K7, M7, $P$2)</f>
        <v>250.0028935185185</v>
      </c>
      <c r="L8" s="89">
        <f t="shared" ref="L8:L54" si="4">L7</f>
        <v>0.3</v>
      </c>
      <c r="M8" s="90">
        <f t="shared" si="2"/>
        <v>10</v>
      </c>
      <c r="N8" s="76"/>
      <c r="O8" s="76"/>
      <c r="P8" s="76"/>
      <c r="Q8" s="76"/>
      <c r="R8" s="76"/>
      <c r="S8" s="76"/>
    </row>
    <row r="9" spans="1:23" x14ac:dyDescent="0.2">
      <c r="A9" s="79"/>
      <c r="B9" s="79"/>
      <c r="C9" s="79"/>
      <c r="D9" s="79"/>
      <c r="E9" s="79"/>
      <c r="F9" s="84">
        <f t="shared" si="0"/>
        <v>30.000347222222221</v>
      </c>
      <c r="G9" s="90" cm="1">
        <f t="array" ref="G9">Displacement(G8,J8,$P$2)</f>
        <v>42.500983801989562</v>
      </c>
      <c r="H9" s="90" cm="1">
        <f t="array" ref="H9">Displacement(H8,K8,$P$2)</f>
        <v>3750.0868060579023</v>
      </c>
      <c r="I9" s="90">
        <f t="shared" si="3"/>
        <v>5.1401189834860972</v>
      </c>
      <c r="J9" s="90" cm="1">
        <f t="array" ref="J9">Velocity(J8, L8, $P$2)</f>
        <v>5.0000578703703704</v>
      </c>
      <c r="K9" s="90" cm="1">
        <f t="array" ref="K9">Velocity(K8, M8, $P$2)</f>
        <v>300.00347222222223</v>
      </c>
      <c r="L9" s="89">
        <f t="shared" si="4"/>
        <v>0.3</v>
      </c>
      <c r="M9" s="90">
        <v>6</v>
      </c>
      <c r="N9" s="76"/>
      <c r="O9" s="76"/>
      <c r="P9" s="76"/>
      <c r="Q9" s="76"/>
      <c r="R9" s="76"/>
      <c r="S9" s="76"/>
    </row>
    <row r="10" spans="1:23" x14ac:dyDescent="0.2">
      <c r="A10" s="79"/>
      <c r="B10" s="79"/>
      <c r="C10" s="79"/>
      <c r="D10" s="79"/>
      <c r="E10" s="79"/>
      <c r="F10" s="84">
        <f t="shared" si="0"/>
        <v>35.000405092592594</v>
      </c>
      <c r="G10" s="90" cm="1">
        <f t="array" ref="G10">Displacement(G9,J9,$P$2)</f>
        <v>67.501562509042245</v>
      </c>
      <c r="H10" s="90" cm="1">
        <f t="array" ref="H10">Displacement(H9,K9,$P$2)</f>
        <v>5250.1215284810633</v>
      </c>
      <c r="I10" s="90">
        <f t="shared" si="3"/>
        <v>3.5983888516195379</v>
      </c>
      <c r="J10" s="90" cm="1">
        <f t="array" ref="J10">Velocity(J9, L9, $P$2)</f>
        <v>6.5000752314814818</v>
      </c>
      <c r="K10" s="90" cm="1">
        <f t="array" ref="K10">Velocity(K9, M9, $P$2)</f>
        <v>330.00381944444445</v>
      </c>
      <c r="L10" s="89">
        <f t="shared" si="4"/>
        <v>0.3</v>
      </c>
      <c r="M10" s="90">
        <f t="shared" si="2"/>
        <v>6</v>
      </c>
      <c r="N10" s="76"/>
      <c r="O10" s="76"/>
      <c r="P10" s="76"/>
      <c r="Q10" s="76"/>
      <c r="R10" s="76"/>
      <c r="S10" s="76"/>
    </row>
    <row r="11" spans="1:23" x14ac:dyDescent="0.2">
      <c r="A11" s="79"/>
      <c r="B11" s="79"/>
      <c r="C11" s="79"/>
      <c r="D11" s="79"/>
      <c r="E11" s="79"/>
      <c r="F11" s="84">
        <f t="shared" si="0"/>
        <v>40.000462962962963</v>
      </c>
      <c r="G11" s="90" cm="1">
        <f t="array" ref="G11">Displacement(G10,J10,$P$2)</f>
        <v>100.00231482821073</v>
      </c>
      <c r="H11" s="90" cm="1">
        <f t="array" ref="H11">Displacement(H10,K10,$P$2)</f>
        <v>6900.1597231465403</v>
      </c>
      <c r="I11" s="90">
        <f t="shared" si="3"/>
        <v>2.7680982646095091</v>
      </c>
      <c r="J11" s="90" cm="1">
        <f t="array" ref="J11">Velocity(J10, L10, $P$2)</f>
        <v>8.0000925925925923</v>
      </c>
      <c r="K11" s="90" cm="1">
        <f t="array" ref="K11">Velocity(K10, M10, $P$2)</f>
        <v>360.00416666666666</v>
      </c>
      <c r="L11" s="89">
        <f t="shared" si="4"/>
        <v>0.3</v>
      </c>
      <c r="M11" s="90">
        <f t="shared" si="2"/>
        <v>6</v>
      </c>
      <c r="N11" s="76"/>
      <c r="O11" s="76"/>
      <c r="P11" s="76"/>
      <c r="Q11" s="76"/>
      <c r="R11" s="76"/>
      <c r="S11" s="76"/>
    </row>
    <row r="12" spans="1:23" x14ac:dyDescent="0.2">
      <c r="A12" s="79">
        <v>1</v>
      </c>
      <c r="B12" s="79">
        <v>2</v>
      </c>
      <c r="C12" s="79">
        <v>3</v>
      </c>
      <c r="D12" s="79"/>
      <c r="E12" s="79"/>
      <c r="F12" s="84">
        <f t="shared" si="0"/>
        <v>45.000520833333333</v>
      </c>
      <c r="G12" s="90" cm="1">
        <f t="array" ref="G12">Displacement(G11,J11,$P$2)</f>
        <v>140.00324075949501</v>
      </c>
      <c r="H12" s="90" cm="1">
        <f t="array" ref="H12">Displacement(H11,K11,$P$2)</f>
        <v>8700.2013900543334</v>
      </c>
      <c r="I12" s="90">
        <f t="shared" si="3"/>
        <v>2.2491521797776368</v>
      </c>
      <c r="J12" s="90" cm="1">
        <f t="array" ref="J12">Velocity(J11, L11, $P$2)</f>
        <v>9.5001099537037028</v>
      </c>
      <c r="K12" s="90" cm="1">
        <f t="array" ref="K12">Velocity(K11, M11, $P$2)</f>
        <v>390.00451388888888</v>
      </c>
      <c r="L12" s="89">
        <f t="shared" si="4"/>
        <v>0.3</v>
      </c>
      <c r="M12" s="90">
        <f t="shared" si="2"/>
        <v>6</v>
      </c>
      <c r="N12" s="76"/>
      <c r="O12" s="76"/>
      <c r="P12" s="76"/>
      <c r="Q12" s="76"/>
      <c r="R12" s="76"/>
      <c r="S12" s="76"/>
    </row>
    <row r="13" spans="1:23" x14ac:dyDescent="0.2">
      <c r="A13" s="79">
        <v>3</v>
      </c>
      <c r="B13" s="79">
        <v>6</v>
      </c>
      <c r="C13" s="79">
        <v>9</v>
      </c>
      <c r="D13" s="79"/>
      <c r="E13" s="79"/>
      <c r="F13" s="84">
        <f t="shared" si="0"/>
        <v>50.000578703703702</v>
      </c>
      <c r="G13" s="90" cm="1">
        <f t="array" ref="G13">Displacement(G12,J12,$P$2)</f>
        <v>187.50434030289512</v>
      </c>
      <c r="H13" s="90" cm="1">
        <f t="array" ref="H13">Displacement(H12,K12,$P$2)</f>
        <v>10650.246529204444</v>
      </c>
      <c r="I13" s="90">
        <f t="shared" si="3"/>
        <v>1.8940744339923687</v>
      </c>
      <c r="J13" s="90" cm="1">
        <f t="array" ref="J13">Velocity(J12, L12, $P$2)</f>
        <v>11.000127314814813</v>
      </c>
      <c r="K13" s="90" cm="1">
        <f t="array" ref="K13">Velocity(K12, M12, $P$2)</f>
        <v>420.0048611111111</v>
      </c>
      <c r="L13" s="89">
        <v>1.5</v>
      </c>
      <c r="M13" s="90">
        <f t="shared" si="2"/>
        <v>6</v>
      </c>
      <c r="N13" s="76"/>
      <c r="O13" s="76"/>
      <c r="P13" s="76"/>
      <c r="Q13" s="76"/>
      <c r="R13" s="76"/>
      <c r="S13" s="76"/>
    </row>
    <row r="14" spans="1:23" x14ac:dyDescent="0.2">
      <c r="A14" s="79"/>
      <c r="B14" s="79"/>
      <c r="C14" s="79"/>
      <c r="D14" s="79"/>
      <c r="E14" s="79"/>
      <c r="F14" s="84">
        <f t="shared" si="0"/>
        <v>55.000636574074072</v>
      </c>
      <c r="G14" s="90" cm="1">
        <f t="array" ref="G14">Displacement(G13,J13,$P$2)</f>
        <v>242.50561345841101</v>
      </c>
      <c r="H14" s="90" cm="1">
        <f t="array" ref="H14">Displacement(H13,K13,$P$2)</f>
        <v>12750.295140596869</v>
      </c>
      <c r="I14" s="90">
        <f t="shared" si="3"/>
        <v>1.6358297138811828</v>
      </c>
      <c r="J14" s="90" cm="1">
        <f t="array" ref="J14">Velocity(J13, L13, $P$2)</f>
        <v>18.500214120370369</v>
      </c>
      <c r="K14" s="90" cm="1">
        <f t="array" ref="K14">Velocity(K13, M13, $P$2)</f>
        <v>450.00520833333331</v>
      </c>
      <c r="L14" s="89">
        <f t="shared" si="4"/>
        <v>1.5</v>
      </c>
      <c r="M14" s="90">
        <f t="shared" si="2"/>
        <v>6</v>
      </c>
      <c r="N14" s="76"/>
      <c r="O14" s="76"/>
      <c r="P14" s="76"/>
      <c r="Q14" s="76"/>
      <c r="R14" s="76"/>
      <c r="S14" s="76"/>
    </row>
    <row r="15" spans="1:23" x14ac:dyDescent="0.2">
      <c r="A15" s="79">
        <v>1</v>
      </c>
      <c r="B15" s="79">
        <v>2</v>
      </c>
      <c r="C15" s="79">
        <v>3</v>
      </c>
      <c r="D15" s="79"/>
      <c r="E15" s="79"/>
      <c r="F15" s="84">
        <f t="shared" si="0"/>
        <v>60.000694444444441</v>
      </c>
      <c r="G15" s="90" cm="1">
        <f t="array" ref="G15">Displacement(G14,J14,$P$2)</f>
        <v>335.00775467450592</v>
      </c>
      <c r="H15" s="90" cm="1">
        <f t="array" ref="H15">Displacement(H14,K14,$P$2)</f>
        <v>15000.347224231609</v>
      </c>
      <c r="I15" s="90">
        <f t="shared" si="3"/>
        <v>0.97267516856765768</v>
      </c>
      <c r="J15" s="90" cm="1">
        <f t="array" ref="J15">Velocity(J14, L14, $P$2)</f>
        <v>26.000300925925927</v>
      </c>
      <c r="K15" s="90" cm="1">
        <f t="array" ref="K15">Velocity(K14, M14, $P$2)</f>
        <v>480.00555555555553</v>
      </c>
      <c r="L15" s="89">
        <f t="shared" si="4"/>
        <v>1.5</v>
      </c>
      <c r="M15" s="90">
        <f t="shared" si="2"/>
        <v>6</v>
      </c>
      <c r="N15" s="76"/>
      <c r="O15" s="76"/>
      <c r="P15" s="76"/>
      <c r="Q15" s="76"/>
      <c r="R15" s="76"/>
      <c r="S15" s="76"/>
    </row>
    <row r="16" spans="1:23" x14ac:dyDescent="0.2">
      <c r="A16" s="79"/>
      <c r="B16" s="79"/>
      <c r="C16" s="79"/>
      <c r="D16" s="79"/>
      <c r="E16" s="79"/>
      <c r="F16" s="84">
        <f t="shared" si="0"/>
        <v>65.000752314814818</v>
      </c>
      <c r="G16" s="90" cm="1">
        <f t="array" ref="G16">Displacement(G15,J15,$P$2)</f>
        <v>465.01076395117991</v>
      </c>
      <c r="H16" s="90" cm="1">
        <f t="array" ref="H16">Displacement(H15,K15,$P$2)</f>
        <v>17400.402780108667</v>
      </c>
      <c r="I16" s="90">
        <f t="shared" si="3"/>
        <v>0.69210803513817998</v>
      </c>
      <c r="J16" s="90" cm="1">
        <f t="array" ref="J16">Velocity(J15, L15, $P$2)</f>
        <v>33.500387731481482</v>
      </c>
      <c r="K16" s="90" cm="1">
        <f t="array" ref="K16">Velocity(K15, M15, $P$2)</f>
        <v>510.00590277777775</v>
      </c>
      <c r="L16" s="89">
        <f t="shared" si="4"/>
        <v>1.5</v>
      </c>
      <c r="M16" s="90">
        <f t="shared" si="2"/>
        <v>6</v>
      </c>
      <c r="N16" s="76"/>
      <c r="O16" s="76"/>
      <c r="P16" s="76"/>
      <c r="Q16" s="76"/>
      <c r="R16" s="76"/>
      <c r="S16" s="76"/>
    </row>
    <row r="17" spans="1:19" x14ac:dyDescent="0.2">
      <c r="A17" s="79">
        <v>4</v>
      </c>
      <c r="B17" s="79">
        <v>2</v>
      </c>
      <c r="C17" s="79">
        <v>1.3333330000000001</v>
      </c>
      <c r="D17" s="79">
        <v>1</v>
      </c>
      <c r="E17" s="79">
        <v>0.8</v>
      </c>
      <c r="F17" s="84">
        <f t="shared" si="0"/>
        <v>70.000810185185188</v>
      </c>
      <c r="G17" s="90" cm="1">
        <f t="array" ref="G17">Displacement(G16,J16,$P$2)</f>
        <v>632.51464128843293</v>
      </c>
      <c r="H17" s="90" cm="1">
        <f t="array" ref="H17">Displacement(H16,K16,$P$2)</f>
        <v>19950.461808228039</v>
      </c>
      <c r="I17" s="90">
        <f t="shared" si="3"/>
        <v>0.53716685857338908</v>
      </c>
      <c r="J17" s="90" cm="1">
        <f t="array" ref="J17">Velocity(J16, L16, $P$2)</f>
        <v>41.000474537037036</v>
      </c>
      <c r="K17" s="90" cm="1">
        <f t="array" ref="K17">Velocity(K16, M16, $P$2)</f>
        <v>540.00625000000002</v>
      </c>
      <c r="L17" s="89">
        <f>L16</f>
        <v>1.5</v>
      </c>
      <c r="M17" s="90">
        <f t="shared" si="2"/>
        <v>6</v>
      </c>
      <c r="N17" s="76"/>
      <c r="O17" s="76"/>
      <c r="P17" s="76"/>
      <c r="Q17" s="76"/>
      <c r="R17" s="76"/>
      <c r="S17" s="76"/>
    </row>
    <row r="18" spans="1:19" x14ac:dyDescent="0.2">
      <c r="A18" s="79">
        <v>12</v>
      </c>
      <c r="B18" s="79">
        <v>6</v>
      </c>
      <c r="C18" s="79">
        <v>4</v>
      </c>
      <c r="D18" s="79">
        <v>3</v>
      </c>
      <c r="E18" s="79">
        <v>2.4</v>
      </c>
      <c r="F18" s="84">
        <f t="shared" si="0"/>
        <v>75.000868055555557</v>
      </c>
      <c r="G18" s="90" cm="1">
        <f t="array" ref="G18">Displacement(G17,J17,$P$2)</f>
        <v>837.51938668626497</v>
      </c>
      <c r="H18" s="90" cm="1">
        <f t="array" ref="H18">Displacement(H17,K17,$P$2)</f>
        <v>22650.524308589731</v>
      </c>
      <c r="I18" s="90">
        <f t="shared" si="3"/>
        <v>0.43891071720554081</v>
      </c>
      <c r="J18" s="90" cm="1">
        <f t="array" ref="J18">Velocity(J17, L17, $P$2)</f>
        <v>48.50056134259259</v>
      </c>
      <c r="K18" s="90" cm="1">
        <f t="array" ref="K18">Velocity(K17, M17, $P$2)</f>
        <v>570.00659722222224</v>
      </c>
      <c r="L18" s="89">
        <f>L17</f>
        <v>1.5</v>
      </c>
      <c r="M18" s="90">
        <f t="shared" si="2"/>
        <v>6</v>
      </c>
      <c r="N18" s="76"/>
      <c r="O18" s="76"/>
      <c r="P18" s="76"/>
      <c r="Q18" s="76"/>
      <c r="R18" s="76"/>
      <c r="S18" s="76"/>
    </row>
    <row r="19" spans="1:19" x14ac:dyDescent="0.2">
      <c r="A19" s="79">
        <v>16</v>
      </c>
      <c r="B19" s="79">
        <v>8</v>
      </c>
      <c r="C19" s="79">
        <v>5.3333329999999997</v>
      </c>
      <c r="D19" s="79">
        <v>4</v>
      </c>
      <c r="E19" s="79">
        <v>3.2</v>
      </c>
      <c r="F19" s="84">
        <f t="shared" si="0"/>
        <v>80.000925925925927</v>
      </c>
      <c r="G19" s="90" cm="1">
        <f t="array" ref="G19">Displacement(G18,J18,$P$2)</f>
        <v>1080.0250001446759</v>
      </c>
      <c r="H19" s="90" cm="1">
        <f t="array" ref="H19">Displacement(H18,K18,$P$2)</f>
        <v>25500.590281193738</v>
      </c>
      <c r="I19" s="90">
        <f t="shared" si="3"/>
        <v>0.37104253134877735</v>
      </c>
      <c r="J19" s="90" cm="1">
        <f t="array" ref="J19">Velocity(J18, L18, $P$2)</f>
        <v>56.000648148148144</v>
      </c>
      <c r="K19" s="90" cm="1">
        <f t="array" ref="K19">Velocity(K18, M18, $P$2)</f>
        <v>600.00694444444446</v>
      </c>
      <c r="L19" s="89">
        <f t="shared" si="4"/>
        <v>1.5</v>
      </c>
      <c r="M19" s="90">
        <f t="shared" si="2"/>
        <v>6</v>
      </c>
      <c r="N19" s="76"/>
      <c r="O19" s="76"/>
      <c r="P19" s="76"/>
      <c r="Q19" s="76"/>
      <c r="R19" s="76"/>
      <c r="S19" s="76"/>
    </row>
    <row r="20" spans="1:19" x14ac:dyDescent="0.2">
      <c r="A20" s="79"/>
      <c r="B20" s="79"/>
      <c r="C20" s="79"/>
      <c r="D20" s="79"/>
      <c r="E20" s="79"/>
      <c r="F20" s="84">
        <f t="shared" si="0"/>
        <v>85.000983796296296</v>
      </c>
      <c r="G20" s="90" cm="1">
        <f t="array" ref="G20">Displacement(G19,J19,$P$2)</f>
        <v>1360.031481663666</v>
      </c>
      <c r="H20" s="90" cm="1">
        <f t="array" ref="H20">Displacement(H19,K19,$P$2)</f>
        <v>28500.659726040059</v>
      </c>
      <c r="I20" s="90">
        <f t="shared" si="3"/>
        <v>0.32135292498049961</v>
      </c>
      <c r="J20" s="90" cm="1">
        <f t="array" ref="J20">Velocity(J19, L19, $P$2)</f>
        <v>63.500734953703699</v>
      </c>
      <c r="K20" s="90" cm="1">
        <f t="array" ref="K20">Velocity(K19, M19, $P$2)</f>
        <v>630.00729166666667</v>
      </c>
      <c r="L20" s="89">
        <f>L19</f>
        <v>1.5</v>
      </c>
      <c r="M20" s="90">
        <f t="shared" si="2"/>
        <v>6</v>
      </c>
      <c r="N20" s="76"/>
      <c r="O20" s="76"/>
      <c r="P20" s="76"/>
      <c r="Q20" s="76"/>
      <c r="R20" s="76"/>
      <c r="S20" s="76"/>
    </row>
    <row r="21" spans="1:19" x14ac:dyDescent="0.2">
      <c r="A21" s="79"/>
      <c r="B21" s="79"/>
      <c r="C21" s="79"/>
      <c r="D21" s="79"/>
      <c r="E21" s="79"/>
      <c r="F21" s="84">
        <f t="shared" si="0"/>
        <v>90.001041666666666</v>
      </c>
      <c r="G21" s="90" cm="1">
        <f t="array" ref="G21">Displacement(G20,J20,$P$2)</f>
        <v>1677.5388312432351</v>
      </c>
      <c r="H21" s="90" cm="1">
        <f t="array" ref="H21">Displacement(H20,K20,$P$2)</f>
        <v>31650.732643128697</v>
      </c>
      <c r="I21" s="90">
        <f t="shared" si="3"/>
        <v>0.28340071939892281</v>
      </c>
      <c r="J21" s="90" cm="1">
        <f t="array" ref="J21">Velocity(J20, L20, $P$2)</f>
        <v>71.000821759259253</v>
      </c>
      <c r="K21" s="90" cm="1">
        <f t="array" ref="K21">Velocity(K20, M20, $P$2)</f>
        <v>660.00763888888889</v>
      </c>
      <c r="L21" s="89">
        <f t="shared" si="4"/>
        <v>1.5</v>
      </c>
      <c r="M21" s="90">
        <f t="shared" si="2"/>
        <v>6</v>
      </c>
      <c r="N21" s="76"/>
      <c r="O21" s="76"/>
      <c r="P21" s="76"/>
      <c r="Q21" s="76"/>
      <c r="R21" s="76"/>
      <c r="S21" s="76"/>
    </row>
    <row r="22" spans="1:19" x14ac:dyDescent="0.2">
      <c r="A22" s="79" t="s">
        <v>332</v>
      </c>
      <c r="B22" s="79" t="s">
        <v>333</v>
      </c>
      <c r="C22" s="79"/>
      <c r="D22" s="79"/>
      <c r="E22" s="79"/>
      <c r="F22" s="84">
        <f t="shared" si="0"/>
        <v>95.001099537037035</v>
      </c>
      <c r="G22" s="90" cm="1">
        <f t="array" ref="G22">Displacement(G21,J21,$P$2)</f>
        <v>2032.5470488833832</v>
      </c>
      <c r="H22" s="90" cm="1">
        <f t="array" ref="H22">Displacement(H21,K21,$P$2)</f>
        <v>34950.809032459649</v>
      </c>
      <c r="I22" s="90">
        <f t="shared" si="3"/>
        <v>0.25346635253444466</v>
      </c>
      <c r="J22" s="90" cm="1">
        <f t="array" ref="J22">Velocity(J21, L21, $P$2)</f>
        <v>78.500908564814807</v>
      </c>
      <c r="K22" s="90" cm="1">
        <f t="array" ref="K22">Velocity(K21, M21, $P$2)</f>
        <v>690.00798611111111</v>
      </c>
      <c r="L22" s="89">
        <f t="shared" si="4"/>
        <v>1.5</v>
      </c>
      <c r="M22" s="90">
        <f t="shared" si="2"/>
        <v>6</v>
      </c>
      <c r="N22" s="76"/>
      <c r="O22" s="76"/>
      <c r="P22" s="76"/>
      <c r="Q22" s="76"/>
      <c r="R22" s="76"/>
      <c r="S22" s="76"/>
    </row>
    <row r="23" spans="1:19" x14ac:dyDescent="0.2">
      <c r="A23" s="79">
        <v>10</v>
      </c>
      <c r="B23" s="79">
        <v>2</v>
      </c>
      <c r="C23" s="79"/>
      <c r="D23" s="79"/>
      <c r="E23" s="79"/>
      <c r="F23" s="84">
        <f t="shared" si="0"/>
        <v>100.0011574074074</v>
      </c>
      <c r="G23" s="90" cm="1">
        <f t="array" ref="G23">Displacement(G22,J22,$P$2)</f>
        <v>2425.0561345841102</v>
      </c>
      <c r="H23" s="90" cm="1">
        <f t="array" ref="H23">Displacement(H22,K22,$P$2)</f>
        <v>38400.88889403292</v>
      </c>
      <c r="I23" s="90">
        <f t="shared" si="3"/>
        <v>0.22925174522247077</v>
      </c>
      <c r="J23" s="90" cm="1">
        <f t="array" ref="J23">Velocity(J22, L22, $P$2)</f>
        <v>86.000995370370362</v>
      </c>
      <c r="K23" s="90" cm="1">
        <f t="array" ref="K23">Velocity(K22, M22, $P$2)</f>
        <v>720.00833333333333</v>
      </c>
      <c r="L23" s="89">
        <f t="shared" si="4"/>
        <v>1.5</v>
      </c>
      <c r="M23" s="90">
        <f t="shared" si="2"/>
        <v>6</v>
      </c>
      <c r="N23" s="76"/>
      <c r="O23" s="76"/>
      <c r="P23" s="76"/>
      <c r="Q23" s="76"/>
      <c r="R23" s="76"/>
      <c r="S23" s="76"/>
    </row>
    <row r="24" spans="1:19" x14ac:dyDescent="0.2">
      <c r="A24" s="79" t="str" cm="1">
        <f t="array" aca="1" ref="A24:B33" ca="1">_xlfn.MAKEARRAY(A23,B23,_xlfn.LAMBDA(_xlpm.row,_xlpm.col,CHOOSE(RANDBETWEEN(1,3),"Red","Blue","Green")))</f>
        <v>Red</v>
      </c>
      <c r="B24" s="79" t="str">
        <f ca="1"/>
        <v>Green</v>
      </c>
      <c r="C24" s="79"/>
      <c r="D24" s="79"/>
      <c r="E24" s="79"/>
      <c r="F24" s="84">
        <f t="shared" si="0"/>
        <v>105.00121527777777</v>
      </c>
      <c r="G24" s="90" cm="1">
        <f t="array" ref="G24">Displacement(G23,J23,$P$2)</f>
        <v>2855.0660883454161</v>
      </c>
      <c r="H24" s="90" cm="1">
        <f t="array" ref="H24">Displacement(H23,K23,$P$2)</f>
        <v>42000.972227848506</v>
      </c>
      <c r="I24" s="90">
        <f t="shared" si="3"/>
        <v>0.20926046964126135</v>
      </c>
      <c r="J24" s="90" cm="1">
        <f t="array" ref="J24">Velocity(J23, L23, $P$2)</f>
        <v>93.501082175925916</v>
      </c>
      <c r="K24" s="90" cm="1">
        <f t="array" ref="K24">Velocity(K23, M23, $P$2)</f>
        <v>750.00868055555554</v>
      </c>
      <c r="L24" s="89">
        <f t="shared" si="4"/>
        <v>1.5</v>
      </c>
      <c r="M24" s="90">
        <f t="shared" si="2"/>
        <v>6</v>
      </c>
      <c r="N24" s="76"/>
      <c r="O24" s="76"/>
      <c r="P24" s="76"/>
      <c r="Q24" s="76"/>
      <c r="R24" s="76"/>
      <c r="S24" s="76"/>
    </row>
    <row r="25" spans="1:19" x14ac:dyDescent="0.2">
      <c r="A25" s="79" t="str">
        <f ca="1"/>
        <v>Blue</v>
      </c>
      <c r="B25" s="79" t="str">
        <f ca="1"/>
        <v>Green</v>
      </c>
      <c r="C25" s="79"/>
      <c r="D25" s="79"/>
      <c r="E25" s="79"/>
      <c r="F25" s="84">
        <f t="shared" si="0"/>
        <v>110.00127314814814</v>
      </c>
      <c r="G25" s="90" cm="1">
        <f t="array" ref="G25">Displacement(G24,J24,$P$2)</f>
        <v>3322.5769101673013</v>
      </c>
      <c r="H25" s="90" cm="1">
        <f t="array" ref="H25">Displacement(H24,K24,$P$2)</f>
        <v>45751.059033906407</v>
      </c>
      <c r="I25" s="90">
        <f t="shared" si="3"/>
        <v>0.19247623216255666</v>
      </c>
      <c r="J25" s="90" cm="1">
        <f t="array" ref="J25">Velocity(J24, L24, $P$2)</f>
        <v>101.00116898148147</v>
      </c>
      <c r="K25" s="90" cm="1">
        <f t="array" ref="K25">Velocity(K24, M24, $P$2)</f>
        <v>780.00902777777776</v>
      </c>
      <c r="L25" s="89">
        <f t="shared" si="4"/>
        <v>1.5</v>
      </c>
      <c r="M25" s="90">
        <f t="shared" si="2"/>
        <v>6</v>
      </c>
      <c r="N25" s="76"/>
      <c r="O25" s="76"/>
      <c r="P25" s="76"/>
      <c r="Q25" s="76"/>
      <c r="R25" s="76"/>
      <c r="S25" s="76"/>
    </row>
    <row r="26" spans="1:19" x14ac:dyDescent="0.2">
      <c r="A26" s="79" t="str">
        <f ca="1"/>
        <v>Red</v>
      </c>
      <c r="B26" s="79" t="str">
        <f ca="1"/>
        <v>Blue</v>
      </c>
      <c r="C26" s="79"/>
      <c r="D26" s="79"/>
      <c r="E26" s="79"/>
      <c r="F26" s="84">
        <f t="shared" si="0"/>
        <v>115.00133101851851</v>
      </c>
      <c r="G26" s="90" cm="1">
        <f t="array" ref="G26">Displacement(G25,J25,$P$2)</f>
        <v>3827.5886000497653</v>
      </c>
      <c r="H26" s="90" cm="1">
        <f t="array" ref="H26">Displacement(H25,K25,$P$2)</f>
        <v>49651.149312206624</v>
      </c>
      <c r="I26" s="90">
        <f t="shared" si="3"/>
        <v>0.17818460625301094</v>
      </c>
      <c r="J26" s="90" cm="1">
        <f t="array" ref="J26">Velocity(J25, L25, $P$2)</f>
        <v>108.50125578703702</v>
      </c>
      <c r="K26" s="90" cm="1">
        <f t="array" ref="K26">Velocity(K25, M25, $P$2)</f>
        <v>810.00937499999998</v>
      </c>
      <c r="L26" s="89">
        <f t="shared" si="4"/>
        <v>1.5</v>
      </c>
      <c r="M26" s="90">
        <f t="shared" si="2"/>
        <v>6</v>
      </c>
      <c r="N26" s="76"/>
      <c r="O26" s="76"/>
      <c r="P26" s="76"/>
      <c r="Q26" s="76"/>
      <c r="R26" s="76"/>
      <c r="S26" s="76"/>
    </row>
    <row r="27" spans="1:19" x14ac:dyDescent="0.2">
      <c r="A27" s="79" t="str">
        <f ca="1"/>
        <v>Blue</v>
      </c>
      <c r="B27" s="79" t="str">
        <f ca="1"/>
        <v>Blue</v>
      </c>
      <c r="C27" s="79"/>
      <c r="D27" s="79"/>
      <c r="E27" s="79"/>
      <c r="F27" s="84">
        <f t="shared" si="0"/>
        <v>120.00138888888888</v>
      </c>
      <c r="G27" s="90" cm="1">
        <f t="array" ref="G27">Displacement(G26,J26,$P$2)</f>
        <v>4370.1011579928081</v>
      </c>
      <c r="H27" s="90" cm="1">
        <f t="array" ref="H27">Displacement(H26,K26,$P$2)</f>
        <v>53701.243062749156</v>
      </c>
      <c r="I27" s="90">
        <f t="shared" si="3"/>
        <v>0.16586870092536346</v>
      </c>
      <c r="J27" s="90" cm="1">
        <f t="array" ref="J27">Velocity(J26, L26, $P$2)</f>
        <v>116.00134259259258</v>
      </c>
      <c r="K27" s="90" cm="1">
        <f t="array" ref="K27">Velocity(K26, M26, $P$2)</f>
        <v>840.00972222222219</v>
      </c>
      <c r="L27" s="89">
        <f t="shared" si="4"/>
        <v>1.5</v>
      </c>
      <c r="M27" s="90">
        <f t="shared" si="2"/>
        <v>6</v>
      </c>
      <c r="N27" s="76"/>
      <c r="O27" s="76"/>
      <c r="P27" s="76"/>
      <c r="Q27" s="76"/>
      <c r="R27" s="76"/>
      <c r="S27" s="76"/>
    </row>
    <row r="28" spans="1:19" x14ac:dyDescent="0.2">
      <c r="A28" s="79" t="str">
        <f ca="1"/>
        <v>Green</v>
      </c>
      <c r="B28" s="79" t="str">
        <f ca="1"/>
        <v>Blue</v>
      </c>
      <c r="C28" s="79"/>
      <c r="D28" s="79"/>
      <c r="E28" s="79"/>
      <c r="F28" s="84">
        <f t="shared" si="0"/>
        <v>125.00144675925925</v>
      </c>
      <c r="G28" s="90" cm="1">
        <f t="array" ref="G28">Displacement(G27,J27,$P$2)</f>
        <v>4950.1145839964302</v>
      </c>
      <c r="H28" s="90" cm="1">
        <f t="array" ref="H28">Displacement(H27,K27,$P$2)</f>
        <v>57901.34028553401</v>
      </c>
      <c r="I28" s="90">
        <f t="shared" si="3"/>
        <v>0.1551453025558221</v>
      </c>
      <c r="J28" s="90" cm="1">
        <f t="array" ref="J28">Velocity(J27, L27, $P$2)</f>
        <v>123.50142939814813</v>
      </c>
      <c r="K28" s="90" cm="1">
        <f t="array" ref="K28">Velocity(K27, M27, $P$2)</f>
        <v>870.01006944444441</v>
      </c>
      <c r="L28" s="89">
        <f t="shared" si="4"/>
        <v>1.5</v>
      </c>
      <c r="M28" s="90">
        <v>3</v>
      </c>
      <c r="N28" s="76"/>
      <c r="O28" s="76"/>
      <c r="P28" s="76"/>
      <c r="Q28" s="76"/>
      <c r="R28" s="76"/>
      <c r="S28" s="76"/>
    </row>
    <row r="29" spans="1:19" x14ac:dyDescent="0.2">
      <c r="A29" s="79" t="str">
        <f ca="1"/>
        <v>Red</v>
      </c>
      <c r="B29" s="79" t="str">
        <f ca="1"/>
        <v>Blue</v>
      </c>
      <c r="C29" s="79"/>
      <c r="D29" s="79"/>
      <c r="E29" s="79"/>
      <c r="F29" s="84">
        <f t="shared" si="0"/>
        <v>130.00150462962964</v>
      </c>
      <c r="G29" s="90" cm="1">
        <f t="array" ref="G29">Displacement(G28,J28,$P$2)</f>
        <v>5567.628878060631</v>
      </c>
      <c r="H29" s="90" cm="1">
        <f t="array" ref="H29">Displacement(H28,K28,$P$2)</f>
        <v>62251.440980561179</v>
      </c>
      <c r="I29" s="90">
        <f t="shared" si="3"/>
        <v>0.14572428480853822</v>
      </c>
      <c r="J29" s="90" cm="1">
        <f t="array" ref="J29">Velocity(J28, L28, $P$2)</f>
        <v>131.00151620370369</v>
      </c>
      <c r="K29" s="90" cm="1">
        <f t="array" ref="K29">Velocity(K28, M28, $P$2)</f>
        <v>885.01024305555552</v>
      </c>
      <c r="L29" s="89">
        <f t="shared" si="4"/>
        <v>1.5</v>
      </c>
      <c r="M29" s="90">
        <f t="shared" si="2"/>
        <v>3</v>
      </c>
      <c r="N29" s="76"/>
      <c r="O29" s="76"/>
      <c r="P29" s="76"/>
      <c r="Q29" s="76"/>
      <c r="R29" s="76"/>
      <c r="S29" s="76"/>
    </row>
    <row r="30" spans="1:19" x14ac:dyDescent="0.2">
      <c r="A30" s="76" t="str">
        <f ca="1"/>
        <v>Blue</v>
      </c>
      <c r="B30" s="76" t="str">
        <f ca="1"/>
        <v>Green</v>
      </c>
      <c r="C30" s="76"/>
      <c r="D30" s="76"/>
      <c r="E30" s="76"/>
      <c r="F30" s="84">
        <f t="shared" si="0"/>
        <v>135.00156250000001</v>
      </c>
      <c r="G30" s="90" cm="1">
        <f t="array" ref="G30">Displacement(G29,J29,$P$2)</f>
        <v>6222.6440401854115</v>
      </c>
      <c r="H30" s="90" cm="1">
        <f t="array" ref="H30">Displacement(H29,K29,$P$2)</f>
        <v>66676.543411709499</v>
      </c>
      <c r="I30" s="90">
        <f t="shared" si="3"/>
        <v>0.13738163221943778</v>
      </c>
      <c r="J30" s="90" cm="1">
        <f t="array" ref="J30">Velocity(J29, L29, $P$2)</f>
        <v>138.50160300925924</v>
      </c>
      <c r="K30" s="90" cm="1">
        <f t="array" ref="K30">Velocity(K29, M29, $P$2)</f>
        <v>900.01041666666663</v>
      </c>
      <c r="L30" s="89">
        <f t="shared" si="4"/>
        <v>1.5</v>
      </c>
      <c r="M30" s="90">
        <f t="shared" si="2"/>
        <v>3</v>
      </c>
      <c r="N30" s="76"/>
      <c r="O30" s="76"/>
      <c r="P30" s="76"/>
      <c r="Q30" s="76"/>
      <c r="R30" s="76"/>
      <c r="S30" s="76"/>
    </row>
    <row r="31" spans="1:19" x14ac:dyDescent="0.2">
      <c r="A31" s="76" t="str">
        <f ca="1"/>
        <v>Green</v>
      </c>
      <c r="B31" s="76" t="str">
        <f ca="1"/>
        <v>Blue</v>
      </c>
      <c r="C31" s="76"/>
      <c r="D31" s="76"/>
      <c r="E31" s="76"/>
      <c r="F31" s="84">
        <f t="shared" si="0"/>
        <v>140.00162037037038</v>
      </c>
      <c r="G31" s="90" cm="1">
        <f t="array" ref="G31">Displacement(G30,J30,$P$2)</f>
        <v>6915.1600703707709</v>
      </c>
      <c r="H31" s="90" cm="1">
        <f t="array" ref="H31">Displacement(H30,K30,$P$2)</f>
        <v>71176.647578978984</v>
      </c>
      <c r="I31" s="90">
        <f t="shared" si="3"/>
        <v>0.1299425052664881</v>
      </c>
      <c r="J31" s="90" cm="1">
        <f t="array" ref="J31">Velocity(J30, L30, $P$2)</f>
        <v>146.0016898148148</v>
      </c>
      <c r="K31" s="90" cm="1">
        <f t="array" ref="K31">Velocity(K30, M30, $P$2)</f>
        <v>915.01059027777774</v>
      </c>
      <c r="L31" s="89">
        <f t="shared" si="4"/>
        <v>1.5</v>
      </c>
      <c r="M31" s="90">
        <f t="shared" si="2"/>
        <v>3</v>
      </c>
      <c r="N31" s="76"/>
      <c r="O31" s="76"/>
      <c r="P31" s="76"/>
      <c r="Q31" s="76"/>
      <c r="R31" s="76"/>
      <c r="S31" s="76"/>
    </row>
    <row r="32" spans="1:19" x14ac:dyDescent="0.2">
      <c r="A32" s="76" t="str">
        <f ca="1"/>
        <v>Red</v>
      </c>
      <c r="B32" s="76" t="str">
        <f ca="1"/>
        <v>Green</v>
      </c>
      <c r="C32" s="76"/>
      <c r="D32" s="76"/>
      <c r="E32" s="76"/>
      <c r="F32" s="84">
        <f t="shared" si="0"/>
        <v>145.00167824074074</v>
      </c>
      <c r="G32" s="90" cm="1">
        <f t="array" ref="G32">Displacement(G31,J31,$P$2)</f>
        <v>7645.176968616709</v>
      </c>
      <c r="H32" s="90" cm="1">
        <f t="array" ref="H32">Displacement(H31,K31,$P$2)</f>
        <v>75751.753482369619</v>
      </c>
      <c r="I32" s="90">
        <f t="shared" si="3"/>
        <v>0.12326766248652613</v>
      </c>
      <c r="J32" s="90" cm="1">
        <f t="array" ref="J32">Velocity(J31, L31, $P$2)</f>
        <v>153.50177662037035</v>
      </c>
      <c r="K32" s="90" cm="1">
        <f t="array" ref="K32">Velocity(K31, M31, $P$2)</f>
        <v>930.01076388888885</v>
      </c>
      <c r="L32" s="89">
        <f t="shared" si="4"/>
        <v>1.5</v>
      </c>
      <c r="M32" s="90">
        <f t="shared" si="2"/>
        <v>3</v>
      </c>
      <c r="N32" s="76"/>
      <c r="O32" s="76"/>
      <c r="P32" s="76"/>
      <c r="Q32" s="76"/>
      <c r="R32" s="76"/>
      <c r="S32" s="76"/>
    </row>
    <row r="33" spans="1:19" x14ac:dyDescent="0.2">
      <c r="A33" s="76" t="str">
        <f ca="1"/>
        <v>Blue</v>
      </c>
      <c r="B33" s="76" t="str">
        <f ca="1"/>
        <v>Green</v>
      </c>
      <c r="C33" s="76"/>
      <c r="D33" s="76"/>
      <c r="E33" s="76"/>
      <c r="F33" s="84">
        <f t="shared" si="0"/>
        <v>150.00173611111111</v>
      </c>
      <c r="G33" s="90" cm="1">
        <f t="array" ref="G33">Displacement(G32,J32,$P$2)</f>
        <v>8412.6947349232269</v>
      </c>
      <c r="H33" s="90" cm="1">
        <f t="array" ref="H33">Displacement(H32,K32,$P$2)</f>
        <v>80401.861121881419</v>
      </c>
      <c r="I33" s="90">
        <f t="shared" si="3"/>
        <v>0.11724507570090258</v>
      </c>
      <c r="J33" s="90" cm="1">
        <f t="array" ref="J33">Velocity(J32, L32, $P$2)</f>
        <v>161.0018634259259</v>
      </c>
      <c r="K33" s="90" cm="1">
        <f t="array" ref="K33">Velocity(K32, M32, $P$2)</f>
        <v>945.01093749999995</v>
      </c>
      <c r="L33" s="89">
        <f t="shared" si="4"/>
        <v>1.5</v>
      </c>
      <c r="M33" s="90">
        <f t="shared" si="2"/>
        <v>3</v>
      </c>
      <c r="N33" s="76"/>
      <c r="O33" s="76"/>
      <c r="P33" s="76"/>
      <c r="Q33" s="76"/>
      <c r="R33" s="76"/>
      <c r="S33" s="76"/>
    </row>
    <row r="34" spans="1:19" x14ac:dyDescent="0.2">
      <c r="A34" s="76"/>
      <c r="B34" s="76"/>
      <c r="C34" s="76"/>
      <c r="D34" s="76"/>
      <c r="E34" s="76"/>
      <c r="F34" s="84">
        <f t="shared" si="0"/>
        <v>155.00179398148148</v>
      </c>
      <c r="G34" s="90" cm="1">
        <f t="array" ref="G34">Displacement(G33,J33,$P$2)</f>
        <v>9217.7133692903226</v>
      </c>
      <c r="H34" s="90" cm="1">
        <f t="array" ref="H34">Displacement(H33,K33,$P$2)</f>
        <v>85126.970497514383</v>
      </c>
      <c r="I34" s="90">
        <f t="shared" si="3"/>
        <v>0.11178359151986436</v>
      </c>
      <c r="J34" s="90" cm="1">
        <f t="array" ref="J34">Velocity(J33, L33, $P$2)</f>
        <v>168.50195023148146</v>
      </c>
      <c r="K34" s="90" cm="1">
        <f t="array" ref="K34">Velocity(K33, M33, $P$2)</f>
        <v>960.01111111111106</v>
      </c>
      <c r="L34" s="89">
        <f t="shared" si="4"/>
        <v>1.5</v>
      </c>
      <c r="M34" s="90">
        <f t="shared" si="2"/>
        <v>3</v>
      </c>
      <c r="N34" s="76"/>
      <c r="O34" s="76"/>
      <c r="P34" s="76"/>
      <c r="Q34" s="76"/>
      <c r="R34" s="76"/>
      <c r="S34" s="76"/>
    </row>
    <row r="35" spans="1:19" x14ac:dyDescent="0.2">
      <c r="A35" s="76"/>
      <c r="B35" s="76"/>
      <c r="C35" s="76"/>
      <c r="D35" s="76"/>
      <c r="E35" s="76"/>
      <c r="F35" s="84">
        <f t="shared" si="0"/>
        <v>160.00185185185185</v>
      </c>
      <c r="G35" s="90" cm="1">
        <f t="array" ref="G35">Displacement(G34,J34,$P$2)</f>
        <v>10060.232871717997</v>
      </c>
      <c r="H35" s="90" cm="1">
        <f t="array" ref="H35">Displacement(H34,K34,$P$2)</f>
        <v>89927.081609268498</v>
      </c>
      <c r="I35" s="90">
        <f t="shared" si="3"/>
        <v>0.10680828562003718</v>
      </c>
      <c r="J35" s="90" cm="1">
        <f t="array" ref="J35">Velocity(J34, L34, $P$2)</f>
        <v>176.00203703703701</v>
      </c>
      <c r="K35" s="90" cm="1">
        <f t="array" ref="K35">Velocity(K34, M34, $P$2)</f>
        <v>975.01128472222217</v>
      </c>
      <c r="L35" s="89">
        <f t="shared" si="4"/>
        <v>1.5</v>
      </c>
      <c r="M35" s="90">
        <f t="shared" si="2"/>
        <v>3</v>
      </c>
      <c r="N35" s="76"/>
      <c r="O35" s="76"/>
      <c r="P35" s="76"/>
      <c r="Q35" s="76"/>
      <c r="R35" s="76"/>
      <c r="S35" s="76"/>
    </row>
    <row r="36" spans="1:19" x14ac:dyDescent="0.2">
      <c r="A36" s="76"/>
      <c r="B36" s="76"/>
      <c r="C36" s="76"/>
      <c r="D36" s="76"/>
      <c r="E36" s="76"/>
      <c r="F36" s="84">
        <f t="shared" si="0"/>
        <v>165.00190972222222</v>
      </c>
      <c r="G36" s="90" cm="1">
        <f t="array" ref="G36">Displacement(G35,J35,$P$2)</f>
        <v>10940.253242206252</v>
      </c>
      <c r="H36" s="90" cm="1">
        <f t="array" ref="H36">Displacement(H35,K35,$P$2)</f>
        <v>94802.194457143778</v>
      </c>
      <c r="I36" s="90">
        <f t="shared" si="3"/>
        <v>0.10225700484851208</v>
      </c>
      <c r="J36" s="90" cm="1">
        <f t="array" ref="J36">Velocity(J35, L35, $P$2)</f>
        <v>183.50212384259257</v>
      </c>
      <c r="K36" s="90" cm="1">
        <f t="array" ref="K36">Velocity(K35, M35, $P$2)</f>
        <v>990.01145833333328</v>
      </c>
      <c r="L36" s="89">
        <f t="shared" si="4"/>
        <v>1.5</v>
      </c>
      <c r="M36" s="90">
        <f t="shared" si="2"/>
        <v>3</v>
      </c>
      <c r="N36" s="76"/>
      <c r="O36" s="76"/>
      <c r="P36" s="76"/>
      <c r="Q36" s="76"/>
      <c r="R36" s="76"/>
      <c r="S36" s="76"/>
    </row>
    <row r="37" spans="1:19" x14ac:dyDescent="0.2">
      <c r="A37" s="76"/>
      <c r="B37" s="76"/>
      <c r="C37" s="76"/>
      <c r="D37" s="76"/>
      <c r="E37" s="76"/>
      <c r="F37" s="84">
        <f t="shared" si="0"/>
        <v>170.00196759259259</v>
      </c>
      <c r="G37" s="90" cm="1">
        <f t="array" ref="G37">Displacement(G36,J36,$P$2)</f>
        <v>11857.774480755086</v>
      </c>
      <c r="H37" s="90" cm="1">
        <f t="array" ref="H37">Displacement(H36,K36,$P$2)</f>
        <v>99752.309041140208</v>
      </c>
      <c r="I37" s="90">
        <f t="shared" si="3"/>
        <v>9.8077757312152694E-2</v>
      </c>
      <c r="J37" s="90" cm="1">
        <f t="array" ref="J37">Velocity(J36, L36, $P$2)</f>
        <v>191.00221064814812</v>
      </c>
      <c r="K37" s="90" cm="1">
        <f t="array" ref="K37">Velocity(K36, M36, $P$2)</f>
        <v>1005.0116319444444</v>
      </c>
      <c r="L37" s="89">
        <v>10</v>
      </c>
      <c r="M37" s="90">
        <f t="shared" si="2"/>
        <v>3</v>
      </c>
      <c r="N37" s="76"/>
      <c r="O37" s="76"/>
      <c r="P37" s="76"/>
      <c r="Q37" s="76"/>
      <c r="R37" s="76"/>
      <c r="S37" s="76"/>
    </row>
    <row r="38" spans="1:19" x14ac:dyDescent="0.2">
      <c r="A38" s="76"/>
      <c r="B38" s="76"/>
      <c r="C38" s="76"/>
      <c r="D38" s="76"/>
      <c r="E38" s="76"/>
      <c r="F38" s="84">
        <f t="shared" si="0"/>
        <v>175.00202546296296</v>
      </c>
      <c r="G38" s="90" cm="1">
        <f t="array" ref="G38">Displacement(G37,J37,$P$2)</f>
        <v>12812.796587364499</v>
      </c>
      <c r="H38" s="90" cm="1">
        <f t="array" ref="H38">Displacement(H37,K37,$P$2)</f>
        <v>104777.4253612578</v>
      </c>
      <c r="I38" s="90">
        <f t="shared" si="3"/>
        <v>9.4226717367194401E-2</v>
      </c>
      <c r="J38" s="90" cm="1">
        <f t="array" ref="J38">Velocity(J37, L37, $P$2)</f>
        <v>241.00278935185182</v>
      </c>
      <c r="K38" s="90" cm="1">
        <f t="array" ref="K38">Velocity(K37, M37, $P$2)</f>
        <v>1020.0118055555555</v>
      </c>
      <c r="L38" s="89">
        <f t="shared" si="4"/>
        <v>10</v>
      </c>
      <c r="M38" s="90">
        <f t="shared" si="2"/>
        <v>3</v>
      </c>
      <c r="N38" s="76"/>
      <c r="O38" s="76"/>
      <c r="P38" s="76"/>
      <c r="Q38" s="76"/>
      <c r="R38" s="76"/>
      <c r="S38" s="76"/>
    </row>
    <row r="39" spans="1:19" x14ac:dyDescent="0.2">
      <c r="A39" s="76"/>
      <c r="B39" s="76"/>
      <c r="C39" s="76"/>
      <c r="D39" s="76"/>
      <c r="E39" s="76"/>
      <c r="F39" s="84">
        <f t="shared" si="0"/>
        <v>180.00208333333333</v>
      </c>
      <c r="G39" s="90" cm="1">
        <f t="array" ref="G39">Displacement(G38,J38,$P$2)</f>
        <v>14017.824481044438</v>
      </c>
      <c r="H39" s="90" cm="1">
        <f t="array" ref="H39">Displacement(H38,K38,$P$2)</f>
        <v>109877.54341749655</v>
      </c>
      <c r="I39" s="90">
        <f t="shared" si="3"/>
        <v>7.4677745026146936E-2</v>
      </c>
      <c r="J39" s="90" cm="1">
        <f t="array" ref="J39">Velocity(J38, L38, $P$2)</f>
        <v>291.00336805555554</v>
      </c>
      <c r="K39" s="90" cm="1">
        <f t="array" ref="K39">Velocity(K38, M38, $P$2)</f>
        <v>1035.0119791666666</v>
      </c>
      <c r="L39" s="89">
        <f t="shared" si="4"/>
        <v>10</v>
      </c>
      <c r="M39" s="90">
        <f t="shared" si="2"/>
        <v>3</v>
      </c>
      <c r="N39" s="76"/>
      <c r="O39" s="76"/>
      <c r="P39" s="76"/>
      <c r="Q39" s="76"/>
      <c r="R39" s="76"/>
      <c r="S39" s="76"/>
    </row>
    <row r="40" spans="1:19" x14ac:dyDescent="0.2">
      <c r="A40" s="76"/>
      <c r="B40" s="76"/>
      <c r="D40" s="76"/>
      <c r="E40" s="76"/>
      <c r="F40" s="84">
        <f t="shared" si="0"/>
        <v>185.0021412037037</v>
      </c>
      <c r="G40" s="90" cm="1">
        <f t="array" ref="G40">Displacement(G39,J39,$P$2)</f>
        <v>15472.858161794904</v>
      </c>
      <c r="H40" s="90" cm="1">
        <f t="array" ref="H40">Displacement(H39,K39,$P$2)</f>
        <v>115052.66320985646</v>
      </c>
      <c r="I40" s="90">
        <f t="shared" si="3"/>
        <v>6.1846629255889532E-2</v>
      </c>
      <c r="J40" s="90" cm="1">
        <f t="array" ref="J40">Velocity(J39, L39, $P$2)</f>
        <v>341.00394675925924</v>
      </c>
      <c r="K40" s="90" cm="1">
        <f t="array" ref="K40">Velocity(K39, M39, $P$2)</f>
        <v>1050.0121527777778</v>
      </c>
      <c r="L40" s="89">
        <f t="shared" si="4"/>
        <v>10</v>
      </c>
      <c r="M40" s="90">
        <f t="shared" si="2"/>
        <v>3</v>
      </c>
      <c r="N40" s="76"/>
      <c r="O40" s="76"/>
      <c r="P40" s="76"/>
      <c r="Q40" s="76"/>
      <c r="R40" s="76"/>
      <c r="S40" s="76"/>
    </row>
    <row r="41" spans="1:19" x14ac:dyDescent="0.2">
      <c r="A41" s="76"/>
      <c r="B41" s="76"/>
      <c r="C41" s="76"/>
      <c r="D41" s="76"/>
      <c r="E41" s="76"/>
      <c r="F41" s="84">
        <f t="shared" si="0"/>
        <v>190.00219907407407</v>
      </c>
      <c r="G41" s="90" cm="1">
        <f t="array" ref="G41">Displacement(G40,J40,$P$2)</f>
        <v>17177.897629615898</v>
      </c>
      <c r="H41" s="90" cm="1">
        <f t="array" ref="H41">Displacement(H40,K40,$P$2)</f>
        <v>120302.78473833752</v>
      </c>
      <c r="I41" s="90">
        <f t="shared" si="3"/>
        <v>5.2778301305803021E-2</v>
      </c>
      <c r="J41" s="90" cm="1">
        <f t="array" ref="J41">Velocity(J40, L40, $P$2)</f>
        <v>391.00452546296293</v>
      </c>
      <c r="K41" s="90" cm="1">
        <f t="array" ref="K41">Velocity(K40, M40, $P$2)</f>
        <v>1065.0123263888891</v>
      </c>
      <c r="L41" s="89">
        <f t="shared" si="4"/>
        <v>10</v>
      </c>
      <c r="M41" s="90">
        <f t="shared" si="2"/>
        <v>3</v>
      </c>
      <c r="N41" s="76"/>
      <c r="O41" s="76"/>
      <c r="P41" s="76"/>
      <c r="Q41" s="76"/>
      <c r="R41" s="76"/>
      <c r="S41" s="76"/>
    </row>
    <row r="42" spans="1:19" x14ac:dyDescent="0.2">
      <c r="C42" s="76"/>
      <c r="D42" s="76"/>
      <c r="E42" s="76"/>
      <c r="F42" s="84">
        <f t="shared" si="0"/>
        <v>195.00225694444444</v>
      </c>
      <c r="G42" s="90" cm="1">
        <f t="array" ref="G42">Displacement(G41,J41,$P$2)</f>
        <v>19132.942884507418</v>
      </c>
      <c r="H42" s="90" cm="1">
        <f t="array" ref="H42">Displacement(H41,K41,$P$2)</f>
        <v>125627.90800293974</v>
      </c>
      <c r="I42" s="90">
        <f t="shared" si="3"/>
        <v>4.602923653722972E-2</v>
      </c>
      <c r="J42" s="90" cm="1">
        <f t="array" ref="J42">Velocity(J41, L41, $P$2)</f>
        <v>441.00510416666663</v>
      </c>
      <c r="K42" s="90" cm="1">
        <f t="array" ref="K42">Velocity(K41, M41, $P$2)</f>
        <v>1080.0125000000003</v>
      </c>
      <c r="L42" s="89">
        <f t="shared" si="4"/>
        <v>10</v>
      </c>
      <c r="M42" s="90">
        <f t="shared" si="2"/>
        <v>3</v>
      </c>
      <c r="N42" s="76"/>
      <c r="O42" s="76"/>
      <c r="P42" s="76"/>
      <c r="Q42" s="76"/>
      <c r="R42" s="76"/>
      <c r="S42" s="76"/>
    </row>
    <row r="43" spans="1:19" x14ac:dyDescent="0.2">
      <c r="A43" s="76"/>
      <c r="C43" s="76"/>
      <c r="D43" s="76"/>
      <c r="E43" s="76"/>
      <c r="F43" s="84">
        <f t="shared" si="0"/>
        <v>200.00231481481481</v>
      </c>
      <c r="G43" s="90" cm="1">
        <f t="array" ref="G43">Displacement(G42,J42,$P$2)</f>
        <v>21337.993926469466</v>
      </c>
      <c r="H43" s="90" cm="1">
        <f t="array" ref="H43">Displacement(H42,K42,$P$2)</f>
        <v>131028.03300366312</v>
      </c>
      <c r="I43" s="90"/>
      <c r="J43" s="90" cm="1">
        <f t="array" ref="J43">Velocity(J42, L42, $P$2)</f>
        <v>491.00568287037032</v>
      </c>
      <c r="K43" s="90" cm="1">
        <f t="array" ref="K43">Velocity(K42, M42, $P$2)</f>
        <v>1095.0126736111115</v>
      </c>
      <c r="L43" s="89">
        <f t="shared" si="4"/>
        <v>10</v>
      </c>
      <c r="M43" s="90">
        <f t="shared" si="2"/>
        <v>3</v>
      </c>
      <c r="N43" s="76"/>
      <c r="O43" s="76"/>
      <c r="P43" s="76"/>
      <c r="Q43" s="76"/>
      <c r="R43" s="76"/>
      <c r="S43" s="76"/>
    </row>
    <row r="44" spans="1:19" x14ac:dyDescent="0.2">
      <c r="A44" s="76"/>
      <c r="B44" s="76"/>
      <c r="C44" s="76"/>
      <c r="D44" s="76"/>
      <c r="E44" s="76"/>
      <c r="F44" s="84">
        <f t="shared" si="0"/>
        <v>205.00237268518518</v>
      </c>
      <c r="G44" s="90" cm="1">
        <f t="array" ref="G44">Displacement(G43,J43,$P$2)</f>
        <v>23793.050755502038</v>
      </c>
      <c r="H44" s="90" cm="1">
        <f t="array" ref="H44">Displacement(H43,K43,$P$2)</f>
        <v>136503.15974050766</v>
      </c>
      <c r="I44" s="90"/>
      <c r="J44" s="90" cm="1">
        <f t="array" ref="J44">Velocity(J43, L43, $P$2)</f>
        <v>541.00626157407407</v>
      </c>
      <c r="K44" s="90" cm="1">
        <f t="array" ref="K44">Velocity(K43, M43, $P$2)</f>
        <v>1110.0128472222227</v>
      </c>
      <c r="L44" s="89">
        <f t="shared" si="4"/>
        <v>10</v>
      </c>
      <c r="M44" s="90">
        <f t="shared" si="2"/>
        <v>3</v>
      </c>
      <c r="N44" s="76"/>
      <c r="O44" s="76"/>
      <c r="P44" s="76"/>
      <c r="Q44" s="76"/>
      <c r="R44" s="76"/>
      <c r="S44" s="76"/>
    </row>
    <row r="45" spans="1:19" x14ac:dyDescent="0.2">
      <c r="A45" s="76"/>
      <c r="B45" s="76"/>
      <c r="C45" s="76"/>
      <c r="D45" s="76"/>
      <c r="E45" s="76"/>
      <c r="F45" s="84">
        <f t="shared" si="0"/>
        <v>210.00243055555555</v>
      </c>
      <c r="G45" s="90" cm="1">
        <f t="array" ref="G45">Displacement(G44,J44,$P$2)</f>
        <v>26498.113371605137</v>
      </c>
      <c r="H45" s="90" cm="1">
        <f t="array" ref="H45">Displacement(H44,K44,$P$2)</f>
        <v>142053.28821347337</v>
      </c>
      <c r="I45" s="90"/>
      <c r="J45" s="90" cm="1">
        <f t="array" ref="J45">Velocity(J44, L44, $P$2)</f>
        <v>591.00684027777777</v>
      </c>
      <c r="K45" s="90" cm="1">
        <f t="array" ref="K45">Velocity(K44, M44, $P$2)</f>
        <v>1125.0130208333339</v>
      </c>
      <c r="L45" s="89">
        <f t="shared" si="4"/>
        <v>10</v>
      </c>
      <c r="M45" s="90">
        <f t="shared" si="2"/>
        <v>3</v>
      </c>
      <c r="N45" s="76"/>
      <c r="O45" s="76"/>
      <c r="P45" s="76"/>
      <c r="Q45" s="76"/>
      <c r="R45" s="76"/>
      <c r="S45" s="76"/>
    </row>
    <row r="46" spans="1:19" x14ac:dyDescent="0.2">
      <c r="A46" s="76"/>
      <c r="B46" s="76"/>
      <c r="C46" s="76"/>
      <c r="D46" s="76"/>
      <c r="E46" s="76"/>
      <c r="F46" s="84">
        <f t="shared" si="0"/>
        <v>215.00248842592592</v>
      </c>
      <c r="G46" s="90" cm="1">
        <f t="array" ref="G46">Displacement(G45,J45,$P$2)</f>
        <v>29453.181774778765</v>
      </c>
      <c r="H46" s="90" cm="1">
        <f t="array" ref="H46">Displacement(H45,K45,$P$2)</f>
        <v>147678.41842256024</v>
      </c>
      <c r="I46" s="90"/>
      <c r="J46" s="90" cm="1">
        <f t="array" ref="J46">Velocity(J45, L45, $P$2)</f>
        <v>641.00741898148146</v>
      </c>
      <c r="K46" s="90" cm="1">
        <f t="array" ref="K46">Velocity(K45, M45, $P$2)</f>
        <v>1140.0131944444452</v>
      </c>
      <c r="L46" s="89">
        <f t="shared" si="4"/>
        <v>10</v>
      </c>
      <c r="M46" s="90">
        <f t="shared" si="2"/>
        <v>3</v>
      </c>
      <c r="N46" s="76"/>
      <c r="O46" s="76"/>
      <c r="P46" s="76"/>
      <c r="Q46" s="76"/>
      <c r="R46" s="76"/>
      <c r="S46" s="76"/>
    </row>
    <row r="47" spans="1:19" x14ac:dyDescent="0.2">
      <c r="A47" s="76"/>
      <c r="B47" s="76"/>
      <c r="C47" s="76"/>
      <c r="D47" s="76"/>
      <c r="E47" s="76"/>
      <c r="F47" s="84">
        <f t="shared" si="0"/>
        <v>220.00254629629629</v>
      </c>
      <c r="G47" s="90" cm="1">
        <f t="array" ref="G47">Displacement(G46,J46,$P$2)</f>
        <v>32658.25596502292</v>
      </c>
      <c r="H47" s="90" cm="1">
        <f t="array" ref="H47">Displacement(H46,K46,$P$2)</f>
        <v>153378.55036776824</v>
      </c>
      <c r="I47" s="90"/>
      <c r="J47" s="90" cm="1">
        <f t="array" ref="J47">Velocity(J46, L46, $P$2)</f>
        <v>691.00799768518516</v>
      </c>
      <c r="K47" s="90" cm="1">
        <f t="array" ref="K47">Velocity(K46, M46, $P$2)</f>
        <v>1155.0133680555564</v>
      </c>
      <c r="L47" s="89">
        <f t="shared" si="4"/>
        <v>10</v>
      </c>
      <c r="M47" s="90">
        <f t="shared" si="2"/>
        <v>3</v>
      </c>
      <c r="N47" s="76"/>
      <c r="O47" s="76"/>
      <c r="P47" s="76"/>
      <c r="Q47" s="76"/>
      <c r="R47" s="76"/>
      <c r="S47" s="76"/>
    </row>
    <row r="48" spans="1:19" x14ac:dyDescent="0.2">
      <c r="A48" s="76"/>
      <c r="B48" s="76"/>
      <c r="C48" s="76"/>
      <c r="D48" s="76"/>
      <c r="E48" s="76"/>
      <c r="F48" s="84">
        <f t="shared" si="0"/>
        <v>225.00260416666666</v>
      </c>
      <c r="G48" s="90" cm="1">
        <f t="array" ref="G48">Displacement(G47,J47,$P$2)</f>
        <v>36113.335942337602</v>
      </c>
      <c r="H48" s="90" cm="1">
        <f t="array" ref="H48">Displacement(H47,K47,$P$2)</f>
        <v>159153.68404909741</v>
      </c>
      <c r="I48" s="90"/>
      <c r="J48" s="90" cm="1">
        <f t="array" ref="J48">Velocity(J47, L47, $P$2)</f>
        <v>741.00857638888886</v>
      </c>
      <c r="K48" s="90" cm="1">
        <f t="array" ref="K48">Velocity(K47, M47, $P$2)</f>
        <v>1170.0135416666676</v>
      </c>
      <c r="L48" s="89">
        <f t="shared" si="4"/>
        <v>10</v>
      </c>
      <c r="M48" s="90">
        <f t="shared" si="2"/>
        <v>3</v>
      </c>
      <c r="N48" s="76"/>
      <c r="O48" s="76"/>
      <c r="P48" s="76"/>
      <c r="Q48" s="76"/>
      <c r="R48" s="76"/>
      <c r="S48" s="76"/>
    </row>
    <row r="49" spans="1:19" x14ac:dyDescent="0.2">
      <c r="A49" s="76"/>
      <c r="B49" s="76"/>
      <c r="C49" s="76"/>
      <c r="D49" s="76"/>
      <c r="E49" s="76"/>
      <c r="F49" s="84">
        <f t="shared" si="0"/>
        <v>230.00266203703703</v>
      </c>
      <c r="G49" s="90" cm="1">
        <f t="array" ref="G49">Displacement(G48,J48,$P$2)</f>
        <v>39818.421706722809</v>
      </c>
      <c r="H49" s="90" cm="1">
        <f t="array" ref="H49">Displacement(H48,K48,$P$2)</f>
        <v>165003.81946654775</v>
      </c>
      <c r="I49" s="90"/>
      <c r="J49" s="90" cm="1">
        <f t="array" ref="J49">Velocity(J48, L48, $P$2)</f>
        <v>791.00915509259255</v>
      </c>
      <c r="K49" s="90" cm="1">
        <f t="array" ref="K49">Velocity(K48, M48, $P$2)</f>
        <v>1185.0137152777788</v>
      </c>
      <c r="L49" s="89">
        <f t="shared" si="4"/>
        <v>10</v>
      </c>
      <c r="M49" s="90">
        <f t="shared" si="2"/>
        <v>3</v>
      </c>
      <c r="N49" s="76"/>
      <c r="O49" s="76"/>
      <c r="P49" s="76"/>
      <c r="Q49" s="76"/>
      <c r="R49" s="76"/>
      <c r="S49" s="76"/>
    </row>
    <row r="50" spans="1:19" x14ac:dyDescent="0.2">
      <c r="F50" s="84">
        <f t="shared" si="0"/>
        <v>235.0027199074074</v>
      </c>
      <c r="G50" s="90" cm="1">
        <f t="array" ref="G50">Displacement(G49,J49,$P$2)</f>
        <v>43773.513258178544</v>
      </c>
      <c r="H50" s="90" cm="1">
        <f t="array" ref="H50">Displacement(H49,K49,$P$2)</f>
        <v>170928.95662011925</v>
      </c>
      <c r="I50" s="90"/>
      <c r="J50" s="90" cm="1">
        <f t="array" ref="J50">Velocity(J49, L49, $P$2)</f>
        <v>841.00973379629625</v>
      </c>
      <c r="K50" s="90" cm="1">
        <f t="array" ref="K50">Velocity(K49, M49, $P$2)</f>
        <v>1200.0138888888901</v>
      </c>
      <c r="L50" s="89">
        <f t="shared" si="4"/>
        <v>10</v>
      </c>
      <c r="M50" s="90">
        <f t="shared" si="2"/>
        <v>3</v>
      </c>
    </row>
    <row r="51" spans="1:19" x14ac:dyDescent="0.2">
      <c r="F51" s="84">
        <f t="shared" si="0"/>
        <v>240.00277777777777</v>
      </c>
      <c r="G51" s="90" cm="1">
        <f t="array" ref="G51">Displacement(G50,J50,$P$2)</f>
        <v>47978.610596704806</v>
      </c>
      <c r="H51" s="90" cm="1">
        <f t="array" ref="H51">Displacement(H50,K50,$P$2)</f>
        <v>176929.09550981189</v>
      </c>
      <c r="I51" s="90"/>
      <c r="J51" s="90" cm="1">
        <f t="array" ref="J51">Velocity(J50, L50, $P$2)</f>
        <v>891.01031249999994</v>
      </c>
      <c r="K51" s="90" cm="1">
        <f t="array" ref="K51">Velocity(K50, M50, $P$2)</f>
        <v>1215.0140625000013</v>
      </c>
      <c r="L51" s="89">
        <f t="shared" si="4"/>
        <v>10</v>
      </c>
      <c r="M51" s="90">
        <f t="shared" si="2"/>
        <v>3</v>
      </c>
    </row>
    <row r="52" spans="1:19" x14ac:dyDescent="0.2">
      <c r="F52" s="84">
        <f t="shared" si="0"/>
        <v>245.00283564814814</v>
      </c>
      <c r="G52" s="90" cm="1">
        <f t="array" ref="G52">Displacement(G51,J51,$P$2)</f>
        <v>52433.713722301596</v>
      </c>
      <c r="H52" s="90" cm="1">
        <f t="array" ref="H52">Displacement(H51,K51,$P$2)</f>
        <v>183004.23613562569</v>
      </c>
      <c r="I52" s="90"/>
      <c r="J52" s="90" cm="1">
        <f t="array" ref="J52">Velocity(J51, L51, $P$2)</f>
        <v>941.01089120370364</v>
      </c>
      <c r="K52" s="90" cm="1">
        <f t="array" ref="K52">Velocity(K51, M51, $P$2)</f>
        <v>1230.0142361111125</v>
      </c>
      <c r="L52" s="89">
        <f t="shared" si="4"/>
        <v>10</v>
      </c>
      <c r="M52" s="90">
        <f t="shared" si="2"/>
        <v>3</v>
      </c>
    </row>
    <row r="53" spans="1:19" x14ac:dyDescent="0.2">
      <c r="F53" s="84">
        <f t="shared" si="0"/>
        <v>250.0028935185185</v>
      </c>
      <c r="G53" s="90" cm="1">
        <f t="array" ref="G53">Displacement(G52,J52,$P$2)</f>
        <v>57138.822634968914</v>
      </c>
      <c r="H53" s="90" cm="1">
        <f t="array" ref="H53">Displacement(H52,K52,$P$2)</f>
        <v>189154.37849756065</v>
      </c>
      <c r="I53" s="90"/>
      <c r="J53" s="90" cm="1">
        <f t="array" ref="J53">Velocity(J52, L52, $P$2)</f>
        <v>991.01146990740733</v>
      </c>
      <c r="K53" s="90" cm="1">
        <f t="array" ref="K53">Velocity(K52, M52, $P$2)</f>
        <v>1245.0144097222237</v>
      </c>
      <c r="L53" s="89">
        <f t="shared" si="4"/>
        <v>10</v>
      </c>
      <c r="M53" s="90">
        <f t="shared" si="2"/>
        <v>3</v>
      </c>
    </row>
    <row r="54" spans="1:19" x14ac:dyDescent="0.2">
      <c r="F54" s="84">
        <f t="shared" si="0"/>
        <v>255.00295138888887</v>
      </c>
      <c r="G54" s="90" cm="1">
        <f t="array" ref="G54">Displacement(G53,J53,$P$2)</f>
        <v>62093.937334706759</v>
      </c>
      <c r="H54" s="90" cm="1">
        <f t="array" ref="H54">Displacement(H53,K53,$P$2)</f>
        <v>195379.52259561679</v>
      </c>
      <c r="I54" s="90"/>
      <c r="J54" s="90" cm="1">
        <f t="array" ref="J54">Velocity(J53, L53, $P$2)</f>
        <v>1041.0120486111111</v>
      </c>
      <c r="K54" s="90" cm="1">
        <f t="array" ref="K54">Velocity(K53, M53, $P$2)</f>
        <v>1260.0145833333349</v>
      </c>
      <c r="L54" s="89">
        <f t="shared" si="4"/>
        <v>10</v>
      </c>
      <c r="M54" s="90">
        <f t="shared" si="2"/>
        <v>3</v>
      </c>
    </row>
    <row r="55" spans="1:19" x14ac:dyDescent="0.2">
      <c r="F55" s="84">
        <f t="shared" si="0"/>
        <v>260.00300925925927</v>
      </c>
      <c r="G55" s="90" cm="1">
        <f t="array" ref="G55">Displacement(G54,J54,$P$2)</f>
        <v>67299.057821515133</v>
      </c>
      <c r="H55" s="90" cm="1">
        <f t="array" ref="H55">Displacement(H54,K54,$P$2)</f>
        <v>201679.66842979408</v>
      </c>
      <c r="I55" s="90"/>
      <c r="J55" s="90" cm="1">
        <f t="array" ref="J55">Velocity(J54, L54, $P$2)</f>
        <v>1091.0126273148148</v>
      </c>
      <c r="K55" s="90" cm="1">
        <f t="array" ref="K55">Velocity(K54, M54, $P$2)</f>
        <v>1275.0147569444462</v>
      </c>
      <c r="L55" s="89">
        <f t="shared" ref="L55:L56" si="5">L54</f>
        <v>10</v>
      </c>
      <c r="M55" s="90">
        <f t="shared" ref="M55:M56" si="6">M54</f>
        <v>3</v>
      </c>
    </row>
    <row r="56" spans="1:19" x14ac:dyDescent="0.2">
      <c r="F56" s="84">
        <f t="shared" si="0"/>
        <v>265.00306712962964</v>
      </c>
      <c r="G56" s="90" cm="1">
        <f t="array" ref="G56">Displacement(G55,J55,$P$2)</f>
        <v>72754.184095394026</v>
      </c>
      <c r="H56" s="90" cm="1">
        <f t="array" ref="H56">Displacement(H55,K55,$P$2)</f>
        <v>208054.81600009251</v>
      </c>
      <c r="I56" s="90"/>
      <c r="J56" s="90" cm="1">
        <f t="array" ref="J56">Velocity(J55, L55, $P$2)</f>
        <v>1141.0132060185185</v>
      </c>
      <c r="K56" s="90" cm="1">
        <f t="array" ref="K56">Velocity(K55, M55, $P$2)</f>
        <v>1290.0149305555574</v>
      </c>
      <c r="L56" s="89">
        <f t="shared" si="5"/>
        <v>10</v>
      </c>
      <c r="M56" s="90">
        <f t="shared" si="6"/>
        <v>3</v>
      </c>
    </row>
    <row r="57" spans="1:19" x14ac:dyDescent="0.2">
      <c r="F57" s="84">
        <f t="shared" ref="F57:F120" si="7">F56+$P$2</f>
        <v>270.00312500000001</v>
      </c>
      <c r="G57" s="90" cm="1">
        <f t="array" ref="G57">Displacement(G56,J56,$P$2)</f>
        <v>78459.316156343455</v>
      </c>
      <c r="H57" s="90" cm="1">
        <f t="array" ref="H57">Displacement(H56,K56,$P$2)</f>
        <v>214504.96530651211</v>
      </c>
      <c r="I57" s="90"/>
      <c r="J57" s="90" cm="1">
        <f t="array" ref="J57">Velocity(J56, L56, $P$2)</f>
        <v>1191.0137847222222</v>
      </c>
      <c r="K57" s="90" cm="1">
        <f t="array" ref="K57">Velocity(K56, M56, $P$2)</f>
        <v>1305.0151041666686</v>
      </c>
      <c r="L57" s="89">
        <f t="shared" ref="L57:L120" si="8">L56</f>
        <v>10</v>
      </c>
      <c r="M57" s="90">
        <f t="shared" ref="M57:M120" si="9">M56</f>
        <v>3</v>
      </c>
    </row>
    <row r="58" spans="1:19" x14ac:dyDescent="0.2">
      <c r="F58" s="84">
        <f t="shared" si="7"/>
        <v>275.00318287037038</v>
      </c>
      <c r="G58" s="90" cm="1">
        <f t="array" ref="G58">Displacement(G57,J57,$P$2)</f>
        <v>84414.454004363404</v>
      </c>
      <c r="H58" s="90" cm="1">
        <f t="array" ref="H58">Displacement(H57,K57,$P$2)</f>
        <v>221030.11634905287</v>
      </c>
      <c r="I58" s="90"/>
      <c r="J58" s="90" cm="1">
        <f t="array" ref="J58">Velocity(J57, L57, $P$2)</f>
        <v>1241.0143634259259</v>
      </c>
      <c r="K58" s="90" cm="1">
        <f t="array" ref="K58">Velocity(K57, M57, $P$2)</f>
        <v>1320.0152777777798</v>
      </c>
      <c r="L58" s="89">
        <f t="shared" si="8"/>
        <v>10</v>
      </c>
      <c r="M58" s="90">
        <f t="shared" si="9"/>
        <v>3</v>
      </c>
    </row>
    <row r="59" spans="1:19" x14ac:dyDescent="0.2">
      <c r="F59" s="84">
        <f t="shared" si="7"/>
        <v>280.00324074074075</v>
      </c>
      <c r="G59" s="90" cm="1">
        <f t="array" ref="G59">Displacement(G58,J58,$P$2)</f>
        <v>90619.597639453874</v>
      </c>
      <c r="H59" s="90" cm="1">
        <f t="array" ref="H59">Displacement(H58,K58,$P$2)</f>
        <v>227630.2691277148</v>
      </c>
      <c r="I59" s="90"/>
      <c r="J59" s="90" cm="1">
        <f t="array" ref="J59">Velocity(J58, L58, $P$2)</f>
        <v>1291.0149421296296</v>
      </c>
      <c r="K59" s="90" cm="1">
        <f t="array" ref="K59">Velocity(K58, M58, $P$2)</f>
        <v>1335.0154513888911</v>
      </c>
      <c r="L59" s="89">
        <f t="shared" si="8"/>
        <v>10</v>
      </c>
      <c r="M59" s="90">
        <f t="shared" si="9"/>
        <v>3</v>
      </c>
    </row>
    <row r="60" spans="1:19" x14ac:dyDescent="0.2">
      <c r="F60" s="84">
        <f t="shared" si="7"/>
        <v>285.00329861111112</v>
      </c>
      <c r="G60" s="90" cm="1">
        <f t="array" ref="G60">Displacement(G59,J59,$P$2)</f>
        <v>97074.747061614878</v>
      </c>
      <c r="H60" s="90" cm="1">
        <f t="array" ref="H60">Displacement(H59,K59,$P$2)</f>
        <v>234305.42364249789</v>
      </c>
      <c r="I60" s="90"/>
      <c r="J60" s="90" cm="1">
        <f t="array" ref="J60">Velocity(J59, L59, $P$2)</f>
        <v>1341.0155208333333</v>
      </c>
      <c r="K60" s="90" cm="1">
        <f t="array" ref="K60">Velocity(K59, M59, $P$2)</f>
        <v>1350.0156250000023</v>
      </c>
      <c r="L60" s="89">
        <f t="shared" si="8"/>
        <v>10</v>
      </c>
      <c r="M60" s="90">
        <f t="shared" si="9"/>
        <v>3</v>
      </c>
    </row>
    <row r="61" spans="1:19" x14ac:dyDescent="0.2">
      <c r="F61" s="84">
        <f t="shared" si="7"/>
        <v>290.00335648148149</v>
      </c>
      <c r="G61" s="90" cm="1">
        <f t="array" ref="G61">Displacement(G60,J60,$P$2)</f>
        <v>103779.9022708464</v>
      </c>
      <c r="H61" s="90" cm="1">
        <f t="array" ref="H61">Displacement(H60,K60,$P$2)</f>
        <v>241055.57989340211</v>
      </c>
      <c r="I61" s="90"/>
      <c r="J61" s="90" cm="1">
        <f t="array" ref="J61">Velocity(J60, L60, $P$2)</f>
        <v>1391.016099537037</v>
      </c>
      <c r="K61" s="90" cm="1">
        <f t="array" ref="K61">Velocity(K60, M60, $P$2)</f>
        <v>1365.0157986111135</v>
      </c>
      <c r="L61" s="89">
        <f t="shared" si="8"/>
        <v>10</v>
      </c>
      <c r="M61" s="90">
        <f t="shared" si="9"/>
        <v>3</v>
      </c>
    </row>
    <row r="62" spans="1:19" x14ac:dyDescent="0.2">
      <c r="F62" s="84">
        <f t="shared" si="7"/>
        <v>295.00341435185186</v>
      </c>
      <c r="G62" s="90" cm="1">
        <f t="array" ref="G62">Displacement(G61,J61,$P$2)</f>
        <v>110735.06326714846</v>
      </c>
      <c r="H62" s="90" cm="1">
        <f t="array" ref="H62">Displacement(H61,K61,$P$2)</f>
        <v>247880.73788042751</v>
      </c>
      <c r="I62" s="90"/>
      <c r="J62" s="90" cm="1">
        <f t="array" ref="J62">Velocity(J61, L61, $P$2)</f>
        <v>1441.0166782407407</v>
      </c>
      <c r="K62" s="90" cm="1">
        <f t="array" ref="K62">Velocity(K61, M61, $P$2)</f>
        <v>1380.0159722222247</v>
      </c>
      <c r="L62" s="89">
        <f t="shared" si="8"/>
        <v>10</v>
      </c>
      <c r="M62" s="90">
        <f t="shared" si="9"/>
        <v>3</v>
      </c>
    </row>
    <row r="63" spans="1:19" x14ac:dyDescent="0.2">
      <c r="F63" s="84">
        <f t="shared" si="7"/>
        <v>300.00347222222223</v>
      </c>
      <c r="G63" s="90" cm="1">
        <f t="array" ref="G63">Displacement(G62,J62,$P$2)</f>
        <v>117940.23005052104</v>
      </c>
      <c r="H63" s="90" cm="1">
        <f t="array" ref="H63">Displacement(H62,K62,$P$2)</f>
        <v>254780.89760357406</v>
      </c>
      <c r="I63" s="90"/>
      <c r="J63" s="90" cm="1">
        <f t="array" ref="J63">Velocity(J62, L62, $P$2)</f>
        <v>1491.0172569444444</v>
      </c>
      <c r="K63" s="90" cm="1">
        <f t="array" ref="K63">Velocity(K62, M62, $P$2)</f>
        <v>1395.0161458333359</v>
      </c>
      <c r="L63" s="89">
        <f t="shared" si="8"/>
        <v>10</v>
      </c>
      <c r="M63" s="90">
        <f t="shared" si="9"/>
        <v>3</v>
      </c>
    </row>
    <row r="64" spans="1:19" x14ac:dyDescent="0.2">
      <c r="F64" s="84">
        <f t="shared" si="7"/>
        <v>305.0035300925926</v>
      </c>
      <c r="G64" s="90" cm="1">
        <f t="array" ref="G64">Displacement(G63,J63,$P$2)</f>
        <v>125395.40262096416</v>
      </c>
      <c r="H64" s="90" cm="1">
        <f t="array" ref="H64">Displacement(H63,K63,$P$2)</f>
        <v>261756.05906284178</v>
      </c>
      <c r="I64" s="90"/>
      <c r="J64" s="90" cm="1">
        <f t="array" ref="J64">Velocity(J63, L63, $P$2)</f>
        <v>1541.0178356481481</v>
      </c>
      <c r="K64" s="90" cm="1">
        <f t="array" ref="K64">Velocity(K63, M63, $P$2)</f>
        <v>1410.0163194444472</v>
      </c>
      <c r="L64" s="89">
        <f t="shared" si="8"/>
        <v>10</v>
      </c>
      <c r="M64" s="90">
        <f t="shared" si="9"/>
        <v>3</v>
      </c>
    </row>
    <row r="65" spans="6:13" x14ac:dyDescent="0.2">
      <c r="F65" s="84">
        <f t="shared" si="7"/>
        <v>310.00358796296297</v>
      </c>
      <c r="G65" s="90" cm="1">
        <f t="array" ref="G65">Displacement(G64,J64,$P$2)</f>
        <v>133100.58097847781</v>
      </c>
      <c r="H65" s="90" cm="1">
        <f t="array" ref="H65">Displacement(H64,K64,$P$2)</f>
        <v>268806.22225823067</v>
      </c>
      <c r="I65" s="90"/>
      <c r="J65" s="90" cm="1">
        <f t="array" ref="J65">Velocity(J64, L64, $P$2)</f>
        <v>1591.0184143518518</v>
      </c>
      <c r="K65" s="90" cm="1">
        <f t="array" ref="K65">Velocity(K64, M64, $P$2)</f>
        <v>1425.0164930555584</v>
      </c>
      <c r="L65" s="89">
        <f t="shared" si="8"/>
        <v>10</v>
      </c>
      <c r="M65" s="90">
        <f t="shared" si="9"/>
        <v>3</v>
      </c>
    </row>
    <row r="66" spans="6:13" x14ac:dyDescent="0.2">
      <c r="F66" s="84">
        <f t="shared" si="7"/>
        <v>315.00364583333334</v>
      </c>
      <c r="G66" s="90" cm="1">
        <f t="array" ref="G66">Displacement(G65,J65,$P$2)</f>
        <v>141055.76512306198</v>
      </c>
      <c r="H66" s="90" cm="1">
        <f t="array" ref="H66">Displacement(H65,K65,$P$2)</f>
        <v>275931.38718974072</v>
      </c>
      <c r="I66" s="90"/>
      <c r="J66" s="90" cm="1">
        <f t="array" ref="J66">Velocity(J65, L65, $P$2)</f>
        <v>1641.0189930555555</v>
      </c>
      <c r="K66" s="90" cm="1">
        <f t="array" ref="K66">Velocity(K65, M65, $P$2)</f>
        <v>1440.0166666666696</v>
      </c>
      <c r="L66" s="89">
        <f t="shared" si="8"/>
        <v>10</v>
      </c>
      <c r="M66" s="90">
        <f t="shared" si="9"/>
        <v>3</v>
      </c>
    </row>
    <row r="67" spans="6:13" x14ac:dyDescent="0.2">
      <c r="F67" s="84">
        <f t="shared" si="7"/>
        <v>320.00370370370371</v>
      </c>
      <c r="G67" s="90" cm="1">
        <f t="array" ref="G67">Displacement(G66,J66,$P$2)</f>
        <v>149260.95505471667</v>
      </c>
      <c r="H67" s="90" cm="1">
        <f t="array" ref="H67">Displacement(H66,K66,$P$2)</f>
        <v>283131.55385737191</v>
      </c>
      <c r="I67" s="90"/>
      <c r="J67" s="90" cm="1">
        <f t="array" ref="J67">Velocity(J66, L66, $P$2)</f>
        <v>1691.0195717592592</v>
      </c>
      <c r="K67" s="90" cm="1">
        <f t="array" ref="K67">Velocity(K66, M66, $P$2)</f>
        <v>1455.0168402777808</v>
      </c>
      <c r="L67" s="89">
        <f t="shared" si="8"/>
        <v>10</v>
      </c>
      <c r="M67" s="90">
        <f t="shared" si="9"/>
        <v>3</v>
      </c>
    </row>
    <row r="68" spans="6:13" x14ac:dyDescent="0.2">
      <c r="F68" s="84">
        <f t="shared" si="7"/>
        <v>325.00376157407408</v>
      </c>
      <c r="G68" s="90" cm="1">
        <f t="array" ref="G68">Displacement(G67,J67,$P$2)</f>
        <v>157716.15077344188</v>
      </c>
      <c r="H68" s="90" cm="1">
        <f t="array" ref="H68">Displacement(H67,K67,$P$2)</f>
        <v>290406.72226112423</v>
      </c>
      <c r="I68" s="90"/>
      <c r="J68" s="90" cm="1">
        <f t="array" ref="J68">Velocity(J67, L67, $P$2)</f>
        <v>1741.0201504629629</v>
      </c>
      <c r="K68" s="90" cm="1">
        <f t="array" ref="K68">Velocity(K67, M67, $P$2)</f>
        <v>1470.0170138888921</v>
      </c>
      <c r="L68" s="89">
        <f t="shared" si="8"/>
        <v>10</v>
      </c>
      <c r="M68" s="90">
        <f t="shared" si="9"/>
        <v>3</v>
      </c>
    </row>
    <row r="69" spans="6:13" x14ac:dyDescent="0.2">
      <c r="F69" s="84">
        <f t="shared" si="7"/>
        <v>330.00381944444445</v>
      </c>
      <c r="G69" s="90" cm="1">
        <f t="array" ref="G69">Displacement(G68,J68,$P$2)</f>
        <v>166421.35227923762</v>
      </c>
      <c r="H69" s="90" cm="1">
        <f t="array" ref="H69">Displacement(H68,K68,$P$2)</f>
        <v>297756.89240099775</v>
      </c>
      <c r="I69" s="90"/>
      <c r="J69" s="90" cm="1">
        <f t="array" ref="J69">Velocity(J68, L68, $P$2)</f>
        <v>1791.0207291666666</v>
      </c>
      <c r="K69" s="90" cm="1">
        <f t="array" ref="K69">Velocity(K68, M68, $P$2)</f>
        <v>1485.0171875000033</v>
      </c>
      <c r="L69" s="89">
        <f t="shared" si="8"/>
        <v>10</v>
      </c>
      <c r="M69" s="90">
        <f t="shared" si="9"/>
        <v>3</v>
      </c>
    </row>
    <row r="70" spans="6:13" x14ac:dyDescent="0.2">
      <c r="F70" s="84">
        <f t="shared" si="7"/>
        <v>335.00387731481482</v>
      </c>
      <c r="G70" s="90" cm="1">
        <f t="array" ref="G70">Displacement(G69,J69,$P$2)</f>
        <v>175376.5595721039</v>
      </c>
      <c r="H70" s="90" cm="1">
        <f t="array" ref="H70">Displacement(H69,K69,$P$2)</f>
        <v>305182.0642769924</v>
      </c>
      <c r="I70" s="90"/>
      <c r="J70" s="90" cm="1">
        <f t="array" ref="J70">Velocity(J69, L69, $P$2)</f>
        <v>1841.0213078703703</v>
      </c>
      <c r="K70" s="90" cm="1">
        <f t="array" ref="K70">Velocity(K69, M69, $P$2)</f>
        <v>1500.0173611111145</v>
      </c>
      <c r="L70" s="89">
        <f t="shared" si="8"/>
        <v>10</v>
      </c>
      <c r="M70" s="90">
        <f t="shared" si="9"/>
        <v>3</v>
      </c>
    </row>
    <row r="71" spans="6:13" x14ac:dyDescent="0.2">
      <c r="F71" s="84">
        <f t="shared" si="7"/>
        <v>340.00393518518518</v>
      </c>
      <c r="G71" s="90" cm="1">
        <f t="array" ref="G71">Displacement(G70,J70,$P$2)</f>
        <v>184581.7726520407</v>
      </c>
      <c r="H71" s="90" cm="1">
        <f t="array" ref="H71">Displacement(H70,K70,$P$2)</f>
        <v>312682.23788910825</v>
      </c>
      <c r="I71" s="90"/>
      <c r="J71" s="90" cm="1">
        <f t="array" ref="J71">Velocity(J70, L70, $P$2)</f>
        <v>1891.021886574074</v>
      </c>
      <c r="K71" s="90" cm="1">
        <f t="array" ref="K71">Velocity(K70, M70, $P$2)</f>
        <v>1515.0175347222257</v>
      </c>
      <c r="L71" s="89">
        <f t="shared" si="8"/>
        <v>10</v>
      </c>
      <c r="M71" s="90">
        <f t="shared" si="9"/>
        <v>3</v>
      </c>
    </row>
    <row r="72" spans="6:13" x14ac:dyDescent="0.2">
      <c r="F72" s="84">
        <f t="shared" si="7"/>
        <v>345.00399305555555</v>
      </c>
      <c r="G72" s="90" cm="1">
        <f t="array" ref="G72">Displacement(G71,J71,$P$2)</f>
        <v>194036.99151904802</v>
      </c>
      <c r="H72" s="90" cm="1">
        <f t="array" ref="H72">Displacement(H71,K71,$P$2)</f>
        <v>320257.41323734523</v>
      </c>
      <c r="I72" s="90"/>
      <c r="J72" s="90" cm="1">
        <f t="array" ref="J72">Velocity(J71, L71, $P$2)</f>
        <v>1941.0224652777777</v>
      </c>
      <c r="K72" s="90" cm="1">
        <f t="array" ref="K72">Velocity(K71, M71, $P$2)</f>
        <v>1530.0177083333369</v>
      </c>
      <c r="L72" s="89">
        <f t="shared" si="8"/>
        <v>10</v>
      </c>
      <c r="M72" s="90">
        <f t="shared" si="9"/>
        <v>3</v>
      </c>
    </row>
    <row r="73" spans="6:13" x14ac:dyDescent="0.2">
      <c r="F73" s="84">
        <f t="shared" si="7"/>
        <v>350.00405092592592</v>
      </c>
      <c r="G73" s="90" cm="1">
        <f t="array" ref="G73">Displacement(G72,J72,$P$2)</f>
        <v>203742.21617312587</v>
      </c>
      <c r="H73" s="90" cm="1">
        <f t="array" ref="H73">Displacement(H72,K72,$P$2)</f>
        <v>327907.59032170335</v>
      </c>
      <c r="I73" s="90"/>
      <c r="J73" s="90" cm="1">
        <f t="array" ref="J73">Velocity(J72, L72, $P$2)</f>
        <v>1991.0230439814814</v>
      </c>
      <c r="K73" s="90" cm="1">
        <f t="array" ref="K73">Velocity(K72, M72, $P$2)</f>
        <v>1545.0178819444482</v>
      </c>
      <c r="L73" s="89">
        <f t="shared" si="8"/>
        <v>10</v>
      </c>
      <c r="M73" s="90">
        <f t="shared" si="9"/>
        <v>3</v>
      </c>
    </row>
    <row r="74" spans="6:13" x14ac:dyDescent="0.2">
      <c r="F74" s="84">
        <f t="shared" si="7"/>
        <v>355.00410879629629</v>
      </c>
      <c r="G74" s="90" cm="1">
        <f t="array" ref="G74">Displacement(G73,J73,$P$2)</f>
        <v>213697.44661427423</v>
      </c>
      <c r="H74" s="90" cm="1">
        <f t="array" ref="H74">Displacement(H73,K73,$P$2)</f>
        <v>335632.76914218266</v>
      </c>
      <c r="I74" s="90"/>
      <c r="J74" s="90" cm="1">
        <f t="array" ref="J74">Velocity(J73, L73, $P$2)</f>
        <v>2041.023622685185</v>
      </c>
      <c r="K74" s="90" cm="1">
        <f t="array" ref="K74">Velocity(K73, M73, $P$2)</f>
        <v>1560.0180555555594</v>
      </c>
      <c r="L74" s="89">
        <f t="shared" si="8"/>
        <v>10</v>
      </c>
      <c r="M74" s="90">
        <f t="shared" si="9"/>
        <v>3</v>
      </c>
    </row>
    <row r="75" spans="6:13" x14ac:dyDescent="0.2">
      <c r="F75" s="84">
        <f t="shared" si="7"/>
        <v>360.00416666666666</v>
      </c>
      <c r="G75" s="90" cm="1">
        <f t="array" ref="G75">Displacement(G74,J74,$P$2)</f>
        <v>223902.68284249314</v>
      </c>
      <c r="H75" s="90" cm="1">
        <f t="array" ref="H75">Displacement(H74,K74,$P$2)</f>
        <v>343432.94969878311</v>
      </c>
      <c r="I75" s="90"/>
      <c r="J75" s="90" cm="1">
        <f t="array" ref="J75">Velocity(J74, L74, $P$2)</f>
        <v>2091.0242013888887</v>
      </c>
      <c r="K75" s="90" cm="1">
        <f t="array" ref="K75">Velocity(K74, M74, $P$2)</f>
        <v>1575.0182291666706</v>
      </c>
      <c r="L75" s="89">
        <f t="shared" si="8"/>
        <v>10</v>
      </c>
      <c r="M75" s="90">
        <f t="shared" si="9"/>
        <v>3</v>
      </c>
    </row>
    <row r="76" spans="6:13" x14ac:dyDescent="0.2">
      <c r="F76" s="84">
        <f t="shared" si="7"/>
        <v>365.00422453703703</v>
      </c>
      <c r="G76" s="90" cm="1">
        <f t="array" ref="G76">Displacement(G75,J75,$P$2)</f>
        <v>234357.92485778258</v>
      </c>
      <c r="H76" s="90" cm="1">
        <f t="array" ref="H76">Displacement(H75,K75,$P$2)</f>
        <v>351308.13199150475</v>
      </c>
      <c r="I76" s="90"/>
      <c r="J76" s="90" cm="1">
        <f t="array" ref="J76">Velocity(J75, L75, $P$2)</f>
        <v>2141.0247800925927</v>
      </c>
      <c r="K76" s="90" cm="1">
        <f t="array" ref="K76">Velocity(K75, M75, $P$2)</f>
        <v>1590.0184027777818</v>
      </c>
      <c r="L76" s="89">
        <f t="shared" si="8"/>
        <v>10</v>
      </c>
      <c r="M76" s="90">
        <f t="shared" si="9"/>
        <v>3</v>
      </c>
    </row>
    <row r="77" spans="6:13" x14ac:dyDescent="0.2">
      <c r="F77" s="84">
        <f t="shared" si="7"/>
        <v>370.0042824074074</v>
      </c>
      <c r="G77" s="90" cm="1">
        <f t="array" ref="G77">Displacement(G76,J76,$P$2)</f>
        <v>245063.17266014253</v>
      </c>
      <c r="H77" s="90" cm="1">
        <f t="array" ref="H77">Displacement(H76,K76,$P$2)</f>
        <v>359258.31602034753</v>
      </c>
      <c r="I77" s="90"/>
      <c r="J77" s="90" cm="1">
        <f t="array" ref="J77">Velocity(J76, L76, $P$2)</f>
        <v>2191.0253587962966</v>
      </c>
      <c r="K77" s="90" cm="1">
        <f t="array" ref="K77">Velocity(K76, M76, $P$2)</f>
        <v>1605.0185763888931</v>
      </c>
      <c r="L77" s="89">
        <f t="shared" si="8"/>
        <v>10</v>
      </c>
      <c r="M77" s="90">
        <f t="shared" si="9"/>
        <v>3</v>
      </c>
    </row>
    <row r="78" spans="6:13" x14ac:dyDescent="0.2">
      <c r="F78" s="84">
        <f t="shared" si="7"/>
        <v>375.00434027777777</v>
      </c>
      <c r="G78" s="90" cm="1">
        <f t="array" ref="G78">Displacement(G77,J77,$P$2)</f>
        <v>256018.42624957301</v>
      </c>
      <c r="H78" s="90" cm="1">
        <f t="array" ref="H78">Displacement(H77,K77,$P$2)</f>
        <v>367283.50178531144</v>
      </c>
      <c r="I78" s="90"/>
      <c r="J78" s="90" cm="1">
        <f t="array" ref="J78">Velocity(J77, L77, $P$2)</f>
        <v>2241.0259375000005</v>
      </c>
      <c r="K78" s="90" cm="1">
        <f t="array" ref="K78">Velocity(K77, M77, $P$2)</f>
        <v>1620.0187500000043</v>
      </c>
      <c r="L78" s="89">
        <f t="shared" si="8"/>
        <v>10</v>
      </c>
      <c r="M78" s="90">
        <f t="shared" si="9"/>
        <v>3</v>
      </c>
    </row>
    <row r="79" spans="6:13" x14ac:dyDescent="0.2">
      <c r="F79" s="84">
        <f t="shared" si="7"/>
        <v>380.00439814814814</v>
      </c>
      <c r="G79" s="90" cm="1">
        <f t="array" ref="G79">Displacement(G78,J78,$P$2)</f>
        <v>267223.68562607403</v>
      </c>
      <c r="H79" s="90" cm="1">
        <f t="array" ref="H79">Displacement(H78,K78,$P$2)</f>
        <v>375383.68928639655</v>
      </c>
      <c r="I79" s="90"/>
      <c r="J79" s="90" cm="1">
        <f t="array" ref="J79">Velocity(J78, L78, $P$2)</f>
        <v>2291.0265162037044</v>
      </c>
      <c r="K79" s="90" cm="1">
        <f t="array" ref="K79">Velocity(K78, M78, $P$2)</f>
        <v>1635.0189236111155</v>
      </c>
      <c r="L79" s="89">
        <f t="shared" si="8"/>
        <v>10</v>
      </c>
      <c r="M79" s="90">
        <f t="shared" si="9"/>
        <v>3</v>
      </c>
    </row>
    <row r="80" spans="6:13" x14ac:dyDescent="0.2">
      <c r="F80" s="84">
        <f t="shared" si="7"/>
        <v>385.00445601851851</v>
      </c>
      <c r="G80" s="90" cm="1">
        <f t="array" ref="G80">Displacement(G79,J79,$P$2)</f>
        <v>278678.95078964555</v>
      </c>
      <c r="H80" s="90" cm="1">
        <f t="array" ref="H80">Displacement(H79,K79,$P$2)</f>
        <v>383558.87852360279</v>
      </c>
      <c r="I80" s="90"/>
      <c r="J80" s="90" cm="1">
        <f t="array" ref="J80">Velocity(J79, L79, $P$2)</f>
        <v>2341.0270949074084</v>
      </c>
      <c r="K80" s="90" cm="1">
        <f t="array" ref="K80">Velocity(K79, M79, $P$2)</f>
        <v>1650.0190972222267</v>
      </c>
      <c r="L80" s="89">
        <f t="shared" si="8"/>
        <v>10</v>
      </c>
      <c r="M80" s="90">
        <f t="shared" si="9"/>
        <v>3</v>
      </c>
    </row>
    <row r="81" spans="6:13" x14ac:dyDescent="0.2">
      <c r="F81" s="84">
        <f t="shared" si="7"/>
        <v>390.00451388888888</v>
      </c>
      <c r="G81" s="90" cm="1">
        <f t="array" ref="G81">Displacement(G80,J80,$P$2)</f>
        <v>290384.22174028761</v>
      </c>
      <c r="H81" s="90" cm="1">
        <f t="array" ref="H81">Displacement(H80,K80,$P$2)</f>
        <v>391809.06949693023</v>
      </c>
      <c r="I81" s="90"/>
      <c r="J81" s="90" cm="1">
        <f t="array" ref="J81">Velocity(J80, L80, $P$2)</f>
        <v>2391.0276736111123</v>
      </c>
      <c r="K81" s="90" cm="1">
        <f t="array" ref="K81">Velocity(K80, M80, $P$2)</f>
        <v>1665.0192708333379</v>
      </c>
      <c r="L81" s="89">
        <f t="shared" si="8"/>
        <v>10</v>
      </c>
      <c r="M81" s="90">
        <f t="shared" si="9"/>
        <v>3</v>
      </c>
    </row>
    <row r="82" spans="6:13" x14ac:dyDescent="0.2">
      <c r="F82" s="84">
        <f t="shared" si="7"/>
        <v>395.00457175925925</v>
      </c>
      <c r="G82" s="90" cm="1">
        <f t="array" ref="G82">Displacement(G81,J81,$P$2)</f>
        <v>302339.49847800023</v>
      </c>
      <c r="H82" s="90" cm="1">
        <f t="array" ref="H82">Displacement(H81,K81,$P$2)</f>
        <v>400134.2622063788</v>
      </c>
      <c r="I82" s="90"/>
      <c r="J82" s="90" cm="1">
        <f t="array" ref="J82">Velocity(J81, L81, $P$2)</f>
        <v>2441.0282523148162</v>
      </c>
      <c r="K82" s="90" cm="1">
        <f t="array" ref="K82">Velocity(K81, M81, $P$2)</f>
        <v>1680.0194444444492</v>
      </c>
      <c r="L82" s="89">
        <f t="shared" si="8"/>
        <v>10</v>
      </c>
      <c r="M82" s="90">
        <f t="shared" si="9"/>
        <v>3</v>
      </c>
    </row>
    <row r="83" spans="6:13" x14ac:dyDescent="0.2">
      <c r="F83" s="84">
        <f t="shared" si="7"/>
        <v>400.00462962962962</v>
      </c>
      <c r="G83" s="90" cm="1">
        <f t="array" ref="G83">Displacement(G82,J82,$P$2)</f>
        <v>314544.78100278333</v>
      </c>
      <c r="H83" s="90" cm="1">
        <f t="array" ref="H83">Displacement(H82,K82,$P$2)</f>
        <v>408534.45665194851</v>
      </c>
      <c r="I83" s="90"/>
      <c r="J83" s="90" cm="1">
        <f t="array" ref="J83">Velocity(J82, L82, $P$2)</f>
        <v>2491.0288310185201</v>
      </c>
      <c r="K83" s="90" cm="1">
        <f t="array" ref="K83">Velocity(K82, M82, $P$2)</f>
        <v>1695.0196180555604</v>
      </c>
      <c r="L83" s="89">
        <f t="shared" si="8"/>
        <v>10</v>
      </c>
      <c r="M83" s="90">
        <f t="shared" si="9"/>
        <v>3</v>
      </c>
    </row>
    <row r="84" spans="6:13" x14ac:dyDescent="0.2">
      <c r="F84" s="84">
        <f t="shared" si="7"/>
        <v>405.00468749999999</v>
      </c>
      <c r="G84" s="90" cm="1">
        <f t="array" ref="G84">Displacement(G83,J83,$P$2)</f>
        <v>327000.06931463699</v>
      </c>
      <c r="H84" s="90" cm="1">
        <f t="array" ref="H84">Displacement(H83,K83,$P$2)</f>
        <v>417009.65283363941</v>
      </c>
      <c r="I84" s="90"/>
      <c r="J84" s="90" cm="1">
        <f t="array" ref="J84">Velocity(J83, L83, $P$2)</f>
        <v>2541.029409722224</v>
      </c>
      <c r="K84" s="90" cm="1">
        <f t="array" ref="K84">Velocity(K83, M83, $P$2)</f>
        <v>1710.0197916666716</v>
      </c>
      <c r="L84" s="89">
        <f t="shared" si="8"/>
        <v>10</v>
      </c>
      <c r="M84" s="90">
        <f t="shared" si="9"/>
        <v>3</v>
      </c>
    </row>
    <row r="85" spans="6:13" x14ac:dyDescent="0.2">
      <c r="F85" s="84">
        <f t="shared" si="7"/>
        <v>410.00474537037036</v>
      </c>
      <c r="G85" s="90" cm="1">
        <f t="array" ref="G85">Displacement(G84,J84,$P$2)</f>
        <v>339705.36341356119</v>
      </c>
      <c r="H85" s="90" cm="1">
        <f t="array" ref="H85">Displacement(H84,K84,$P$2)</f>
        <v>425559.85075145145</v>
      </c>
      <c r="I85" s="90"/>
      <c r="J85" s="90" cm="1">
        <f t="array" ref="J85">Velocity(J84, L84, $P$2)</f>
        <v>2591.029988425928</v>
      </c>
      <c r="K85" s="90" cm="1">
        <f t="array" ref="K85">Velocity(K84, M84, $P$2)</f>
        <v>1725.0199652777828</v>
      </c>
      <c r="L85" s="89">
        <f t="shared" si="8"/>
        <v>10</v>
      </c>
      <c r="M85" s="90">
        <f t="shared" si="9"/>
        <v>3</v>
      </c>
    </row>
    <row r="86" spans="6:13" x14ac:dyDescent="0.2">
      <c r="F86" s="84">
        <f t="shared" si="7"/>
        <v>415.00480324074073</v>
      </c>
      <c r="G86" s="90" cm="1">
        <f t="array" ref="G86">Displacement(G85,J85,$P$2)</f>
        <v>352660.66329955589</v>
      </c>
      <c r="H86" s="90" cm="1">
        <f t="array" ref="H86">Displacement(H85,K85,$P$2)</f>
        <v>434185.05040538462</v>
      </c>
      <c r="I86" s="90"/>
      <c r="J86" s="90" cm="1">
        <f t="array" ref="J86">Velocity(J85, L85, $P$2)</f>
        <v>2641.0305671296319</v>
      </c>
      <c r="K86" s="90" cm="1">
        <f t="array" ref="K86">Velocity(K85, M85, $P$2)</f>
        <v>1740.0201388888941</v>
      </c>
      <c r="L86" s="89">
        <f t="shared" si="8"/>
        <v>10</v>
      </c>
      <c r="M86" s="90">
        <f t="shared" si="9"/>
        <v>3</v>
      </c>
    </row>
    <row r="87" spans="6:13" x14ac:dyDescent="0.2">
      <c r="F87" s="84">
        <f t="shared" si="7"/>
        <v>420.0048611111111</v>
      </c>
      <c r="G87" s="90" cm="1">
        <f t="array" ref="G87">Displacement(G86,J86,$P$2)</f>
        <v>365865.96897262114</v>
      </c>
      <c r="H87" s="90" cm="1">
        <f t="array" ref="H87">Displacement(H86,K86,$P$2)</f>
        <v>442885.25179543899</v>
      </c>
      <c r="I87" s="90"/>
      <c r="J87" s="90" cm="1">
        <f t="array" ref="J87">Velocity(J86, L86, $P$2)</f>
        <v>2691.0311458333358</v>
      </c>
      <c r="K87" s="90" cm="1">
        <f t="array" ref="K87">Velocity(K86, M86, $P$2)</f>
        <v>1755.0203125000053</v>
      </c>
      <c r="L87" s="89">
        <f t="shared" si="8"/>
        <v>10</v>
      </c>
      <c r="M87" s="90">
        <f t="shared" si="9"/>
        <v>3</v>
      </c>
    </row>
    <row r="88" spans="6:13" x14ac:dyDescent="0.2">
      <c r="F88" s="84">
        <f t="shared" si="7"/>
        <v>425.00491898148147</v>
      </c>
      <c r="G88" s="90" cm="1">
        <f t="array" ref="G88">Displacement(G87,J87,$P$2)</f>
        <v>379321.28043275687</v>
      </c>
      <c r="H88" s="90" cm="1">
        <f t="array" ref="H88">Displacement(H87,K87,$P$2)</f>
        <v>451660.4549216145</v>
      </c>
      <c r="I88" s="90"/>
      <c r="J88" s="90" cm="1">
        <f t="array" ref="J88">Velocity(J87, L87, $P$2)</f>
        <v>2741.0317245370397</v>
      </c>
      <c r="K88" s="90" cm="1">
        <f t="array" ref="K88">Velocity(K87, M87, $P$2)</f>
        <v>1770.0204861111165</v>
      </c>
      <c r="L88" s="89">
        <f t="shared" si="8"/>
        <v>10</v>
      </c>
      <c r="M88" s="90">
        <f t="shared" si="9"/>
        <v>3</v>
      </c>
    </row>
    <row r="89" spans="6:13" x14ac:dyDescent="0.2">
      <c r="F89" s="84">
        <f t="shared" si="7"/>
        <v>430.00497685185184</v>
      </c>
      <c r="G89" s="90" cm="1">
        <f t="array" ref="G89">Displacement(G88,J88,$P$2)</f>
        <v>393026.59767996316</v>
      </c>
      <c r="H89" s="90" cm="1">
        <f t="array" ref="H89">Displacement(H88,K88,$P$2)</f>
        <v>460510.65978391119</v>
      </c>
      <c r="I89" s="90"/>
      <c r="J89" s="90" cm="1">
        <f t="array" ref="J89">Velocity(J88, L88, $P$2)</f>
        <v>2791.0323032407437</v>
      </c>
      <c r="K89" s="90" cm="1">
        <f t="array" ref="K89">Velocity(K88, M88, $P$2)</f>
        <v>1785.0206597222277</v>
      </c>
      <c r="L89" s="89">
        <f t="shared" si="8"/>
        <v>10</v>
      </c>
      <c r="M89" s="90">
        <f t="shared" si="9"/>
        <v>3</v>
      </c>
    </row>
    <row r="90" spans="6:13" x14ac:dyDescent="0.2">
      <c r="F90" s="84">
        <f t="shared" si="7"/>
        <v>435.00503472222221</v>
      </c>
      <c r="G90" s="90" cm="1">
        <f t="array" ref="G90">Displacement(G89,J89,$P$2)</f>
        <v>406981.92071424</v>
      </c>
      <c r="H90" s="90" cm="1">
        <f t="array" ref="H90">Displacement(H89,K89,$P$2)</f>
        <v>469435.86638232903</v>
      </c>
      <c r="I90" s="90"/>
      <c r="J90" s="90" cm="1">
        <f t="array" ref="J90">Velocity(J89, L89, $P$2)</f>
        <v>2841.0328819444476</v>
      </c>
      <c r="K90" s="90" cm="1">
        <f t="array" ref="K90">Velocity(K89, M89, $P$2)</f>
        <v>1800.0208333333389</v>
      </c>
      <c r="L90" s="89">
        <f t="shared" si="8"/>
        <v>10</v>
      </c>
      <c r="M90" s="90">
        <f t="shared" si="9"/>
        <v>3</v>
      </c>
    </row>
    <row r="91" spans="6:13" x14ac:dyDescent="0.2">
      <c r="F91" s="84">
        <f t="shared" si="7"/>
        <v>440.00509259259258</v>
      </c>
      <c r="G91" s="90" cm="1">
        <f t="array" ref="G91">Displacement(G90,J90,$P$2)</f>
        <v>421187.24953558733</v>
      </c>
      <c r="H91" s="90" cm="1">
        <f t="array" ref="H91">Displacement(H90,K90,$P$2)</f>
        <v>478436.074716868</v>
      </c>
      <c r="I91" s="90"/>
      <c r="J91" s="90" cm="1">
        <f t="array" ref="J91">Velocity(J90, L90, $P$2)</f>
        <v>2891.0334606481515</v>
      </c>
      <c r="K91" s="90" cm="1">
        <f t="array" ref="K91">Velocity(K90, M90, $P$2)</f>
        <v>1815.0210069444502</v>
      </c>
      <c r="L91" s="89">
        <f t="shared" si="8"/>
        <v>10</v>
      </c>
      <c r="M91" s="90">
        <f t="shared" si="9"/>
        <v>3</v>
      </c>
    </row>
    <row r="92" spans="6:13" x14ac:dyDescent="0.2">
      <c r="F92" s="84">
        <f t="shared" si="7"/>
        <v>445.00515046296294</v>
      </c>
      <c r="G92" s="90" cm="1">
        <f t="array" ref="G92">Displacement(G91,J91,$P$2)</f>
        <v>435642.5841440052</v>
      </c>
      <c r="H92" s="90" cm="1">
        <f t="array" ref="H92">Displacement(H91,K91,$P$2)</f>
        <v>487511.28478752816</v>
      </c>
      <c r="I92" s="90"/>
      <c r="J92" s="90" cm="1">
        <f t="array" ref="J92">Velocity(J91, L91, $P$2)</f>
        <v>2941.0340393518554</v>
      </c>
      <c r="K92" s="90" cm="1">
        <f t="array" ref="K92">Velocity(K91, M91, $P$2)</f>
        <v>1830.0211805555614</v>
      </c>
      <c r="L92" s="89">
        <f t="shared" si="8"/>
        <v>10</v>
      </c>
      <c r="M92" s="90">
        <f t="shared" si="9"/>
        <v>3</v>
      </c>
    </row>
    <row r="93" spans="6:13" x14ac:dyDescent="0.2">
      <c r="F93" s="84">
        <f t="shared" si="7"/>
        <v>450.00520833333331</v>
      </c>
      <c r="G93" s="90" cm="1">
        <f t="array" ref="G93">Displacement(G92,J92,$P$2)</f>
        <v>450347.92453949363</v>
      </c>
      <c r="H93" s="90" cm="1">
        <f t="array" ref="H93">Displacement(H92,K92,$P$2)</f>
        <v>496661.49659430946</v>
      </c>
      <c r="I93" s="90"/>
      <c r="J93" s="90" cm="1">
        <f t="array" ref="J93">Velocity(J92, L92, $P$2)</f>
        <v>2991.0346180555593</v>
      </c>
      <c r="K93" s="90" cm="1">
        <f t="array" ref="K93">Velocity(K92, M92, $P$2)</f>
        <v>1845.0213541666726</v>
      </c>
      <c r="L93" s="89">
        <f t="shared" si="8"/>
        <v>10</v>
      </c>
      <c r="M93" s="90">
        <f t="shared" si="9"/>
        <v>3</v>
      </c>
    </row>
    <row r="94" spans="6:13" x14ac:dyDescent="0.2">
      <c r="F94" s="84">
        <f t="shared" si="7"/>
        <v>455.00526620370368</v>
      </c>
      <c r="G94" s="90" cm="1">
        <f t="array" ref="G94">Displacement(G93,J93,$P$2)</f>
        <v>465303.27072205255</v>
      </c>
      <c r="H94" s="90" cm="1">
        <f t="array" ref="H94">Displacement(H93,K93,$P$2)</f>
        <v>505886.71013721195</v>
      </c>
      <c r="I94" s="90"/>
      <c r="J94" s="90" cm="1">
        <f t="array" ref="J94">Velocity(J93, L93, $P$2)</f>
        <v>3041.0351967592633</v>
      </c>
      <c r="K94" s="90" cm="1">
        <f t="array" ref="K94">Velocity(K93, M93, $P$2)</f>
        <v>1860.0215277777838</v>
      </c>
      <c r="L94" s="89">
        <f t="shared" si="8"/>
        <v>10</v>
      </c>
      <c r="M94" s="90">
        <f t="shared" si="9"/>
        <v>3</v>
      </c>
    </row>
    <row r="95" spans="6:13" x14ac:dyDescent="0.2">
      <c r="F95" s="84">
        <f t="shared" si="7"/>
        <v>460.00532407407405</v>
      </c>
      <c r="G95" s="90" cm="1">
        <f t="array" ref="G95">Displacement(G94,J94,$P$2)</f>
        <v>480508.62269168202</v>
      </c>
      <c r="H95" s="90" cm="1">
        <f t="array" ref="H95">Displacement(H94,K94,$P$2)</f>
        <v>515186.92541623558</v>
      </c>
      <c r="I95" s="90"/>
      <c r="J95" s="90" cm="1">
        <f t="array" ref="J95">Velocity(J94, L94, $P$2)</f>
        <v>3091.0357754629672</v>
      </c>
      <c r="K95" s="90" cm="1">
        <f t="array" ref="K95">Velocity(K94, M94, $P$2)</f>
        <v>1875.0217013888951</v>
      </c>
      <c r="L95" s="89">
        <f t="shared" si="8"/>
        <v>10</v>
      </c>
      <c r="M95" s="90">
        <f t="shared" si="9"/>
        <v>3</v>
      </c>
    </row>
    <row r="96" spans="6:13" x14ac:dyDescent="0.2">
      <c r="F96" s="84">
        <f t="shared" si="7"/>
        <v>465.00538194444442</v>
      </c>
      <c r="G96" s="90" cm="1">
        <f t="array" ref="G96">Displacement(G95,J95,$P$2)</f>
        <v>495963.98044838203</v>
      </c>
      <c r="H96" s="90" cm="1">
        <f t="array" ref="H96">Displacement(H95,K95,$P$2)</f>
        <v>524562.14243138034</v>
      </c>
      <c r="I96" s="90"/>
      <c r="J96" s="90" cm="1">
        <f t="array" ref="J96">Velocity(J95, L95, $P$2)</f>
        <v>3141.0363541666711</v>
      </c>
      <c r="K96" s="90" cm="1">
        <f t="array" ref="K96">Velocity(K95, M95, $P$2)</f>
        <v>1890.0218750000063</v>
      </c>
      <c r="L96" s="89">
        <f t="shared" si="8"/>
        <v>10</v>
      </c>
      <c r="M96" s="90">
        <f t="shared" si="9"/>
        <v>3</v>
      </c>
    </row>
    <row r="97" spans="6:13" x14ac:dyDescent="0.2">
      <c r="F97" s="84">
        <f t="shared" si="7"/>
        <v>470.00543981481479</v>
      </c>
      <c r="G97" s="90" cm="1">
        <f t="array" ref="G97">Displacement(G96,J96,$P$2)</f>
        <v>511669.34399215254</v>
      </c>
      <c r="H97" s="90" cm="1">
        <f t="array" ref="H97">Displacement(H96,K96,$P$2)</f>
        <v>534012.36118264624</v>
      </c>
      <c r="I97" s="90"/>
      <c r="J97" s="90" cm="1">
        <f t="array" ref="J97">Velocity(J96, L96, $P$2)</f>
        <v>3191.036932870375</v>
      </c>
      <c r="K97" s="90" cm="1">
        <f t="array" ref="K97">Velocity(K96, M96, $P$2)</f>
        <v>1905.0220486111175</v>
      </c>
      <c r="L97" s="89">
        <f t="shared" si="8"/>
        <v>10</v>
      </c>
      <c r="M97" s="90">
        <f t="shared" si="9"/>
        <v>3</v>
      </c>
    </row>
    <row r="98" spans="6:13" x14ac:dyDescent="0.2">
      <c r="F98" s="84">
        <f t="shared" si="7"/>
        <v>475.00549768518516</v>
      </c>
      <c r="G98" s="90" cm="1">
        <f t="array" ref="G98">Displacement(G97,J97,$P$2)</f>
        <v>527624.7133229936</v>
      </c>
      <c r="H98" s="90" cm="1">
        <f t="array" ref="H98">Displacement(H97,K97,$P$2)</f>
        <v>543537.5816700334</v>
      </c>
      <c r="I98" s="90"/>
      <c r="J98" s="90" cm="1">
        <f t="array" ref="J98">Velocity(J97, L97, $P$2)</f>
        <v>3241.037511574079</v>
      </c>
      <c r="K98" s="90" cm="1">
        <f t="array" ref="K98">Velocity(K97, M97, $P$2)</f>
        <v>1920.0222222222287</v>
      </c>
      <c r="L98" s="89">
        <f t="shared" si="8"/>
        <v>10</v>
      </c>
      <c r="M98" s="90">
        <f t="shared" si="9"/>
        <v>3</v>
      </c>
    </row>
    <row r="99" spans="6:13" x14ac:dyDescent="0.2">
      <c r="F99" s="84">
        <f t="shared" si="7"/>
        <v>480.00555555555553</v>
      </c>
      <c r="G99" s="90" cm="1">
        <f t="array" ref="G99">Displacement(G98,J98,$P$2)</f>
        <v>543830.08844090521</v>
      </c>
      <c r="H99" s="90" cm="1">
        <f t="array" ref="H99">Displacement(H98,K98,$P$2)</f>
        <v>553137.80389354168</v>
      </c>
      <c r="I99" s="90"/>
      <c r="J99" s="90" cm="1">
        <f t="array" ref="J99">Velocity(J98, L98, $P$2)</f>
        <v>3291.0380902777829</v>
      </c>
      <c r="K99" s="90" cm="1">
        <f t="array" ref="K99">Velocity(K98, M98, $P$2)</f>
        <v>1935.0223958333399</v>
      </c>
      <c r="L99" s="89">
        <f t="shared" si="8"/>
        <v>10</v>
      </c>
      <c r="M99" s="90">
        <f t="shared" si="9"/>
        <v>3</v>
      </c>
    </row>
    <row r="100" spans="6:13" x14ac:dyDescent="0.2">
      <c r="F100" s="84">
        <f t="shared" si="7"/>
        <v>485.0056134259259</v>
      </c>
      <c r="G100" s="90" cm="1">
        <f t="array" ref="G100">Displacement(G99,J99,$P$2)</f>
        <v>560285.46934588731</v>
      </c>
      <c r="H100" s="90" cm="1">
        <f t="array" ref="H100">Displacement(H99,K99,$P$2)</f>
        <v>562813.02785317111</v>
      </c>
      <c r="I100" s="90"/>
      <c r="J100" s="90" cm="1">
        <f t="array" ref="J100">Velocity(J99, L99, $P$2)</f>
        <v>3341.0386689814868</v>
      </c>
      <c r="K100" s="90" cm="1">
        <f t="array" ref="K100">Velocity(K99, M99, $P$2)</f>
        <v>1950.0225694444512</v>
      </c>
      <c r="L100" s="89">
        <f t="shared" si="8"/>
        <v>10</v>
      </c>
      <c r="M100" s="90">
        <f t="shared" si="9"/>
        <v>3</v>
      </c>
    </row>
    <row r="101" spans="6:13" x14ac:dyDescent="0.2">
      <c r="F101" s="84">
        <f t="shared" si="7"/>
        <v>490.00567129629627</v>
      </c>
      <c r="G101" s="90" cm="1">
        <f t="array" ref="G101">Displacement(G100,J100,$P$2)</f>
        <v>576990.8560379399</v>
      </c>
      <c r="H101" s="90" cm="1">
        <f t="array" ref="H101">Displacement(H100,K100,$P$2)</f>
        <v>572563.25354892167</v>
      </c>
      <c r="I101" s="90"/>
      <c r="J101" s="90" cm="1">
        <f t="array" ref="J101">Velocity(J100, L100, $P$2)</f>
        <v>3391.0392476851907</v>
      </c>
      <c r="K101" s="90" cm="1">
        <f t="array" ref="K101">Velocity(K100, M100, $P$2)</f>
        <v>1965.0227430555624</v>
      </c>
      <c r="L101" s="89">
        <f t="shared" si="8"/>
        <v>10</v>
      </c>
      <c r="M101" s="90">
        <f t="shared" si="9"/>
        <v>3</v>
      </c>
    </row>
    <row r="102" spans="6:13" x14ac:dyDescent="0.2">
      <c r="F102" s="84">
        <f t="shared" si="7"/>
        <v>495.00572916666664</v>
      </c>
      <c r="G102" s="90" cm="1">
        <f t="array" ref="G102">Displacement(G101,J101,$P$2)</f>
        <v>593946.2485170631</v>
      </c>
      <c r="H102" s="90" cm="1">
        <f t="array" ref="H102">Displacement(H101,K101,$P$2)</f>
        <v>582388.48098079336</v>
      </c>
      <c r="I102" s="90"/>
      <c r="J102" s="90" cm="1">
        <f t="array" ref="J102">Velocity(J101, L101, $P$2)</f>
        <v>3441.0398263888947</v>
      </c>
      <c r="K102" s="90" cm="1">
        <f t="array" ref="K102">Velocity(K101, M101, $P$2)</f>
        <v>1980.0229166666736</v>
      </c>
      <c r="L102" s="89">
        <f t="shared" si="8"/>
        <v>10</v>
      </c>
      <c r="M102" s="90">
        <f t="shared" si="9"/>
        <v>3</v>
      </c>
    </row>
    <row r="103" spans="6:13" x14ac:dyDescent="0.2">
      <c r="F103" s="84">
        <f t="shared" si="7"/>
        <v>500.00578703703701</v>
      </c>
      <c r="G103" s="90" cm="1">
        <f t="array" ref="G103">Displacement(G102,J102,$P$2)</f>
        <v>611151.64678325679</v>
      </c>
      <c r="H103" s="90" cm="1">
        <f t="array" ref="H103">Displacement(H102,K102,$P$2)</f>
        <v>592288.71014878631</v>
      </c>
      <c r="I103" s="90"/>
      <c r="J103" s="90" cm="1">
        <f t="array" ref="J103">Velocity(J102, L102, $P$2)</f>
        <v>3491.0404050925986</v>
      </c>
      <c r="K103" s="90" cm="1">
        <f t="array" ref="K103">Velocity(K102, M102, $P$2)</f>
        <v>1995.0230902777848</v>
      </c>
      <c r="L103" s="89">
        <f t="shared" si="8"/>
        <v>10</v>
      </c>
      <c r="M103" s="90">
        <f t="shared" si="9"/>
        <v>3</v>
      </c>
    </row>
    <row r="104" spans="6:13" x14ac:dyDescent="0.2">
      <c r="F104" s="84">
        <f t="shared" si="7"/>
        <v>505.00584490740738</v>
      </c>
      <c r="G104" s="90" cm="1">
        <f t="array" ref="G104">Displacement(G103,J103,$P$2)</f>
        <v>628607.05083652097</v>
      </c>
      <c r="H104" s="90" cm="1">
        <f t="array" ref="H104">Displacement(H103,K103,$P$2)</f>
        <v>602263.94105290039</v>
      </c>
      <c r="I104" s="90"/>
      <c r="J104" s="90" cm="1">
        <f t="array" ref="J104">Velocity(J103, L103, $P$2)</f>
        <v>3541.0409837963025</v>
      </c>
      <c r="K104" s="90" cm="1">
        <f t="array" ref="K104">Velocity(K103, M103, $P$2)</f>
        <v>2010.0232638888961</v>
      </c>
      <c r="L104" s="89">
        <f t="shared" si="8"/>
        <v>10</v>
      </c>
      <c r="M104" s="90">
        <f t="shared" si="9"/>
        <v>3</v>
      </c>
    </row>
    <row r="105" spans="6:13" x14ac:dyDescent="0.2">
      <c r="F105" s="84">
        <f t="shared" si="7"/>
        <v>510.00590277777775</v>
      </c>
      <c r="G105" s="90" cm="1">
        <f t="array" ref="G105">Displacement(G104,J104,$P$2)</f>
        <v>646312.46067685576</v>
      </c>
      <c r="H105" s="90" cm="1">
        <f t="array" ref="H105">Displacement(H104,K104,$P$2)</f>
        <v>612314.17369313561</v>
      </c>
      <c r="I105" s="90"/>
      <c r="J105" s="90" cm="1">
        <f t="array" ref="J105">Velocity(J104, L104, $P$2)</f>
        <v>3591.0415625000064</v>
      </c>
      <c r="K105" s="90" cm="1">
        <f t="array" ref="K105">Velocity(K104, M104, $P$2)</f>
        <v>2025.0234375000073</v>
      </c>
      <c r="L105" s="89">
        <f t="shared" si="8"/>
        <v>10</v>
      </c>
      <c r="M105" s="90">
        <f t="shared" si="9"/>
        <v>3</v>
      </c>
    </row>
    <row r="106" spans="6:13" x14ac:dyDescent="0.2">
      <c r="F106" s="84">
        <f t="shared" si="7"/>
        <v>515.00596064814818</v>
      </c>
      <c r="G106" s="90" cm="1">
        <f t="array" ref="G106">Displacement(G105,J105,$P$2)</f>
        <v>664267.87630426104</v>
      </c>
      <c r="H106" s="90" cm="1">
        <f t="array" ref="H106">Displacement(H105,K105,$P$2)</f>
        <v>622439.40806949197</v>
      </c>
      <c r="I106" s="90"/>
      <c r="J106" s="90" cm="1">
        <f t="array" ref="J106">Velocity(J105, L105, $P$2)</f>
        <v>3641.0421412037103</v>
      </c>
      <c r="K106" s="90" cm="1">
        <f t="array" ref="K106">Velocity(K105, M105, $P$2)</f>
        <v>2040.0236111111185</v>
      </c>
      <c r="L106" s="89">
        <f t="shared" si="8"/>
        <v>10</v>
      </c>
      <c r="M106" s="90">
        <f t="shared" si="9"/>
        <v>3</v>
      </c>
    </row>
    <row r="107" spans="6:13" x14ac:dyDescent="0.2">
      <c r="F107" s="84">
        <f t="shared" si="7"/>
        <v>520.00601851851854</v>
      </c>
      <c r="G107" s="90" cm="1">
        <f t="array" ref="G107">Displacement(G106,J106,$P$2)</f>
        <v>682473.29771873681</v>
      </c>
      <c r="H107" s="90" cm="1">
        <f t="array" ref="H107">Displacement(H106,K106,$P$2)</f>
        <v>632639.64418196946</v>
      </c>
      <c r="I107" s="90"/>
      <c r="J107" s="90" cm="1">
        <f t="array" ref="J107">Velocity(J106, L106, $P$2)</f>
        <v>3691.0427199074143</v>
      </c>
      <c r="K107" s="90" cm="1">
        <f t="array" ref="K107">Velocity(K106, M106, $P$2)</f>
        <v>2055.0237847222297</v>
      </c>
      <c r="L107" s="89">
        <f t="shared" si="8"/>
        <v>10</v>
      </c>
      <c r="M107" s="90">
        <f t="shared" si="9"/>
        <v>3</v>
      </c>
    </row>
    <row r="108" spans="6:13" x14ac:dyDescent="0.2">
      <c r="F108" s="84">
        <f t="shared" si="7"/>
        <v>525.00607638888891</v>
      </c>
      <c r="G108" s="90" cm="1">
        <f t="array" ref="G108">Displacement(G107,J107,$P$2)</f>
        <v>700928.72492028319</v>
      </c>
      <c r="H108" s="90" cm="1">
        <f t="array" ref="H108">Displacement(H107,K107,$P$2)</f>
        <v>642914.8820305682</v>
      </c>
      <c r="I108" s="90"/>
      <c r="J108" s="90" cm="1">
        <f t="array" ref="J108">Velocity(J107, L107, $P$2)</f>
        <v>3741.0432986111182</v>
      </c>
      <c r="K108" s="90" cm="1">
        <f t="array" ref="K108">Velocity(K107, M107, $P$2)</f>
        <v>2070.0239583333409</v>
      </c>
      <c r="L108" s="89">
        <f t="shared" si="8"/>
        <v>10</v>
      </c>
      <c r="M108" s="90">
        <f t="shared" si="9"/>
        <v>3</v>
      </c>
    </row>
    <row r="109" spans="6:13" x14ac:dyDescent="0.2">
      <c r="F109" s="84">
        <f t="shared" si="7"/>
        <v>530.00613425925928</v>
      </c>
      <c r="G109" s="90" cm="1">
        <f t="array" ref="G109">Displacement(G108,J108,$P$2)</f>
        <v>719634.15790890006</v>
      </c>
      <c r="H109" s="90" cm="1">
        <f t="array" ref="H109">Displacement(H108,K108,$P$2)</f>
        <v>653265.12161528808</v>
      </c>
      <c r="I109" s="90"/>
      <c r="J109" s="90" cm="1">
        <f t="array" ref="J109">Velocity(J108, L108, $P$2)</f>
        <v>3791.0438773148221</v>
      </c>
      <c r="K109" s="90" cm="1">
        <f t="array" ref="K109">Velocity(K108, M108, $P$2)</f>
        <v>2085.0241319444522</v>
      </c>
      <c r="L109" s="89">
        <f t="shared" si="8"/>
        <v>10</v>
      </c>
      <c r="M109" s="90">
        <f t="shared" si="9"/>
        <v>3</v>
      </c>
    </row>
    <row r="110" spans="6:13" x14ac:dyDescent="0.2">
      <c r="F110" s="84">
        <f t="shared" si="7"/>
        <v>535.00619212962965</v>
      </c>
      <c r="G110" s="90" cm="1">
        <f t="array" ref="G110">Displacement(G109,J109,$P$2)</f>
        <v>738589.59668458742</v>
      </c>
      <c r="H110" s="90" cm="1">
        <f t="array" ref="H110">Displacement(H109,K109,$P$2)</f>
        <v>663690.3629361291</v>
      </c>
      <c r="I110" s="90"/>
      <c r="J110" s="90" cm="1">
        <f t="array" ref="J110">Velocity(J109, L109, $P$2)</f>
        <v>3841.044456018526</v>
      </c>
      <c r="K110" s="90" cm="1">
        <f t="array" ref="K110">Velocity(K109, M109, $P$2)</f>
        <v>2100.0243055555634</v>
      </c>
      <c r="L110" s="89">
        <f t="shared" si="8"/>
        <v>10</v>
      </c>
      <c r="M110" s="90">
        <f t="shared" si="9"/>
        <v>3</v>
      </c>
    </row>
    <row r="111" spans="6:13" x14ac:dyDescent="0.2">
      <c r="F111" s="84">
        <f t="shared" si="7"/>
        <v>540.00625000000002</v>
      </c>
      <c r="G111" s="90" cm="1">
        <f t="array" ref="G111">Displacement(G110,J110,$P$2)</f>
        <v>757795.04124734527</v>
      </c>
      <c r="H111" s="90" cm="1">
        <f t="array" ref="H111">Displacement(H110,K110,$P$2)</f>
        <v>674190.60599309125</v>
      </c>
      <c r="I111" s="90"/>
      <c r="J111" s="90" cm="1">
        <f t="array" ref="J111">Velocity(J110, L110, $P$2)</f>
        <v>3891.04503472223</v>
      </c>
      <c r="K111" s="90" cm="1">
        <f t="array" ref="K111">Velocity(K110, M110, $P$2)</f>
        <v>2115.0244791666746</v>
      </c>
      <c r="L111" s="89">
        <f t="shared" si="8"/>
        <v>10</v>
      </c>
      <c r="M111" s="90">
        <f t="shared" si="9"/>
        <v>3</v>
      </c>
    </row>
    <row r="112" spans="6:13" x14ac:dyDescent="0.2">
      <c r="F112" s="84">
        <f t="shared" si="7"/>
        <v>545.00630787037039</v>
      </c>
      <c r="G112" s="90" cm="1">
        <f t="array" ref="G112">Displacement(G111,J111,$P$2)</f>
        <v>777250.49159717374</v>
      </c>
      <c r="H112" s="90" cm="1">
        <f t="array" ref="H112">Displacement(H111,K111,$P$2)</f>
        <v>684765.85078617453</v>
      </c>
      <c r="I112" s="90"/>
      <c r="J112" s="90" cm="1">
        <f t="array" ref="J112">Velocity(J111, L111, $P$2)</f>
        <v>3941.0456134259339</v>
      </c>
      <c r="K112" s="90" cm="1">
        <f t="array" ref="K112">Velocity(K111, M111, $P$2)</f>
        <v>2130.0246527777858</v>
      </c>
      <c r="L112" s="89">
        <f t="shared" si="8"/>
        <v>10</v>
      </c>
      <c r="M112" s="90">
        <f t="shared" si="9"/>
        <v>3</v>
      </c>
    </row>
    <row r="113" spans="6:13" x14ac:dyDescent="0.2">
      <c r="F113" s="84">
        <f t="shared" si="7"/>
        <v>550.00636574074076</v>
      </c>
      <c r="G113" s="90" cm="1">
        <f t="array" ref="G113">Displacement(G112,J112,$P$2)</f>
        <v>796955.94773407269</v>
      </c>
      <c r="H113" s="90" cm="1">
        <f t="array" ref="H113">Displacement(H112,K112,$P$2)</f>
        <v>695416.09731537907</v>
      </c>
      <c r="I113" s="90"/>
      <c r="J113" s="90" cm="1">
        <f t="array" ref="J113">Velocity(J112, L112, $P$2)</f>
        <v>3991.0461921296378</v>
      </c>
      <c r="K113" s="90" cm="1">
        <f t="array" ref="K113">Velocity(K112, M112, $P$2)</f>
        <v>2145.0248263888971</v>
      </c>
      <c r="L113" s="89">
        <f t="shared" si="8"/>
        <v>10</v>
      </c>
      <c r="M113" s="90">
        <f t="shared" si="9"/>
        <v>3</v>
      </c>
    </row>
    <row r="114" spans="6:13" x14ac:dyDescent="0.2">
      <c r="F114" s="84">
        <f t="shared" si="7"/>
        <v>555.00642361111113</v>
      </c>
      <c r="G114" s="90" cm="1">
        <f t="array" ref="G114">Displacement(G113,J113,$P$2)</f>
        <v>816911.40965804213</v>
      </c>
      <c r="H114" s="90" cm="1">
        <f t="array" ref="H114">Displacement(H113,K113,$P$2)</f>
        <v>706141.34558070474</v>
      </c>
      <c r="I114" s="90"/>
      <c r="J114" s="90" cm="1">
        <f t="array" ref="J114">Velocity(J113, L113, $P$2)</f>
        <v>4041.0467708333417</v>
      </c>
      <c r="K114" s="90" cm="1">
        <f t="array" ref="K114">Velocity(K113, M113, $P$2)</f>
        <v>2160.0250000000083</v>
      </c>
      <c r="L114" s="89">
        <f t="shared" si="8"/>
        <v>10</v>
      </c>
      <c r="M114" s="90">
        <f t="shared" si="9"/>
        <v>3</v>
      </c>
    </row>
    <row r="115" spans="6:13" x14ac:dyDescent="0.2">
      <c r="F115" s="84">
        <f t="shared" si="7"/>
        <v>560.0064814814815</v>
      </c>
      <c r="G115" s="90" cm="1">
        <f t="array" ref="G115">Displacement(G114,J114,$P$2)</f>
        <v>837116.87736908218</v>
      </c>
      <c r="H115" s="90" cm="1">
        <f t="array" ref="H115">Displacement(H114,K114,$P$2)</f>
        <v>716941.59558215155</v>
      </c>
      <c r="I115" s="90"/>
      <c r="J115" s="90" cm="1">
        <f t="array" ref="J115">Velocity(J114, L114, $P$2)</f>
        <v>4091.0473495370456</v>
      </c>
      <c r="K115" s="90" cm="1">
        <f t="array" ref="K115">Velocity(K114, M114, $P$2)</f>
        <v>2175.0251736111195</v>
      </c>
      <c r="L115" s="89">
        <f t="shared" si="8"/>
        <v>10</v>
      </c>
      <c r="M115" s="90">
        <f t="shared" si="9"/>
        <v>3</v>
      </c>
    </row>
    <row r="116" spans="6:13" x14ac:dyDescent="0.2">
      <c r="F116" s="84">
        <f t="shared" si="7"/>
        <v>565.00653935185187</v>
      </c>
      <c r="G116" s="90" cm="1">
        <f t="array" ref="G116">Displacement(G115,J115,$P$2)</f>
        <v>857572.35086719273</v>
      </c>
      <c r="H116" s="90" cm="1">
        <f t="array" ref="H116">Displacement(H115,K115,$P$2)</f>
        <v>727816.8473197195</v>
      </c>
      <c r="I116" s="90"/>
      <c r="J116" s="90" cm="1">
        <f t="array" ref="J116">Velocity(J115, L115, $P$2)</f>
        <v>4141.0479282407496</v>
      </c>
      <c r="K116" s="90" cm="1">
        <f t="array" ref="K116">Velocity(K115, M115, $P$2)</f>
        <v>2190.0253472222307</v>
      </c>
      <c r="L116" s="89">
        <f t="shared" si="8"/>
        <v>10</v>
      </c>
      <c r="M116" s="90">
        <f t="shared" si="9"/>
        <v>3</v>
      </c>
    </row>
    <row r="117" spans="6:13" x14ac:dyDescent="0.2">
      <c r="F117" s="84">
        <f t="shared" si="7"/>
        <v>570.00659722222224</v>
      </c>
      <c r="G117" s="90" cm="1">
        <f t="array" ref="G117">Displacement(G116,J116,$P$2)</f>
        <v>878277.83015237376</v>
      </c>
      <c r="H117" s="90" cm="1">
        <f t="array" ref="H117">Displacement(H116,K116,$P$2)</f>
        <v>738767.10079340858</v>
      </c>
      <c r="I117" s="90"/>
      <c r="J117" s="90" cm="1">
        <f t="array" ref="J117">Velocity(J116, L116, $P$2)</f>
        <v>4191.048506944453</v>
      </c>
      <c r="K117" s="90" cm="1">
        <f t="array" ref="K117">Velocity(K116, M116, $P$2)</f>
        <v>2205.0255208333419</v>
      </c>
      <c r="L117" s="89">
        <f t="shared" si="8"/>
        <v>10</v>
      </c>
      <c r="M117" s="90">
        <f t="shared" si="9"/>
        <v>3</v>
      </c>
    </row>
    <row r="118" spans="6:13" x14ac:dyDescent="0.2">
      <c r="F118" s="84">
        <f t="shared" si="7"/>
        <v>575.00665509259261</v>
      </c>
      <c r="G118" s="90" cm="1">
        <f t="array" ref="G118">Displacement(G117,J117,$P$2)</f>
        <v>899233.3152246254</v>
      </c>
      <c r="H118" s="90" cm="1">
        <f t="array" ref="H118">Displacement(H117,K117,$P$2)</f>
        <v>749792.35600321891</v>
      </c>
      <c r="I118" s="90"/>
      <c r="J118" s="90" cm="1">
        <f t="array" ref="J118">Velocity(J117, L117, $P$2)</f>
        <v>4241.0490856481565</v>
      </c>
      <c r="K118" s="90" cm="1">
        <f t="array" ref="K118">Velocity(K117, M117, $P$2)</f>
        <v>2220.0256944444532</v>
      </c>
      <c r="L118" s="89">
        <f t="shared" si="8"/>
        <v>10</v>
      </c>
      <c r="M118" s="90">
        <f t="shared" si="9"/>
        <v>3</v>
      </c>
    </row>
    <row r="119" spans="6:13" x14ac:dyDescent="0.2">
      <c r="F119" s="84">
        <f t="shared" si="7"/>
        <v>580.00671296296298</v>
      </c>
      <c r="G119" s="90" cm="1">
        <f t="array" ref="G119">Displacement(G118,J118,$P$2)</f>
        <v>920438.80608394754</v>
      </c>
      <c r="H119" s="90" cm="1">
        <f t="array" ref="H119">Displacement(H118,K118,$P$2)</f>
        <v>760892.61294915038</v>
      </c>
      <c r="I119" s="90"/>
      <c r="J119" s="90" cm="1">
        <f t="array" ref="J119">Velocity(J118, L118, $P$2)</f>
        <v>4291.04966435186</v>
      </c>
      <c r="K119" s="90" cm="1">
        <f t="array" ref="K119">Velocity(K118, M118, $P$2)</f>
        <v>2235.0258680555644</v>
      </c>
      <c r="L119" s="89">
        <f t="shared" si="8"/>
        <v>10</v>
      </c>
      <c r="M119" s="90">
        <f t="shared" si="9"/>
        <v>3</v>
      </c>
    </row>
    <row r="120" spans="6:13" x14ac:dyDescent="0.2">
      <c r="F120" s="84">
        <f t="shared" si="7"/>
        <v>585.00677083333335</v>
      </c>
      <c r="G120" s="90" cm="1">
        <f t="array" ref="G120">Displacement(G119,J119,$P$2)</f>
        <v>941894.30273034016</v>
      </c>
      <c r="H120" s="90" cm="1">
        <f t="array" ref="H120">Displacement(H119,K119,$P$2)</f>
        <v>772067.87163120299</v>
      </c>
      <c r="I120" s="90"/>
      <c r="J120" s="90" cm="1">
        <f t="array" ref="J120">Velocity(J119, L119, $P$2)</f>
        <v>4341.0502430555634</v>
      </c>
      <c r="K120" s="90" cm="1">
        <f t="array" ref="K120">Velocity(K119, M119, $P$2)</f>
        <v>2250.0260416666756</v>
      </c>
      <c r="L120" s="89">
        <f t="shared" si="8"/>
        <v>10</v>
      </c>
      <c r="M120" s="90">
        <f t="shared" si="9"/>
        <v>3</v>
      </c>
    </row>
    <row r="121" spans="6:13" x14ac:dyDescent="0.2">
      <c r="F121" s="84">
        <f t="shared" ref="F121:F157" si="10">F120+$P$2</f>
        <v>590.00682870370372</v>
      </c>
      <c r="G121" s="90" cm="1">
        <f t="array" ref="G121">Displacement(G120,J120,$P$2)</f>
        <v>963599.80516380339</v>
      </c>
      <c r="H121" s="90" cm="1">
        <f t="array" ref="H121">Displacement(H120,K120,$P$2)</f>
        <v>783318.13204937673</v>
      </c>
      <c r="I121" s="90"/>
      <c r="J121" s="90" cm="1">
        <f t="array" ref="J121">Velocity(J120, L120, $P$2)</f>
        <v>4391.0508217592669</v>
      </c>
      <c r="K121" s="90" cm="1">
        <f t="array" ref="K121">Velocity(K120, M120, $P$2)</f>
        <v>2265.0262152777868</v>
      </c>
      <c r="L121" s="89">
        <f t="shared" ref="L121:L157" si="11">L120</f>
        <v>10</v>
      </c>
      <c r="M121" s="90">
        <f t="shared" ref="M121:M157" si="12">M120</f>
        <v>3</v>
      </c>
    </row>
    <row r="122" spans="6:13" x14ac:dyDescent="0.2">
      <c r="F122" s="84">
        <f t="shared" si="10"/>
        <v>595.00688657407409</v>
      </c>
      <c r="G122" s="90" cm="1">
        <f t="array" ref="G122">Displacement(G121,J121,$P$2)</f>
        <v>985555.31338433712</v>
      </c>
      <c r="H122" s="90" cm="1">
        <f t="array" ref="H122">Displacement(H121,K121,$P$2)</f>
        <v>794643.3942036716</v>
      </c>
      <c r="I122" s="90"/>
      <c r="J122" s="90" cm="1">
        <f t="array" ref="J122">Velocity(J121, L121, $P$2)</f>
        <v>4441.0514004629704</v>
      </c>
      <c r="K122" s="90" cm="1">
        <f t="array" ref="K122">Velocity(K121, M121, $P$2)</f>
        <v>2280.0263888888981</v>
      </c>
      <c r="L122" s="89">
        <f t="shared" si="11"/>
        <v>10</v>
      </c>
      <c r="M122" s="90">
        <f t="shared" si="12"/>
        <v>3</v>
      </c>
    </row>
    <row r="123" spans="6:13" x14ac:dyDescent="0.2">
      <c r="F123" s="84">
        <f t="shared" si="10"/>
        <v>600.00694444444446</v>
      </c>
      <c r="G123" s="90" cm="1">
        <f t="array" ref="G123">Displacement(G122,J122,$P$2)</f>
        <v>1007760.8273919413</v>
      </c>
      <c r="H123" s="90" cm="1">
        <f t="array" ref="H123">Displacement(H122,K122,$P$2)</f>
        <v>806043.65809408762</v>
      </c>
      <c r="I123" s="90"/>
      <c r="J123" s="90" cm="1">
        <f t="array" ref="J123">Velocity(J122, L122, $P$2)</f>
        <v>4491.0519791666738</v>
      </c>
      <c r="K123" s="90" cm="1">
        <f t="array" ref="K123">Velocity(K122, M122, $P$2)</f>
        <v>2295.0265625000093</v>
      </c>
      <c r="L123" s="89">
        <f t="shared" si="11"/>
        <v>10</v>
      </c>
      <c r="M123" s="90">
        <f t="shared" si="12"/>
        <v>3</v>
      </c>
    </row>
    <row r="124" spans="6:13" x14ac:dyDescent="0.2">
      <c r="F124" s="84">
        <f t="shared" si="10"/>
        <v>605.00700231481483</v>
      </c>
      <c r="G124" s="90" cm="1">
        <f t="array" ref="G124">Displacement(G123,J123,$P$2)</f>
        <v>1030216.347186616</v>
      </c>
      <c r="H124" s="90" cm="1">
        <f t="array" ref="H124">Displacement(H123,K123,$P$2)</f>
        <v>817518.92372062488</v>
      </c>
      <c r="I124" s="90"/>
      <c r="J124" s="90" cm="1">
        <f t="array" ref="J124">Velocity(J123, L123, $P$2)</f>
        <v>4541.0525578703773</v>
      </c>
      <c r="K124" s="90" cm="1">
        <f t="array" ref="K124">Velocity(K123, M123, $P$2)</f>
        <v>2310.0267361111205</v>
      </c>
      <c r="L124" s="89">
        <f t="shared" si="11"/>
        <v>10</v>
      </c>
      <c r="M124" s="90">
        <f t="shared" si="12"/>
        <v>3</v>
      </c>
    </row>
    <row r="125" spans="6:13" x14ac:dyDescent="0.2">
      <c r="F125" s="84">
        <f t="shared" si="10"/>
        <v>610.0070601851852</v>
      </c>
      <c r="G125" s="90" cm="1">
        <f t="array" ref="G125">Displacement(G124,J124,$P$2)</f>
        <v>1052921.8727683614</v>
      </c>
      <c r="H125" s="90" cm="1">
        <f t="array" ref="H125">Displacement(H124,K124,$P$2)</f>
        <v>829069.19108328328</v>
      </c>
      <c r="I125" s="90"/>
      <c r="J125" s="90" cm="1">
        <f t="array" ref="J125">Velocity(J124, L124, $P$2)</f>
        <v>4591.0531365740808</v>
      </c>
      <c r="K125" s="90" cm="1">
        <f t="array" ref="K125">Velocity(K124, M124, $P$2)</f>
        <v>2325.0269097222317</v>
      </c>
      <c r="L125" s="89">
        <f t="shared" si="11"/>
        <v>10</v>
      </c>
      <c r="M125" s="90">
        <f t="shared" si="12"/>
        <v>3</v>
      </c>
    </row>
    <row r="126" spans="6:13" x14ac:dyDescent="0.2">
      <c r="F126" s="84">
        <f t="shared" si="10"/>
        <v>615.00711805555557</v>
      </c>
      <c r="G126" s="90" cm="1">
        <f t="array" ref="G126">Displacement(G125,J125,$P$2)</f>
        <v>1075877.4041371772</v>
      </c>
      <c r="H126" s="90" cm="1">
        <f t="array" ref="H126">Displacement(H125,K125,$P$2)</f>
        <v>840694.46018206282</v>
      </c>
      <c r="I126" s="90"/>
      <c r="J126" s="90" cm="1">
        <f t="array" ref="J126">Velocity(J125, L125, $P$2)</f>
        <v>4641.0537152777842</v>
      </c>
      <c r="K126" s="90" cm="1">
        <f t="array" ref="K126">Velocity(K125, M125, $P$2)</f>
        <v>2340.0270833333429</v>
      </c>
      <c r="L126" s="89">
        <f t="shared" si="11"/>
        <v>10</v>
      </c>
      <c r="M126" s="90">
        <f t="shared" si="12"/>
        <v>3</v>
      </c>
    </row>
    <row r="127" spans="6:13" x14ac:dyDescent="0.2">
      <c r="F127" s="84">
        <f t="shared" si="10"/>
        <v>620.00717592592594</v>
      </c>
      <c r="G127" s="90" cm="1">
        <f t="array" ref="G127">Displacement(G126,J126,$P$2)</f>
        <v>1099082.9412930636</v>
      </c>
      <c r="H127" s="90" cm="1">
        <f t="array" ref="H127">Displacement(H126,K126,$P$2)</f>
        <v>852394.73101696349</v>
      </c>
      <c r="I127" s="90"/>
      <c r="J127" s="90" cm="1">
        <f t="array" ref="J127">Velocity(J126, L126, $P$2)</f>
        <v>4691.0542939814877</v>
      </c>
      <c r="K127" s="90" cm="1">
        <f t="array" ref="K127">Velocity(K126, M126, $P$2)</f>
        <v>2355.0272569444542</v>
      </c>
      <c r="L127" s="89">
        <f t="shared" si="11"/>
        <v>10</v>
      </c>
      <c r="M127" s="90">
        <f t="shared" si="12"/>
        <v>3</v>
      </c>
    </row>
    <row r="128" spans="6:13" x14ac:dyDescent="0.2">
      <c r="F128" s="84">
        <f t="shared" si="10"/>
        <v>625.0072337962963</v>
      </c>
      <c r="G128" s="90" cm="1">
        <f t="array" ref="G128">Displacement(G127,J127,$P$2)</f>
        <v>1122538.4842360204</v>
      </c>
      <c r="H128" s="90" cm="1">
        <f t="array" ref="H128">Displacement(H127,K127,$P$2)</f>
        <v>864170.00358798529</v>
      </c>
      <c r="I128" s="90"/>
      <c r="J128" s="90" cm="1">
        <f t="array" ref="J128">Velocity(J127, L127, $P$2)</f>
        <v>4741.0548726851912</v>
      </c>
      <c r="K128" s="90" cm="1">
        <f t="array" ref="K128">Velocity(K127, M127, $P$2)</f>
        <v>2370.0274305555654</v>
      </c>
      <c r="L128" s="89">
        <f t="shared" si="11"/>
        <v>10</v>
      </c>
      <c r="M128" s="90">
        <f t="shared" si="12"/>
        <v>3</v>
      </c>
    </row>
    <row r="129" spans="6:13" x14ac:dyDescent="0.2">
      <c r="F129" s="84">
        <f t="shared" si="10"/>
        <v>630.00729166666667</v>
      </c>
      <c r="G129" s="90" cm="1">
        <f t="array" ref="G129">Displacement(G128,J128,$P$2)</f>
        <v>1146244.0329660478</v>
      </c>
      <c r="H129" s="90" cm="1">
        <f t="array" ref="H129">Displacement(H128,K128,$P$2)</f>
        <v>876020.27789512835</v>
      </c>
      <c r="I129" s="90"/>
      <c r="J129" s="90" cm="1">
        <f t="array" ref="J129">Velocity(J128, L128, $P$2)</f>
        <v>4791.0554513888947</v>
      </c>
      <c r="K129" s="90" cm="1">
        <f t="array" ref="K129">Velocity(K128, M128, $P$2)</f>
        <v>2385.0276041666766</v>
      </c>
      <c r="L129" s="89">
        <f t="shared" si="11"/>
        <v>10</v>
      </c>
      <c r="M129" s="90">
        <f t="shared" si="12"/>
        <v>3</v>
      </c>
    </row>
    <row r="130" spans="6:13" x14ac:dyDescent="0.2">
      <c r="F130" s="84">
        <f t="shared" si="10"/>
        <v>635.00734953703704</v>
      </c>
      <c r="G130" s="90" cm="1">
        <f t="array" ref="G130">Displacement(G129,J129,$P$2)</f>
        <v>1170199.5874831458</v>
      </c>
      <c r="H130" s="90" cm="1">
        <f t="array" ref="H130">Displacement(H129,K129,$P$2)</f>
        <v>887945.55393839255</v>
      </c>
      <c r="I130" s="90"/>
      <c r="J130" s="90" cm="1">
        <f t="array" ref="J130">Velocity(J129, L129, $P$2)</f>
        <v>4841.0560300925981</v>
      </c>
      <c r="K130" s="90" cm="1">
        <f t="array" ref="K130">Velocity(K129, M129, $P$2)</f>
        <v>2400.0277777777878</v>
      </c>
      <c r="L130" s="89">
        <f t="shared" si="11"/>
        <v>10</v>
      </c>
      <c r="M130" s="90">
        <f t="shared" si="12"/>
        <v>3</v>
      </c>
    </row>
    <row r="131" spans="6:13" x14ac:dyDescent="0.2">
      <c r="F131" s="84">
        <f t="shared" si="10"/>
        <v>640.00740740740741</v>
      </c>
      <c r="G131" s="90" cm="1">
        <f t="array" ref="G131">Displacement(G130,J130,$P$2)</f>
        <v>1194405.1477873141</v>
      </c>
      <c r="H131" s="90" cm="1">
        <f t="array" ref="H131">Displacement(H130,K130,$P$2)</f>
        <v>899945.83171777788</v>
      </c>
      <c r="I131" s="90"/>
      <c r="J131" s="90" cm="1">
        <f t="array" ref="J131">Velocity(J130, L130, $P$2)</f>
        <v>4891.0566087963016</v>
      </c>
      <c r="K131" s="90" cm="1">
        <f t="array" ref="K131">Velocity(K130, M130, $P$2)</f>
        <v>2415.0279513888991</v>
      </c>
      <c r="L131" s="89">
        <f t="shared" si="11"/>
        <v>10</v>
      </c>
      <c r="M131" s="90">
        <f t="shared" si="12"/>
        <v>3</v>
      </c>
    </row>
    <row r="132" spans="6:13" x14ac:dyDescent="0.2">
      <c r="F132" s="84">
        <f t="shared" si="10"/>
        <v>645.00746527777778</v>
      </c>
      <c r="G132" s="90" cm="1">
        <f t="array" ref="G132">Displacement(G131,J131,$P$2)</f>
        <v>1218860.7138785531</v>
      </c>
      <c r="H132" s="90" cm="1">
        <f t="array" ref="H132">Displacement(H131,K131,$P$2)</f>
        <v>912021.11123328435</v>
      </c>
      <c r="I132" s="90"/>
      <c r="J132" s="90" cm="1">
        <f t="array" ref="J132">Velocity(J131, L131, $P$2)</f>
        <v>4941.0571875000051</v>
      </c>
      <c r="K132" s="90" cm="1">
        <f t="array" ref="K132">Velocity(K131, M131, $P$2)</f>
        <v>2430.0281250000103</v>
      </c>
      <c r="L132" s="89">
        <f t="shared" si="11"/>
        <v>10</v>
      </c>
      <c r="M132" s="90">
        <f t="shared" si="12"/>
        <v>3</v>
      </c>
    </row>
    <row r="133" spans="6:13" x14ac:dyDescent="0.2">
      <c r="F133" s="84">
        <f t="shared" si="10"/>
        <v>650.00752314814815</v>
      </c>
      <c r="G133" s="90" cm="1">
        <f t="array" ref="G133">Displacement(G132,J132,$P$2)</f>
        <v>1243566.2857568627</v>
      </c>
      <c r="H133" s="90" cm="1">
        <f t="array" ref="H133">Displacement(H132,K132,$P$2)</f>
        <v>924171.39248491195</v>
      </c>
      <c r="I133" s="90"/>
      <c r="J133" s="90" cm="1">
        <f t="array" ref="J133">Velocity(J132, L132, $P$2)</f>
        <v>4991.0577662037085</v>
      </c>
      <c r="K133" s="90" cm="1">
        <f t="array" ref="K133">Velocity(K132, M132, $P$2)</f>
        <v>2445.0282986111215</v>
      </c>
      <c r="L133" s="89">
        <f t="shared" si="11"/>
        <v>10</v>
      </c>
      <c r="M133" s="90">
        <f t="shared" si="12"/>
        <v>3</v>
      </c>
    </row>
    <row r="134" spans="6:13" x14ac:dyDescent="0.2">
      <c r="F134" s="84">
        <f t="shared" si="10"/>
        <v>655.00758101851852</v>
      </c>
      <c r="G134" s="90" cm="1">
        <f t="array" ref="G134">Displacement(G133,J133,$P$2)</f>
        <v>1268521.8634222427</v>
      </c>
      <c r="H134" s="90" cm="1">
        <f t="array" ref="H134">Displacement(H133,K133,$P$2)</f>
        <v>936396.67547266081</v>
      </c>
      <c r="I134" s="90"/>
      <c r="J134" s="90" cm="1">
        <f t="array" ref="J134">Velocity(J133, L133, $P$2)</f>
        <v>5041.058344907412</v>
      </c>
      <c r="K134" s="90" cm="1">
        <f t="array" ref="K134">Velocity(K133, M133, $P$2)</f>
        <v>2460.0284722222327</v>
      </c>
      <c r="L134" s="89">
        <f t="shared" si="11"/>
        <v>10</v>
      </c>
      <c r="M134" s="90">
        <f t="shared" si="12"/>
        <v>3</v>
      </c>
    </row>
    <row r="135" spans="6:13" x14ac:dyDescent="0.2">
      <c r="F135" s="84">
        <f t="shared" si="10"/>
        <v>660.00763888888889</v>
      </c>
      <c r="G135" s="90" cm="1">
        <f t="array" ref="G135">Displacement(G134,J134,$P$2)</f>
        <v>1293727.4468746933</v>
      </c>
      <c r="H135" s="90" cm="1">
        <f t="array" ref="H135">Displacement(H134,K134,$P$2)</f>
        <v>948696.9601965308</v>
      </c>
      <c r="I135" s="90"/>
      <c r="J135" s="90" cm="1">
        <f t="array" ref="J135">Velocity(J134, L134, $P$2)</f>
        <v>5091.0589236111155</v>
      </c>
      <c r="K135" s="90" cm="1">
        <f t="array" ref="K135">Velocity(K134, M134, $P$2)</f>
        <v>2475.0286458333439</v>
      </c>
      <c r="L135" s="89">
        <f t="shared" si="11"/>
        <v>10</v>
      </c>
      <c r="M135" s="90">
        <f t="shared" si="12"/>
        <v>3</v>
      </c>
    </row>
    <row r="136" spans="6:13" x14ac:dyDescent="0.2">
      <c r="F136" s="84">
        <f t="shared" si="10"/>
        <v>665.00769675925926</v>
      </c>
      <c r="G136" s="90" cm="1">
        <f t="array" ref="G136">Displacement(G135,J135,$P$2)</f>
        <v>1319183.0361142142</v>
      </c>
      <c r="H136" s="90" cm="1">
        <f t="array" ref="H136">Displacement(H135,K135,$P$2)</f>
        <v>961072.24665652192</v>
      </c>
      <c r="I136" s="90"/>
      <c r="J136" s="90" cm="1">
        <f t="array" ref="J136">Velocity(J135, L135, $P$2)</f>
        <v>5141.0595023148189</v>
      </c>
      <c r="K136" s="90" cm="1">
        <f t="array" ref="K136">Velocity(K135, M135, $P$2)</f>
        <v>2490.0288194444552</v>
      </c>
      <c r="L136" s="89">
        <f t="shared" si="11"/>
        <v>10</v>
      </c>
      <c r="M136" s="90">
        <f t="shared" si="12"/>
        <v>3</v>
      </c>
    </row>
    <row r="137" spans="6:13" x14ac:dyDescent="0.2">
      <c r="F137" s="84">
        <f t="shared" si="10"/>
        <v>670.00775462962963</v>
      </c>
      <c r="G137" s="90" cm="1">
        <f t="array" ref="G137">Displacement(G136,J136,$P$2)</f>
        <v>1344888.6311408058</v>
      </c>
      <c r="H137" s="90" cm="1">
        <f t="array" ref="H137">Displacement(H136,K136,$P$2)</f>
        <v>973522.53485263418</v>
      </c>
      <c r="I137" s="90"/>
      <c r="J137" s="90" cm="1">
        <f t="array" ref="J137">Velocity(J136, L136, $P$2)</f>
        <v>5191.0600810185224</v>
      </c>
      <c r="K137" s="90" cm="1">
        <f t="array" ref="K137">Velocity(K136, M136, $P$2)</f>
        <v>2505.0289930555664</v>
      </c>
      <c r="L137" s="89">
        <f t="shared" si="11"/>
        <v>10</v>
      </c>
      <c r="M137" s="90">
        <f t="shared" si="12"/>
        <v>3</v>
      </c>
    </row>
    <row r="138" spans="6:13" x14ac:dyDescent="0.2">
      <c r="F138" s="84">
        <f t="shared" si="10"/>
        <v>675.0078125</v>
      </c>
      <c r="G138" s="90" cm="1">
        <f t="array" ref="G138">Displacement(G137,J137,$P$2)</f>
        <v>1370844.2319544679</v>
      </c>
      <c r="H138" s="90" cm="1">
        <f t="array" ref="H138">Displacement(H137,K137,$P$2)</f>
        <v>986047.82478486758</v>
      </c>
      <c r="I138" s="90"/>
      <c r="J138" s="90" cm="1">
        <f t="array" ref="J138">Velocity(J137, L137, $P$2)</f>
        <v>5241.0606597222259</v>
      </c>
      <c r="K138" s="90" cm="1">
        <f t="array" ref="K138">Velocity(K137, M137, $P$2)</f>
        <v>2520.0291666666776</v>
      </c>
      <c r="L138" s="89">
        <f t="shared" si="11"/>
        <v>10</v>
      </c>
      <c r="M138" s="90">
        <f t="shared" si="12"/>
        <v>3</v>
      </c>
    </row>
    <row r="139" spans="6:13" x14ac:dyDescent="0.2">
      <c r="F139" s="84">
        <f t="shared" si="10"/>
        <v>680.00787037037037</v>
      </c>
      <c r="G139" s="90" cm="1">
        <f t="array" ref="G139">Displacement(G138,J138,$P$2)</f>
        <v>1397049.8385552005</v>
      </c>
      <c r="H139" s="90" cm="1">
        <f t="array" ref="H139">Displacement(H138,K138,$P$2)</f>
        <v>998648.11645322223</v>
      </c>
      <c r="I139" s="90"/>
      <c r="J139" s="90" cm="1">
        <f t="array" ref="J139">Velocity(J138, L138, $P$2)</f>
        <v>5291.0612384259293</v>
      </c>
      <c r="K139" s="90" cm="1">
        <f t="array" ref="K139">Velocity(K138, M138, $P$2)</f>
        <v>2535.0293402777888</v>
      </c>
      <c r="L139" s="89">
        <f t="shared" si="11"/>
        <v>10</v>
      </c>
      <c r="M139" s="90">
        <f t="shared" si="12"/>
        <v>3</v>
      </c>
    </row>
    <row r="140" spans="6:13" x14ac:dyDescent="0.2">
      <c r="F140" s="84">
        <f t="shared" si="10"/>
        <v>685.00792824074074</v>
      </c>
      <c r="G140" s="90" cm="1">
        <f t="array" ref="G140">Displacement(G139,J139,$P$2)</f>
        <v>1423505.4509430036</v>
      </c>
      <c r="H140" s="90" cm="1">
        <f t="array" ref="H140">Displacement(H139,K139,$P$2)</f>
        <v>1011323.409857698</v>
      </c>
      <c r="I140" s="90"/>
      <c r="J140" s="90" cm="1">
        <f t="array" ref="J140">Velocity(J139, L139, $P$2)</f>
        <v>5341.0618171296328</v>
      </c>
      <c r="K140" s="90" cm="1">
        <f t="array" ref="K140">Velocity(K139, M139, $P$2)</f>
        <v>2550.0295138889001</v>
      </c>
      <c r="L140" s="89">
        <f t="shared" si="11"/>
        <v>10</v>
      </c>
      <c r="M140" s="90">
        <f t="shared" si="12"/>
        <v>3</v>
      </c>
    </row>
    <row r="141" spans="6:13" x14ac:dyDescent="0.2">
      <c r="F141" s="84">
        <f t="shared" si="10"/>
        <v>690.00798611111111</v>
      </c>
      <c r="G141" s="90" cm="1">
        <f t="array" ref="G141">Displacement(G140,J140,$P$2)</f>
        <v>1450211.0691178774</v>
      </c>
      <c r="H141" s="90" cm="1">
        <f t="array" ref="H141">Displacement(H140,K140,$P$2)</f>
        <v>1024073.7049982949</v>
      </c>
      <c r="I141" s="90"/>
      <c r="J141" s="90" cm="1">
        <f t="array" ref="J141">Velocity(J140, L140, $P$2)</f>
        <v>5391.0623958333363</v>
      </c>
      <c r="K141" s="90" cm="1">
        <f t="array" ref="K141">Velocity(K140, M140, $P$2)</f>
        <v>2565.0296875000113</v>
      </c>
      <c r="L141" s="89">
        <f t="shared" si="11"/>
        <v>10</v>
      </c>
      <c r="M141" s="90">
        <f t="shared" si="12"/>
        <v>3</v>
      </c>
    </row>
    <row r="142" spans="6:13" x14ac:dyDescent="0.2">
      <c r="F142" s="84">
        <f t="shared" si="10"/>
        <v>695.00804398148148</v>
      </c>
      <c r="G142" s="90" cm="1">
        <f t="array" ref="G142">Displacement(G141,J141,$P$2)</f>
        <v>1477166.6930798215</v>
      </c>
      <c r="H142" s="90" cm="1">
        <f t="array" ref="H142">Displacement(H141,K141,$P$2)</f>
        <v>1036899.001875013</v>
      </c>
      <c r="I142" s="90"/>
      <c r="J142" s="90" cm="1">
        <f t="array" ref="J142">Velocity(J141, L141, $P$2)</f>
        <v>5441.0629745370397</v>
      </c>
      <c r="K142" s="90" cm="1">
        <f t="array" ref="K142">Velocity(K141, M141, $P$2)</f>
        <v>2580.0298611111225</v>
      </c>
      <c r="L142" s="89">
        <f t="shared" si="11"/>
        <v>10</v>
      </c>
      <c r="M142" s="90">
        <f t="shared" si="12"/>
        <v>3</v>
      </c>
    </row>
    <row r="143" spans="6:13" x14ac:dyDescent="0.2">
      <c r="F143" s="84">
        <f t="shared" si="10"/>
        <v>700.00810185185185</v>
      </c>
      <c r="G143" s="90" cm="1">
        <f t="array" ref="G143">Displacement(G142,J142,$P$2)</f>
        <v>1504372.3228288363</v>
      </c>
      <c r="H143" s="90" cm="1">
        <f t="array" ref="H143">Displacement(H142,K142,$P$2)</f>
        <v>1049799.3004878522</v>
      </c>
      <c r="I143" s="90"/>
      <c r="J143" s="90" cm="1">
        <f t="array" ref="J143">Velocity(J142, L142, $P$2)</f>
        <v>5491.0635532407432</v>
      </c>
      <c r="K143" s="90" cm="1">
        <f t="array" ref="K143">Velocity(K142, M142, $P$2)</f>
        <v>2595.0300347222337</v>
      </c>
      <c r="L143" s="89">
        <f t="shared" si="11"/>
        <v>10</v>
      </c>
      <c r="M143" s="90">
        <f t="shared" si="12"/>
        <v>3</v>
      </c>
    </row>
    <row r="144" spans="6:13" x14ac:dyDescent="0.2">
      <c r="F144" s="84">
        <f t="shared" si="10"/>
        <v>705.00815972222222</v>
      </c>
      <c r="G144" s="90" cm="1">
        <f t="array" ref="G144">Displacement(G143,J143,$P$2)</f>
        <v>1531827.9583649216</v>
      </c>
      <c r="H144" s="90" cm="1">
        <f t="array" ref="H144">Displacement(H143,K143,$P$2)</f>
        <v>1062774.6008368125</v>
      </c>
      <c r="I144" s="90"/>
      <c r="J144" s="90" cm="1">
        <f t="array" ref="J144">Velocity(J143, L143, $P$2)</f>
        <v>5541.0641319444467</v>
      </c>
      <c r="K144" s="90" cm="1">
        <f t="array" ref="K144">Velocity(K143, M143, $P$2)</f>
        <v>2610.0302083333449</v>
      </c>
      <c r="L144" s="89">
        <f t="shared" si="11"/>
        <v>10</v>
      </c>
      <c r="M144" s="90">
        <f t="shared" si="12"/>
        <v>3</v>
      </c>
    </row>
    <row r="145" spans="6:13" x14ac:dyDescent="0.2">
      <c r="F145" s="84">
        <f t="shared" si="10"/>
        <v>710.00821759259259</v>
      </c>
      <c r="G145" s="90" cm="1">
        <f t="array" ref="G145">Displacement(G144,J144,$P$2)</f>
        <v>1559533.5996880773</v>
      </c>
      <c r="H145" s="90" cm="1">
        <f t="array" ref="H145">Displacement(H144,K144,$P$2)</f>
        <v>1075824.9029218941</v>
      </c>
      <c r="I145" s="90"/>
      <c r="J145" s="90" cm="1">
        <f t="array" ref="J145">Velocity(J144, L144, $P$2)</f>
        <v>5591.0647106481501</v>
      </c>
      <c r="K145" s="90" cm="1">
        <f t="array" ref="K145">Velocity(K144, M144, $P$2)</f>
        <v>2625.0303819444562</v>
      </c>
      <c r="L145" s="89">
        <f t="shared" si="11"/>
        <v>10</v>
      </c>
      <c r="M145" s="90">
        <f t="shared" si="12"/>
        <v>3</v>
      </c>
    </row>
    <row r="146" spans="6:13" x14ac:dyDescent="0.2">
      <c r="F146" s="84">
        <f t="shared" si="10"/>
        <v>715.00827546296296</v>
      </c>
      <c r="G146" s="90" cm="1">
        <f t="array" ref="G146">Displacement(G145,J145,$P$2)</f>
        <v>1587489.2467983037</v>
      </c>
      <c r="H146" s="90" cm="1">
        <f t="array" ref="H146">Displacement(H145,K145,$P$2)</f>
        <v>1088950.2067430969</v>
      </c>
      <c r="I146" s="90"/>
      <c r="J146" s="90" cm="1">
        <f t="array" ref="J146">Velocity(J145, L145, $P$2)</f>
        <v>5641.0652893518536</v>
      </c>
      <c r="K146" s="90" cm="1">
        <f t="array" ref="K146">Velocity(K145, M145, $P$2)</f>
        <v>2640.0305555555674</v>
      </c>
      <c r="L146" s="89">
        <f t="shared" si="11"/>
        <v>10</v>
      </c>
      <c r="M146" s="90">
        <f t="shared" si="12"/>
        <v>3</v>
      </c>
    </row>
    <row r="147" spans="6:13" x14ac:dyDescent="0.2">
      <c r="F147" s="84">
        <f t="shared" si="10"/>
        <v>720.00833333333333</v>
      </c>
      <c r="G147" s="90" cm="1">
        <f t="array" ref="G147">Displacement(G146,J146,$P$2)</f>
        <v>1615694.8996956006</v>
      </c>
      <c r="H147" s="90" cm="1">
        <f t="array" ref="H147">Displacement(H146,K146,$P$2)</f>
        <v>1102150.5123004208</v>
      </c>
      <c r="I147" s="90"/>
      <c r="J147" s="90" cm="1">
        <f t="array" ref="J147">Velocity(J146, L146, $P$2)</f>
        <v>5691.0658680555571</v>
      </c>
      <c r="K147" s="90" cm="1">
        <f t="array" ref="K147">Velocity(K146, M146, $P$2)</f>
        <v>2655.0307291666786</v>
      </c>
      <c r="L147" s="89">
        <f t="shared" si="11"/>
        <v>10</v>
      </c>
      <c r="M147" s="90">
        <f t="shared" si="12"/>
        <v>3</v>
      </c>
    </row>
    <row r="148" spans="6:13" x14ac:dyDescent="0.2">
      <c r="F148" s="84">
        <f t="shared" si="10"/>
        <v>725.0083912037037</v>
      </c>
      <c r="G148" s="90" cm="1">
        <f t="array" ref="G148">Displacement(G147,J147,$P$2)</f>
        <v>1644150.5583799679</v>
      </c>
      <c r="H148" s="90" cm="1">
        <f t="array" ref="H148">Displacement(H147,K147,$P$2)</f>
        <v>1115425.8195938659</v>
      </c>
      <c r="I148" s="90"/>
      <c r="J148" s="90" cm="1">
        <f t="array" ref="J148">Velocity(J147, L147, $P$2)</f>
        <v>5741.0664467592605</v>
      </c>
      <c r="K148" s="90" cm="1">
        <f t="array" ref="K148">Velocity(K147, M147, $P$2)</f>
        <v>2670.0309027777898</v>
      </c>
      <c r="L148" s="89">
        <f t="shared" si="11"/>
        <v>10</v>
      </c>
      <c r="M148" s="90">
        <f t="shared" si="12"/>
        <v>3</v>
      </c>
    </row>
    <row r="149" spans="6:13" x14ac:dyDescent="0.2">
      <c r="F149" s="84">
        <f t="shared" si="10"/>
        <v>730.00844907407406</v>
      </c>
      <c r="G149" s="90" cm="1">
        <f t="array" ref="G149">Displacement(G148,J148,$P$2)</f>
        <v>1672856.2228514059</v>
      </c>
      <c r="H149" s="90" cm="1">
        <f t="array" ref="H149">Displacement(H148,K148,$P$2)</f>
        <v>1128776.128623432</v>
      </c>
      <c r="I149" s="90"/>
      <c r="J149" s="90" cm="1">
        <f t="array" ref="J149">Velocity(J148, L148, $P$2)</f>
        <v>5791.067025462964</v>
      </c>
      <c r="K149" s="90" cm="1">
        <f t="array" ref="K149">Velocity(K148, M148, $P$2)</f>
        <v>2685.0310763889011</v>
      </c>
      <c r="L149" s="89">
        <f t="shared" si="11"/>
        <v>10</v>
      </c>
      <c r="M149" s="90">
        <f t="shared" si="12"/>
        <v>3</v>
      </c>
    </row>
    <row r="150" spans="6:13" x14ac:dyDescent="0.2">
      <c r="F150" s="84">
        <f t="shared" si="10"/>
        <v>735.00850694444443</v>
      </c>
      <c r="G150" s="90" cm="1">
        <f t="array" ref="G150">Displacement(G149,J149,$P$2)</f>
        <v>1701811.8931099144</v>
      </c>
      <c r="H150" s="90" cm="1">
        <f t="array" ref="H150">Displacement(H149,K149,$P$2)</f>
        <v>1142201.4393891194</v>
      </c>
      <c r="I150" s="90"/>
      <c r="J150" s="90" cm="1">
        <f t="array" ref="J150">Velocity(J149, L149, $P$2)</f>
        <v>5841.0676041666675</v>
      </c>
      <c r="K150" s="90" cm="1">
        <f t="array" ref="K150">Velocity(K149, M149, $P$2)</f>
        <v>2700.0312500000123</v>
      </c>
      <c r="L150" s="89">
        <f t="shared" si="11"/>
        <v>10</v>
      </c>
      <c r="M150" s="90">
        <f t="shared" si="12"/>
        <v>3</v>
      </c>
    </row>
    <row r="151" spans="6:13" x14ac:dyDescent="0.2">
      <c r="F151" s="84">
        <f t="shared" si="10"/>
        <v>740.0085648148148</v>
      </c>
      <c r="G151" s="90" cm="1">
        <f t="array" ref="G151">Displacement(G150,J150,$P$2)</f>
        <v>1731017.5691554933</v>
      </c>
      <c r="H151" s="90" cm="1">
        <f t="array" ref="H151">Displacement(H150,K150,$P$2)</f>
        <v>1155701.7518909278</v>
      </c>
      <c r="I151" s="90"/>
      <c r="J151" s="90" cm="1">
        <f t="array" ref="J151">Velocity(J150, L150, $P$2)</f>
        <v>5891.0681828703709</v>
      </c>
      <c r="K151" s="90" cm="1">
        <f t="array" ref="K151">Velocity(K150, M150, $P$2)</f>
        <v>2715.0314236111235</v>
      </c>
      <c r="L151" s="89">
        <f t="shared" si="11"/>
        <v>10</v>
      </c>
      <c r="M151" s="90">
        <f t="shared" si="12"/>
        <v>3</v>
      </c>
    </row>
    <row r="152" spans="6:13" x14ac:dyDescent="0.2">
      <c r="F152" s="84">
        <f t="shared" si="10"/>
        <v>745.00862268518517</v>
      </c>
      <c r="G152" s="90" cm="1">
        <f t="array" ref="G152">Displacement(G151,J151,$P$2)</f>
        <v>1760473.2509881428</v>
      </c>
      <c r="H152" s="90" cm="1">
        <f t="array" ref="H152">Displacement(H151,K151,$P$2)</f>
        <v>1169277.0661288574</v>
      </c>
      <c r="I152" s="90"/>
      <c r="J152" s="90" cm="1">
        <f t="array" ref="J152">Velocity(J151, L151, $P$2)</f>
        <v>5941.0687615740744</v>
      </c>
      <c r="K152" s="90" cm="1">
        <f t="array" ref="K152">Velocity(K151, M151, $P$2)</f>
        <v>2730.0315972222347</v>
      </c>
      <c r="L152" s="89">
        <f t="shared" si="11"/>
        <v>10</v>
      </c>
      <c r="M152" s="90">
        <f t="shared" si="12"/>
        <v>3</v>
      </c>
    </row>
    <row r="153" spans="6:13" x14ac:dyDescent="0.2">
      <c r="F153" s="84">
        <f t="shared" si="10"/>
        <v>750.00868055555554</v>
      </c>
      <c r="G153" s="90" cm="1">
        <f t="array" ref="G153">Displacement(G152,J152,$P$2)</f>
        <v>1790178.9386078627</v>
      </c>
      <c r="H153" s="90" cm="1">
        <f t="array" ref="H153">Displacement(H152,K152,$P$2)</f>
        <v>1182927.3821029083</v>
      </c>
      <c r="I153" s="90"/>
      <c r="J153" s="90" cm="1">
        <f t="array" ref="J153">Velocity(J152, L152, $P$2)</f>
        <v>5991.0693402777779</v>
      </c>
      <c r="K153" s="90" cm="1">
        <f t="array" ref="K153">Velocity(K152, M152, $P$2)</f>
        <v>2745.0317708333459</v>
      </c>
      <c r="L153" s="89">
        <f t="shared" si="11"/>
        <v>10</v>
      </c>
      <c r="M153" s="90">
        <f t="shared" si="12"/>
        <v>3</v>
      </c>
    </row>
    <row r="154" spans="6:13" x14ac:dyDescent="0.2">
      <c r="F154" s="84">
        <f t="shared" si="10"/>
        <v>755.00873842592591</v>
      </c>
      <c r="G154" s="90" cm="1">
        <f t="array" ref="G154">Displacement(G153,J153,$P$2)</f>
        <v>1820134.6320146532</v>
      </c>
      <c r="H154" s="90" cm="1">
        <f t="array" ref="H154">Displacement(H153,K153,$P$2)</f>
        <v>1196652.6998130803</v>
      </c>
      <c r="I154" s="90"/>
      <c r="J154" s="90" cm="1">
        <f t="array" ref="J154">Velocity(J153, L153, $P$2)</f>
        <v>6041.0699189814814</v>
      </c>
      <c r="K154" s="90" cm="1">
        <f t="array" ref="K154">Velocity(K153, M153, $P$2)</f>
        <v>2760.0319444444572</v>
      </c>
      <c r="L154" s="89">
        <f t="shared" si="11"/>
        <v>10</v>
      </c>
      <c r="M154" s="90">
        <f t="shared" si="12"/>
        <v>3</v>
      </c>
    </row>
    <row r="155" spans="6:13" x14ac:dyDescent="0.2">
      <c r="F155" s="84">
        <f t="shared" si="10"/>
        <v>760.00879629629628</v>
      </c>
      <c r="G155" s="90" cm="1">
        <f t="array" ref="G155">Displacement(G154,J154,$P$2)</f>
        <v>1850340.3312085143</v>
      </c>
      <c r="H155" s="90" cm="1">
        <f t="array" ref="H155">Displacement(H154,K154,$P$2)</f>
        <v>1210453.0192593734</v>
      </c>
      <c r="I155" s="90"/>
      <c r="J155" s="90" cm="1">
        <f t="array" ref="J155">Velocity(J154, L154, $P$2)</f>
        <v>6091.0704976851848</v>
      </c>
      <c r="K155" s="90" cm="1">
        <f t="array" ref="K155">Velocity(K154, M154, $P$2)</f>
        <v>2775.0321180555684</v>
      </c>
      <c r="L155" s="89">
        <f t="shared" si="11"/>
        <v>10</v>
      </c>
      <c r="M155" s="90">
        <f t="shared" si="12"/>
        <v>3</v>
      </c>
    </row>
    <row r="156" spans="6:13" x14ac:dyDescent="0.2">
      <c r="F156" s="84">
        <f t="shared" si="10"/>
        <v>765.00885416666665</v>
      </c>
      <c r="G156" s="90" cm="1">
        <f t="array" ref="G156">Displacement(G155,J155,$P$2)</f>
        <v>1880796.0361894458</v>
      </c>
      <c r="H156" s="90" cm="1">
        <f t="array" ref="H156">Displacement(H155,K155,$P$2)</f>
        <v>1224328.3404417876</v>
      </c>
      <c r="I156" s="90"/>
      <c r="J156" s="90" cm="1">
        <f t="array" ref="J156">Velocity(J155, L155, $P$2)</f>
        <v>6141.0710763888883</v>
      </c>
      <c r="K156" s="90" cm="1">
        <f t="array" ref="K156">Velocity(K155, M155, $P$2)</f>
        <v>2790.0322916666796</v>
      </c>
      <c r="L156" s="89">
        <f t="shared" si="11"/>
        <v>10</v>
      </c>
      <c r="M156" s="90">
        <f t="shared" si="12"/>
        <v>3</v>
      </c>
    </row>
    <row r="157" spans="6:13" x14ac:dyDescent="0.2">
      <c r="F157" s="84">
        <f t="shared" si="10"/>
        <v>770.00891203703702</v>
      </c>
      <c r="G157" s="90" cm="1">
        <f t="array" ref="G157">Displacement(G156,J156,$P$2)</f>
        <v>1911501.7469574478</v>
      </c>
      <c r="H157" s="90" cm="1">
        <f t="array" ref="H157">Displacement(H156,K156,$P$2)</f>
        <v>1238278.6633603231</v>
      </c>
      <c r="I157" s="90"/>
      <c r="J157" s="90" cm="1">
        <f t="array" ref="J157">Velocity(J156, L156, $P$2)</f>
        <v>6191.0716550925918</v>
      </c>
      <c r="K157" s="90" cm="1">
        <f t="array" ref="K157">Velocity(K156, M156, $P$2)</f>
        <v>2805.0324652777908</v>
      </c>
      <c r="L157" s="89">
        <f t="shared" si="11"/>
        <v>10</v>
      </c>
      <c r="M157" s="90">
        <f t="shared" si="12"/>
        <v>3</v>
      </c>
    </row>
  </sheetData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E49D886EC7E4F9E4B5038EEC30B89" ma:contentTypeVersion="18" ma:contentTypeDescription="Create a new document." ma:contentTypeScope="" ma:versionID="bee4403ffc45f5a8193e62da2dd25595">
  <xsd:schema xmlns:xsd="http://www.w3.org/2001/XMLSchema" xmlns:xs="http://www.w3.org/2001/XMLSchema" xmlns:p="http://schemas.microsoft.com/office/2006/metadata/properties" xmlns:ns2="1275c004-6cd4-479d-a9a7-44e10302c111" xmlns:ns3="471e662e-a8ae-40e0-a345-7c09ee9e9493" targetNamespace="http://schemas.microsoft.com/office/2006/metadata/properties" ma:root="true" ma:fieldsID="53ca6eb9872c2c25da7f1d167340cb64" ns2:_="" ns3:_="">
    <xsd:import namespace="1275c004-6cd4-479d-a9a7-44e10302c111"/>
    <xsd:import namespace="471e662e-a8ae-40e0-a345-7c09ee9e9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5c004-6cd4-479d-a9a7-44e10302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5a8f4c1-6c9b-4a3e-b0f2-3a91c62723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e662e-a8ae-40e0-a345-7c09ee9e9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6f23de6-6b04-4099-b907-9655f2193231}" ma:internalName="TaxCatchAll" ma:readOnly="false" ma:showField="CatchAllData" ma:web="471e662e-a8ae-40e0-a345-7c09ee9e94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1e662e-a8ae-40e0-a345-7c09ee9e9493" xsi:nil="true"/>
    <lcf76f155ced4ddcb4097134ff3c332f xmlns="1275c004-6cd4-479d-a9a7-44e10302c1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78A0F4-C2B1-4115-A42A-1C6DFAAF87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079498-22D7-40EA-A25C-45D48D21A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75c004-6cd4-479d-a9a7-44e10302c111"/>
    <ds:schemaRef ds:uri="471e662e-a8ae-40e0-a345-7c09ee9e9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30C500-6361-4C69-BFA4-1FCFE6C8F81B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471e662e-a8ae-40e0-a345-7c09ee9e9493"/>
    <ds:schemaRef ds:uri="1275c004-6cd4-479d-a9a7-44e10302c11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description</vt:lpstr>
      <vt:lpstr>data</vt:lpstr>
      <vt:lpstr>Gain and loss parameters </vt:lpstr>
      <vt:lpstr>summary for all countries</vt:lpstr>
      <vt:lpstr>data (2)</vt:lpstr>
      <vt:lpstr>Learning Lambda again</vt:lpstr>
      <vt:lpstr>All_gain_nations_minus_China</vt:lpstr>
      <vt:lpstr>NFALOSS_except_Brazil</vt:lpstr>
      <vt:lpstr>data!Print_Area</vt:lpstr>
      <vt:lpstr>'data (2)'!Print_Area</vt:lpstr>
      <vt:lpstr>SEL_GAIN_EXCEPT_CHINA</vt:lpstr>
      <vt:lpstr>SEL_LOSS_EXCEPT_BRAZIL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Alastair Leith</cp:lastModifiedBy>
  <cp:lastPrinted>2024-07-07T18:25:56Z</cp:lastPrinted>
  <dcterms:created xsi:type="dcterms:W3CDTF">2020-10-23T19:59:55Z</dcterms:created>
  <dcterms:modified xsi:type="dcterms:W3CDTF">2024-08-10T16:14:33Z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0x0101000D3E49D886EC7E4F9E4B5038EEC30B89</vt:lpwstr>
  </property>
</Properties>
</file>