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oyAleZamora\Desktop\Proyecto_SGySHT\Proyecto_SGySHT\02.Implementación de proyecto\Segundo Sprint\"/>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Configuración!$B$5:$B$10</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62913"/>
  <fileRecoveryPr repairLoad="1"/>
</workbook>
</file>

<file path=xl/calcChain.xml><?xml version="1.0" encoding="utf-8"?>
<calcChain xmlns="http://schemas.openxmlformats.org/spreadsheetml/2006/main">
  <c r="P32" i="1" l="1"/>
  <c r="P31" i="1"/>
  <c r="F10" i="1"/>
  <c r="E10" i="1"/>
  <c r="J10" i="1"/>
  <c r="I10" i="1"/>
  <c r="J6" i="1"/>
  <c r="I6" i="1"/>
  <c r="I7" i="1"/>
  <c r="J7" i="1"/>
  <c r="F6" i="1"/>
  <c r="E6" i="1"/>
  <c r="F7" i="1"/>
  <c r="E7" i="1"/>
  <c r="I14" i="1"/>
  <c r="J14" i="1"/>
  <c r="F14" i="1"/>
  <c r="E14" i="1"/>
  <c r="F16" i="1"/>
  <c r="E16" i="1"/>
  <c r="J16" i="1"/>
  <c r="I16" i="1"/>
  <c r="F15" i="1"/>
  <c r="E15" i="1"/>
  <c r="J15" i="1"/>
  <c r="I15" i="1"/>
  <c r="F13" i="1"/>
  <c r="E13" i="1"/>
  <c r="J13" i="1"/>
  <c r="I13" i="1"/>
  <c r="F17" i="1"/>
  <c r="E17" i="1"/>
  <c r="J17" i="1"/>
  <c r="I17" i="1"/>
  <c r="J12" i="1"/>
  <c r="F12" i="1"/>
  <c r="E12" i="1"/>
  <c r="I12" i="1"/>
  <c r="F11" i="1"/>
  <c r="E11" i="1"/>
  <c r="J11" i="1"/>
  <c r="I11" i="1"/>
  <c r="F8" i="1"/>
  <c r="E8" i="1"/>
  <c r="F5" i="1"/>
  <c r="E5" i="1"/>
  <c r="J8" i="1"/>
  <c r="I8" i="1"/>
  <c r="J5" i="1"/>
  <c r="I5" i="1"/>
  <c r="F9" i="1"/>
  <c r="J9" i="1"/>
  <c r="I9" i="1"/>
  <c r="E9" i="1"/>
  <c r="K16" i="1" l="1"/>
  <c r="M16" i="1"/>
  <c r="O21" i="1"/>
  <c r="P22" i="1" s="1"/>
  <c r="P26" i="1" s="1"/>
  <c r="K17" i="1" l="1"/>
  <c r="K15" i="1"/>
  <c r="K14" i="1"/>
  <c r="M17" i="1" l="1"/>
  <c r="M15" i="1"/>
  <c r="M14" i="1"/>
  <c r="K5" i="1"/>
  <c r="K6" i="1"/>
  <c r="K7" i="1"/>
  <c r="K8" i="1"/>
  <c r="K9" i="1"/>
  <c r="K10" i="1"/>
  <c r="K11" i="1"/>
  <c r="K12" i="1"/>
  <c r="K13" i="1"/>
  <c r="M13" i="1" l="1"/>
  <c r="N9" i="1" l="1"/>
  <c r="N8" i="1"/>
  <c r="M12" i="1" l="1"/>
  <c r="M11" i="1"/>
  <c r="M10" i="1"/>
  <c r="M9" i="1"/>
  <c r="M8" i="1"/>
  <c r="M7" i="1"/>
  <c r="M6" i="1"/>
  <c r="M5" i="1" l="1"/>
</calcChain>
</file>

<file path=xl/sharedStrings.xml><?xml version="1.0" encoding="utf-8"?>
<sst xmlns="http://schemas.openxmlformats.org/spreadsheetml/2006/main" count="88" uniqueCount="50">
  <si>
    <t>Proyecto</t>
  </si>
  <si>
    <t xml:space="preserve">Porcentaje de valor superior o inferior para marca: </t>
  </si>
  <si>
    <t>Categoría</t>
  </si>
  <si>
    <t>Asignado a</t>
  </si>
  <si>
    <t>Estimado
Inicio</t>
  </si>
  <si>
    <t>Estimado 
Finalización</t>
  </si>
  <si>
    <t>Trabajo estimado (en horas)</t>
  </si>
  <si>
    <t>Duración estimada (en días)</t>
  </si>
  <si>
    <t>Real 
Inicio</t>
  </si>
  <si>
    <t>Real
Finalización</t>
  </si>
  <si>
    <t>Icono de bandera para trabajo real superior o inferior (en horas)</t>
  </si>
  <si>
    <t>Trabajo real (en horas)</t>
  </si>
  <si>
    <t>Icono de bandera para duración real superior o inferior (en días)</t>
  </si>
  <si>
    <t>Duración real (en días)</t>
  </si>
  <si>
    <t>Configuración</t>
  </si>
  <si>
    <t>Nombre de categoría</t>
  </si>
  <si>
    <t>Nombre del empleado</t>
  </si>
  <si>
    <t>Seguimiento de proyectos</t>
  </si>
  <si>
    <t>Alejandra Zamora</t>
  </si>
  <si>
    <t>Tania Angelica Esparza</t>
  </si>
  <si>
    <t xml:space="preserve">Alta </t>
  </si>
  <si>
    <t>Media</t>
  </si>
  <si>
    <t>Baja</t>
  </si>
  <si>
    <t>HU5_Tutoria individual-Tutor</t>
  </si>
  <si>
    <t>HU8_Encuesta reprobación-Alumno</t>
  </si>
  <si>
    <t>HU7_Encuesta reprobación-Tutor</t>
  </si>
  <si>
    <t>HU11_Canalización-Tutor</t>
  </si>
  <si>
    <t>HU25_Alta de datos basicos alumno-Capturista</t>
  </si>
  <si>
    <t>HU27_Logins- Usuarios</t>
  </si>
  <si>
    <t>HU28_Carreras-Capturista</t>
  </si>
  <si>
    <t>HU29_Materias-Capturista</t>
  </si>
  <si>
    <t>HU30_Asiganaciones Docente-Materias-Grupos -Capturista</t>
  </si>
  <si>
    <t>HU31_Busqueda filtrada-Docente</t>
  </si>
  <si>
    <t>HU32_Calificaciones-Docente</t>
  </si>
  <si>
    <t>HU33_Modificación perfil alumno-alumno</t>
  </si>
  <si>
    <t>PESO</t>
  </si>
  <si>
    <t>HU34_Grupos-Capturista</t>
  </si>
  <si>
    <t>Peso total del proyecto</t>
  </si>
  <si>
    <t>Peso actual de sprint 2</t>
  </si>
  <si>
    <t>%</t>
  </si>
  <si>
    <t>Porcentaje total de avance del proyecto</t>
  </si>
  <si>
    <t>Sumatoria de %</t>
  </si>
  <si>
    <t>% Anterior</t>
  </si>
  <si>
    <t xml:space="preserve"> </t>
  </si>
  <si>
    <t>Tiempo estimado</t>
  </si>
  <si>
    <t>Tiempo real</t>
  </si>
  <si>
    <t>Tiempo en horas</t>
  </si>
  <si>
    <t>hrs</t>
  </si>
  <si>
    <t>Completa</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</si>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</sst>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22"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family val="2"/>
      <scheme val="minor"/>
    </font>
    <font>
      <sz val="11"/>
      <color theme="2" tint="-0.89992980742820516"/>
      <name val="Century Gothic"/>
      <family val="2"/>
      <scheme val="minor"/>
    </font>
    <font>
      <sz val="11"/>
      <color theme="0"/>
      <name val="Century Gothic"/>
      <family val="2"/>
      <scheme val="minor"/>
    </font>
    <font>
      <sz val="11"/>
      <color theme="2" tint="-0.89989928891872917"/>
      <name val="Century Gothic"/>
      <scheme val="minor"/>
    </font>
    <font>
      <sz val="11"/>
      <color theme="2" tint="-0.89992980742820516"/>
      <name val="Century Gothic"/>
      <scheme val="minor"/>
    </font>
    <font>
      <sz val="11"/>
      <color theme="0"/>
      <name val="Century Gothic"/>
      <scheme val="minor"/>
    </font>
    <font>
      <sz val="11"/>
      <color rgb="FFFA7D00"/>
      <name val="Century Gothic"/>
      <family val="2"/>
      <scheme val="minor"/>
    </font>
    <font>
      <b/>
      <sz val="11"/>
      <color theme="1"/>
      <name val="Century Gothic"/>
      <family val="2"/>
      <scheme val="minor"/>
    </font>
    <font>
      <b/>
      <sz val="20"/>
      <color theme="1"/>
      <name val="Century Gothic"/>
      <family val="2"/>
      <scheme val="minor"/>
    </font>
    <font>
      <sz val="14"/>
      <color theme="3" tint="-0.499984740745262"/>
      <name val="Century Gothic"/>
      <family val="2"/>
      <scheme val="minor"/>
    </font>
    <font>
      <sz val="22"/>
      <color rgb="FFFA7D00"/>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double">
        <color rgb="FFFF8001"/>
      </bottom>
      <diagonal/>
    </border>
    <border>
      <left/>
      <right/>
      <top style="thin">
        <color theme="4"/>
      </top>
      <bottom style="double">
        <color theme="4"/>
      </bottom>
      <diagonal/>
    </border>
  </borders>
  <cellStyleXfs count="18">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7" fillId="0" borderId="7" applyNumberFormat="0" applyFill="0" applyAlignment="0" applyProtection="0"/>
    <xf numFmtId="0" fontId="18" fillId="0" borderId="8" applyNumberFormat="0" applyFill="0" applyAlignment="0" applyProtection="0"/>
  </cellStyleXfs>
  <cellXfs count="44">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14" fontId="12" fillId="0" borderId="0" xfId="8" applyNumberFormat="1" applyFont="1" applyBorder="1" applyAlignment="1">
      <alignment horizontal="right" vertical="center" indent="2"/>
    </xf>
    <xf numFmtId="3" fontId="11" fillId="0" borderId="0" xfId="4" applyNumberFormat="1" applyFont="1" applyBorder="1" applyAlignment="1">
      <alignment horizontal="left" vertical="center" indent="1"/>
    </xf>
    <xf numFmtId="3" fontId="11" fillId="2" borderId="6" xfId="15" applyNumberFormat="1" applyFont="1" applyFill="1" applyAlignment="1">
      <alignment horizontal="left" vertical="center" indent="1"/>
    </xf>
    <xf numFmtId="14" fontId="12" fillId="0" borderId="5" xfId="13" applyNumberFormat="1" applyFont="1" applyFill="1" applyAlignment="1">
      <alignment horizontal="left" vertical="center" indent="2"/>
    </xf>
    <xf numFmtId="164" fontId="13" fillId="0" borderId="4" xfId="12" applyNumberFormat="1" applyFont="1" applyFill="1" applyAlignment="1">
      <alignment horizontal="right" vertical="center"/>
    </xf>
    <xf numFmtId="3" fontId="11" fillId="2" borderId="0" xfId="14" applyNumberFormat="1" applyFont="1" applyFill="1" applyBorder="1" applyAlignment="1">
      <alignment horizontal="left" vertical="center" indent="1"/>
    </xf>
    <xf numFmtId="0" fontId="14" fillId="0" borderId="0" xfId="5" applyNumberFormat="1" applyFont="1" applyBorder="1" applyAlignment="1">
      <alignment horizontal="left" vertical="center" wrapText="1" indent="1"/>
    </xf>
    <xf numFmtId="14" fontId="15" fillId="0" borderId="0" xfId="8" applyNumberFormat="1" applyFont="1" applyBorder="1" applyAlignment="1">
      <alignment horizontal="right" vertical="center" indent="2"/>
    </xf>
    <xf numFmtId="3" fontId="14" fillId="0" borderId="0" xfId="4" applyNumberFormat="1" applyFont="1" applyBorder="1" applyAlignment="1">
      <alignment horizontal="left" vertical="center" indent="1"/>
    </xf>
    <xf numFmtId="3" fontId="14" fillId="2" borderId="6" xfId="15" applyNumberFormat="1" applyFont="1" applyFill="1" applyAlignment="1">
      <alignment horizontal="left" vertical="center" indent="1"/>
    </xf>
    <xf numFmtId="164" fontId="16" fillId="0" borderId="4" xfId="12" applyNumberFormat="1" applyFont="1" applyFill="1" applyAlignment="1">
      <alignment horizontal="right" vertical="center"/>
    </xf>
    <xf numFmtId="3" fontId="14" fillId="2" borderId="0" xfId="14" applyNumberFormat="1" applyFont="1" applyFill="1" applyBorder="1" applyAlignment="1">
      <alignment horizontal="left" vertical="center" indent="1"/>
    </xf>
    <xf numFmtId="0" fontId="14" fillId="0" borderId="0" xfId="5" applyNumberFormat="1" applyFont="1" applyAlignment="1" applyProtection="1">
      <alignment horizontal="left" vertical="center" wrapText="1" indent="1"/>
    </xf>
    <xf numFmtId="0" fontId="19" fillId="0" borderId="8" xfId="17" applyFont="1" applyAlignment="1" applyProtection="1">
      <alignment vertical="center"/>
    </xf>
    <xf numFmtId="0" fontId="8" fillId="0" borderId="0" xfId="5" applyNumberFormat="1" applyFont="1" applyBorder="1" applyAlignment="1">
      <alignment horizontal="center" vertical="center" wrapText="1"/>
    </xf>
    <xf numFmtId="0" fontId="14" fillId="0" borderId="0" xfId="5" applyNumberFormat="1" applyFont="1" applyBorder="1" applyAlignment="1">
      <alignment horizontal="center" vertical="center" wrapText="1"/>
    </xf>
    <xf numFmtId="0" fontId="20" fillId="0" borderId="0" xfId="0" applyFont="1" applyProtection="1">
      <alignment vertical="center"/>
    </xf>
    <xf numFmtId="0" fontId="21" fillId="0" borderId="7" xfId="16" applyFont="1" applyAlignment="1" applyProtection="1">
      <alignment vertical="center"/>
    </xf>
    <xf numFmtId="0" fontId="8" fillId="0" borderId="7" xfId="5" applyBorder="1" applyProtection="1">
      <alignment horizontal="left" vertical="center" wrapText="1" indent="1"/>
    </xf>
    <xf numFmtId="14" fontId="7" fillId="0" borderId="5" xfId="13" applyNumberFormat="1" applyFont="1" applyFill="1" applyAlignment="1">
      <alignment horizontal="left" vertical="center" indent="2"/>
    </xf>
  </cellXfs>
  <cellStyles count="18">
    <cellStyle name="Celda vinculada" xfId="16" builtinId="24"/>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 name="Total" xfId="17" builtinId="25"/>
  </cellStyles>
  <dxfs count="32">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protection locked="1" hidden="0"/>
    </dxf>
    <dxf>
      <protection locked="1" hidden="0"/>
    </dxf>
    <dxf>
      <protection locked="1" hidden="0"/>
    </dxf>
    <dxf>
      <protection locked="1" hidden="0"/>
    </dxf>
    <dxf>
      <protection locked="1" hidden="0"/>
    </dxf>
    <dxf>
      <protection locked="1" hidden="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31"/>
      <tableStyleElement type="headerRow" dxfId="3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Fecha</a:t>
            </a:r>
            <a:r>
              <a:rPr lang="es-MX" baseline="0"/>
              <a:t> de </a:t>
            </a:r>
            <a:r>
              <a:rPr lang="es-MX"/>
              <a:t>Inicio</a:t>
            </a:r>
            <a:r>
              <a:rPr lang="es-MX" baseline="0"/>
              <a:t> estimado-real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proyectos'!$E$4</c:f>
              <c:strCache>
                <c:ptCount val="1"/>
                <c:pt idx="0">
                  <c:v>Estimado
Inicio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proyectos'!$E$5:$E$17</c:f>
              <c:numCache>
                <c:formatCode>m/d/yyyy</c:formatCode>
                <c:ptCount val="13"/>
                <c:pt idx="0">
                  <c:v>43566</c:v>
                </c:pt>
                <c:pt idx="1">
                  <c:v>43591</c:v>
                </c:pt>
                <c:pt idx="2">
                  <c:v>43589</c:v>
                </c:pt>
                <c:pt idx="3">
                  <c:v>43578</c:v>
                </c:pt>
                <c:pt idx="4">
                  <c:v>43563</c:v>
                </c:pt>
                <c:pt idx="5">
                  <c:v>43593</c:v>
                </c:pt>
                <c:pt idx="6">
                  <c:v>43563</c:v>
                </c:pt>
                <c:pt idx="7">
                  <c:v>43566</c:v>
                </c:pt>
                <c:pt idx="8">
                  <c:v>43579</c:v>
                </c:pt>
                <c:pt idx="9">
                  <c:v>43586</c:v>
                </c:pt>
                <c:pt idx="10">
                  <c:v>43582</c:v>
                </c:pt>
                <c:pt idx="11">
                  <c:v>43585</c:v>
                </c:pt>
                <c:pt idx="12">
                  <c:v>43569</c:v>
                </c:pt>
              </c:numCache>
            </c:numRef>
          </c:val>
          <c:smooth val="0"/>
          <c:extLst>
            <c:ext xmlns:c16="http://schemas.microsoft.com/office/drawing/2014/chart" uri="{C3380CC4-5D6E-409C-BE32-E72D297353CC}">
              <c16:uniqueId val="{00000000-8373-42F2-9AD2-FEF736BEDC0A}"/>
            </c:ext>
          </c:extLst>
        </c:ser>
        <c:ser>
          <c:idx val="1"/>
          <c:order val="1"/>
          <c:tx>
            <c:strRef>
              <c:f>'Seguimiento de proyectos'!$I$4</c:f>
              <c:strCache>
                <c:ptCount val="1"/>
                <c:pt idx="0">
                  <c:v>Real 
Inicio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proyectos'!$I$5:$I$17</c:f>
              <c:numCache>
                <c:formatCode>m/d/yyyy</c:formatCode>
                <c:ptCount val="13"/>
                <c:pt idx="0">
                  <c:v>43578</c:v>
                </c:pt>
                <c:pt idx="1">
                  <c:v>43585</c:v>
                </c:pt>
                <c:pt idx="2">
                  <c:v>43585</c:v>
                </c:pt>
                <c:pt idx="3">
                  <c:v>43582</c:v>
                </c:pt>
                <c:pt idx="4">
                  <c:v>43563</c:v>
                </c:pt>
                <c:pt idx="5">
                  <c:v>43586</c:v>
                </c:pt>
                <c:pt idx="6">
                  <c:v>43563</c:v>
                </c:pt>
                <c:pt idx="7">
                  <c:v>43566</c:v>
                </c:pt>
                <c:pt idx="8">
                  <c:v>43580</c:v>
                </c:pt>
                <c:pt idx="9">
                  <c:v>43584</c:v>
                </c:pt>
                <c:pt idx="10">
                  <c:v>43581</c:v>
                </c:pt>
                <c:pt idx="11">
                  <c:v>43584</c:v>
                </c:pt>
                <c:pt idx="12">
                  <c:v>43577</c:v>
                </c:pt>
              </c:numCache>
            </c:numRef>
          </c:val>
          <c:smooth val="0"/>
          <c:extLst>
            <c:ext xmlns:c16="http://schemas.microsoft.com/office/drawing/2014/chart" uri="{C3380CC4-5D6E-409C-BE32-E72D297353CC}">
              <c16:uniqueId val="{00000001-8373-42F2-9AD2-FEF736BEDC0A}"/>
            </c:ext>
          </c:extLst>
        </c:ser>
        <c:dLbls>
          <c:showLegendKey val="0"/>
          <c:showVal val="1"/>
          <c:showCatName val="0"/>
          <c:showSerName val="0"/>
          <c:showPercent val="0"/>
          <c:showBubbleSize val="0"/>
        </c:dLbls>
        <c:marker val="1"/>
        <c:smooth val="0"/>
        <c:axId val="550693296"/>
        <c:axId val="550696208"/>
      </c:lineChart>
      <c:catAx>
        <c:axId val="550693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6208"/>
        <c:crosses val="autoZero"/>
        <c:auto val="1"/>
        <c:lblAlgn val="ctr"/>
        <c:lblOffset val="100"/>
        <c:noMultiLvlLbl val="0"/>
      </c:catAx>
      <c:valAx>
        <c:axId val="550696208"/>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baseline="0"/>
              <a:t>Fecha de finalización estimado-real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proyectos'!$F$4</c:f>
              <c:strCache>
                <c:ptCount val="1"/>
                <c:pt idx="0">
                  <c:v>Estimado 
Finalización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proyectos'!$F$5:$F$17</c:f>
              <c:numCache>
                <c:formatCode>m/d/yyyy</c:formatCode>
                <c:ptCount val="13"/>
                <c:pt idx="0">
                  <c:v>43568</c:v>
                </c:pt>
                <c:pt idx="1">
                  <c:v>43592</c:v>
                </c:pt>
                <c:pt idx="2">
                  <c:v>43590</c:v>
                </c:pt>
                <c:pt idx="3">
                  <c:v>43580</c:v>
                </c:pt>
                <c:pt idx="4">
                  <c:v>43565</c:v>
                </c:pt>
                <c:pt idx="5">
                  <c:v>43594</c:v>
                </c:pt>
                <c:pt idx="6">
                  <c:v>43565</c:v>
                </c:pt>
                <c:pt idx="7">
                  <c:v>43568</c:v>
                </c:pt>
                <c:pt idx="8">
                  <c:v>43581</c:v>
                </c:pt>
                <c:pt idx="9">
                  <c:v>43588</c:v>
                </c:pt>
                <c:pt idx="10">
                  <c:v>43584</c:v>
                </c:pt>
                <c:pt idx="11">
                  <c:v>43586</c:v>
                </c:pt>
                <c:pt idx="12">
                  <c:v>43578</c:v>
                </c:pt>
              </c:numCache>
            </c:numRef>
          </c:val>
          <c:smooth val="0"/>
          <c:extLst>
            <c:ext xmlns:c16="http://schemas.microsoft.com/office/drawing/2014/chart" uri="{C3380CC4-5D6E-409C-BE32-E72D297353CC}">
              <c16:uniqueId val="{00000002-01B1-4A58-AD14-12A89199E3A8}"/>
            </c:ext>
          </c:extLst>
        </c:ser>
        <c:ser>
          <c:idx val="1"/>
          <c:order val="1"/>
          <c:tx>
            <c:strRef>
              <c:f>'Seguimiento de proyectos'!$J$4</c:f>
              <c:strCache>
                <c:ptCount val="1"/>
                <c:pt idx="0">
                  <c:v>Real
Finalización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proyectos'!$J$5:$J$17</c:f>
              <c:numCache>
                <c:formatCode>m/d/yyyy</c:formatCode>
                <c:ptCount val="13"/>
                <c:pt idx="0">
                  <c:v>43581</c:v>
                </c:pt>
                <c:pt idx="1">
                  <c:v>43585</c:v>
                </c:pt>
                <c:pt idx="2">
                  <c:v>43585</c:v>
                </c:pt>
                <c:pt idx="3">
                  <c:v>43585</c:v>
                </c:pt>
                <c:pt idx="4">
                  <c:v>43569</c:v>
                </c:pt>
                <c:pt idx="5">
                  <c:v>43586</c:v>
                </c:pt>
                <c:pt idx="6">
                  <c:v>43565</c:v>
                </c:pt>
                <c:pt idx="7">
                  <c:v>43569</c:v>
                </c:pt>
                <c:pt idx="8">
                  <c:v>43580</c:v>
                </c:pt>
                <c:pt idx="9">
                  <c:v>43584</c:v>
                </c:pt>
                <c:pt idx="10">
                  <c:v>43583</c:v>
                </c:pt>
                <c:pt idx="11">
                  <c:v>43584</c:v>
                </c:pt>
                <c:pt idx="12">
                  <c:v>43579</c:v>
                </c:pt>
              </c:numCache>
            </c:numRef>
          </c:val>
          <c:smooth val="0"/>
          <c:extLst>
            <c:ext xmlns:c16="http://schemas.microsoft.com/office/drawing/2014/chart" uri="{C3380CC4-5D6E-409C-BE32-E72D297353CC}">
              <c16:uniqueId val="{00000003-01B1-4A58-AD14-12A89199E3A8}"/>
            </c:ext>
          </c:extLst>
        </c:ser>
        <c:dLbls>
          <c:showLegendKey val="0"/>
          <c:showVal val="1"/>
          <c:showCatName val="0"/>
          <c:showSerName val="0"/>
          <c:showPercent val="0"/>
          <c:showBubbleSize val="0"/>
        </c:dLbls>
        <c:marker val="1"/>
        <c:smooth val="0"/>
        <c:axId val="550693296"/>
        <c:axId val="550696208"/>
      </c:lineChart>
      <c:catAx>
        <c:axId val="550693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6208"/>
        <c:crosses val="autoZero"/>
        <c:auto val="1"/>
        <c:lblAlgn val="ctr"/>
        <c:lblOffset val="100"/>
        <c:noMultiLvlLbl val="0"/>
      </c:catAx>
      <c:valAx>
        <c:axId val="550696208"/>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twoCellAnchor>
    <xdr:from>
      <xdr:col>1</xdr:col>
      <xdr:colOff>253999</xdr:colOff>
      <xdr:row>19</xdr:row>
      <xdr:rowOff>47625</xdr:rowOff>
    </xdr:from>
    <xdr:to>
      <xdr:col>4</xdr:col>
      <xdr:colOff>809626</xdr:colOff>
      <xdr:row>34</xdr:row>
      <xdr:rowOff>15875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19</xdr:row>
      <xdr:rowOff>95250</xdr:rowOff>
    </xdr:from>
    <xdr:to>
      <xdr:col>13</xdr:col>
      <xdr:colOff>1016002</xdr:colOff>
      <xdr:row>34</xdr:row>
      <xdr:rowOff>63500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P17" totalsRowShown="0" headerRowDxfId="27" tableBorderDxfId="26">
  <autoFilter ref="B4:P17"/>
  <tableColumns count="15">
    <tableColumn id="1" name="Proyecto" dataDxfId="25" dataCellStyle="Texto"/>
    <tableColumn id="2" name="Categoría" dataDxfId="24" dataCellStyle="Texto"/>
    <tableColumn id="3" name="Asignado a" dataDxfId="23" dataCellStyle="Texto"/>
    <tableColumn id="4" name="Estimado_x000a_Inicio" dataDxfId="22" dataCellStyle="Fecha"/>
    <tableColumn id="5" name="Estimado _x000a_Finalización" dataDxfId="21" dataCellStyle="Fecha"/>
    <tableColumn id="6" name="Trabajo estimado (en horas)" dataDxfId="20" dataCellStyle="Números"/>
    <tableColumn id="7" name="Duración estimada (en días)" dataDxfId="19" dataCellStyle="Duración estimada">
      <calculatedColumnFormula>IF(COUNTA('Seguimiento de proyectos'!$E5,'Seguimiento de proyectos'!$F5)&lt;&gt;2,"",DAYS360('Seguimiento de proyectos'!$E5,'Seguimiento de proyectos'!$F5,FALSE))</calculatedColumnFormula>
    </tableColumn>
    <tableColumn id="8" name="Real _x000a_Inicio" dataDxfId="18" dataCellStyle="Inicio real"/>
    <tableColumn id="9" name="Real_x000a_Finalización" dataDxfId="17" dataCellStyle="Fecha"/>
    <tableColumn id="10" name="Icono de bandera para trabajo real superior o inferior (en horas)" dataDxfId="16" dataCellStyle="Marca">
      <calculatedColumnFormula>IFERROR(IF(SeguimientoDeProyectos[Trabajo real (en horas)]=0,"",IF(ABS((SeguimientoDeProyectos[[#This Row],[Trabajo real (en horas)]]-SeguimientoDeProyectos[[#This Row],[Trabajo estimado (en horas)]])/SeguimientoDeProyectos[[#This Row],[Trabajo estimado (en horas)]])&gt;PorcentajeMarca,1,0)),"")</calculatedColumnFormula>
    </tableColumn>
    <tableColumn id="11" name="Trabajo real (en horas)" dataDxfId="15" dataCellStyle="Números"/>
    <tableColumn id="12" name="Icono de bandera para duración real superior o inferior (en días)" dataDxfId="14"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13" dataCellStyle="Columna gris">
      <calculatedColumnFormula>IF(COUNTA('Seguimiento de proyectos'!$I5,'Seguimiento de proyectos'!$J5)&lt;&gt;2,"",DAYS360('Seguimiento de proyectos'!$I5,'Seguimiento de proyectos'!$J5,FALSE))</calculatedColumnFormula>
    </tableColumn>
    <tableColumn id="15" name="PESO" dataDxfId="12" dataCellStyle="Texto"/>
    <tableColumn id="14" name="Completa" dataDxfId="11" dataCellStyle="Texto"/>
  </tableColumns>
  <tableStyleInfo name="Estilo de tabla personalizado 2" showFirstColumn="0" showLastColumn="0" showRowStripes="1" showColumnStripes="0"/>
</table>
</file>

<file path=xl/tables/table2.xml><?xml version="1.0" encoding="utf-8"?>
<table xmlns="http://schemas.openxmlformats.org/spreadsheetml/2006/main" id="4" name="Tabla4" displayName="Tabla4" ref="O30:P32" headerRowCount="0" totalsRowShown="0" headerRowDxfId="10" dataDxfId="9">
  <tableColumns count="2">
    <tableColumn id="1" name="Columna1" headerRowDxfId="8" dataDxfId="7"/>
    <tableColumn id="2" name="Columna2" headerRowDxfId="6" dataDxfId="5"/>
  </tableColumns>
  <tableStyleInfo name="TableStyleLight7" showFirstColumn="0" showLastColumn="0" showRowStripes="1" showColumnStripes="0"/>
</table>
</file>

<file path=xl/tables/table3.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S32"/>
  <sheetViews>
    <sheetView showGridLines="0" tabSelected="1" zoomScale="50" zoomScaleNormal="50" workbookViewId="0">
      <pane ySplit="4" topLeftCell="A5" activePane="bottomLeft" state="frozen"/>
      <selection pane="bottomLeft" activeCell="I8" sqref="I8"/>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2" customWidth="1"/>
    <col min="12" max="12" width="10.875" style="1" customWidth="1"/>
    <col min="13" max="13" width="2.875" style="1" customWidth="1"/>
    <col min="14" max="14" width="29.75" style="1" customWidth="1"/>
    <col min="15" max="15" width="31.25" style="1" customWidth="1"/>
    <col min="16" max="16" width="17.125" style="1" customWidth="1"/>
    <col min="17" max="16384" width="9" style="1"/>
  </cols>
  <sheetData>
    <row r="1" spans="1:16" ht="65.099999999999994" customHeight="1" x14ac:dyDescent="0.3">
      <c r="B1" s="6" t="s">
        <v>17</v>
      </c>
      <c r="C1"/>
    </row>
    <row r="2" spans="1:16" ht="20.25" customHeight="1" x14ac:dyDescent="0.3">
      <c r="A2" s="3"/>
      <c r="B2" s="6"/>
      <c r="C2" s="4" t="s">
        <v>1</v>
      </c>
      <c r="D2" s="5">
        <v>1</v>
      </c>
    </row>
    <row r="3" spans="1:16" ht="20.25" customHeight="1" x14ac:dyDescent="0.3">
      <c r="G3"/>
      <c r="H3"/>
    </row>
    <row r="4" spans="1:16" ht="54.95" customHeight="1" x14ac:dyDescent="0.3">
      <c r="B4" s="16" t="s">
        <v>0</v>
      </c>
      <c r="C4" s="16" t="s">
        <v>2</v>
      </c>
      <c r="D4" s="16" t="s">
        <v>3</v>
      </c>
      <c r="E4" s="17" t="s">
        <v>4</v>
      </c>
      <c r="F4" s="17" t="s">
        <v>5</v>
      </c>
      <c r="G4" s="18" t="s">
        <v>6</v>
      </c>
      <c r="H4" s="19" t="s">
        <v>7</v>
      </c>
      <c r="I4" s="20" t="s">
        <v>8</v>
      </c>
      <c r="J4" s="17" t="s">
        <v>9</v>
      </c>
      <c r="K4" s="21" t="s">
        <v>10</v>
      </c>
      <c r="L4" s="18" t="s">
        <v>11</v>
      </c>
      <c r="M4" s="21" t="s">
        <v>12</v>
      </c>
      <c r="N4" s="18" t="s">
        <v>13</v>
      </c>
      <c r="O4" s="16" t="s">
        <v>35</v>
      </c>
      <c r="P4" s="16" t="s">
        <v>48</v>
      </c>
    </row>
    <row r="5" spans="1:16" ht="30" customHeight="1" x14ac:dyDescent="0.3">
      <c r="B5" s="8" t="s">
        <v>23</v>
      </c>
      <c r="C5" s="8" t="s">
        <v>20</v>
      </c>
      <c r="D5" s="8" t="s">
        <v>19</v>
      </c>
      <c r="E5" s="9">
        <f>DATE(2019,4,11)</f>
        <v>43566</v>
      </c>
      <c r="F5" s="9">
        <f>DATE(2019,4,13)</f>
        <v>43568</v>
      </c>
      <c r="G5" s="10">
        <v>12</v>
      </c>
      <c r="H5" s="11">
        <v>2</v>
      </c>
      <c r="I5" s="12">
        <f>DATE(2019,4,23)</f>
        <v>43578</v>
      </c>
      <c r="J5" s="9">
        <f>DATE(2019,4,26)</f>
        <v>43581</v>
      </c>
      <c r="K5" s="13">
        <f>IFERROR(IF(SeguimientoDeProyectos[Trabajo real (en horas)]=0,"",IF(ABS((SeguimientoDeProyectos[[#This Row],[Trabajo real (en horas)]]-SeguimientoDeProyectos[[#This Row],[Trabajo estimado (en horas)]])/SeguimientoDeProyectos[[#This Row],[Trabajo estimado (en horas)]])&gt;PorcentajeMarca,1,0)),"")</f>
        <v>0</v>
      </c>
      <c r="L5" s="10">
        <v>10</v>
      </c>
      <c r="M5" s="13">
        <f>IFERROR(IF(SeguimientoDeProyectos[Duración real (en días)]=0,"",IF(ABS((SeguimientoDeProyectos[[#This Row],[Duración real (en días)]]-SeguimientoDeProyectos[[#This Row],[Duración estimada (en días)]])/SeguimientoDeProyectos[[#This Row],[Duración estimada (en días)]])&gt;PorcentajeMarca,1,0)),"")</f>
        <v>0</v>
      </c>
      <c r="N5" s="14">
        <v>3</v>
      </c>
      <c r="O5" s="38">
        <v>3</v>
      </c>
      <c r="P5" s="30" t="s">
        <v>49</v>
      </c>
    </row>
    <row r="6" spans="1:16" ht="30" customHeight="1" x14ac:dyDescent="0.3">
      <c r="B6" s="8" t="s">
        <v>25</v>
      </c>
      <c r="C6" s="8" t="s">
        <v>20</v>
      </c>
      <c r="D6" s="8" t="s">
        <v>18</v>
      </c>
      <c r="E6" s="9">
        <f>DATE(2019,5,6)</f>
        <v>43591</v>
      </c>
      <c r="F6" s="9">
        <f>DATE(2019,5,7)</f>
        <v>43592</v>
      </c>
      <c r="G6" s="10">
        <v>8</v>
      </c>
      <c r="H6" s="11">
        <v>1</v>
      </c>
      <c r="I6" s="12">
        <f>DATE(2019,4,30)</f>
        <v>43585</v>
      </c>
      <c r="J6" s="9">
        <f>DATE(2019,4,30)</f>
        <v>43585</v>
      </c>
      <c r="K6" s="13">
        <f>IFERROR(IF(SeguimientoDeProyectos[Trabajo real (en horas)]=0,"",IF(ABS((SeguimientoDeProyectos[[#This Row],[Trabajo real (en horas)]]-SeguimientoDeProyectos[[#This Row],[Trabajo estimado (en horas)]])/SeguimientoDeProyectos[[#This Row],[Trabajo estimado (en horas)]])&gt;PorcentajeMarca,1,0)),"")</f>
        <v>0</v>
      </c>
      <c r="L6" s="10">
        <v>4</v>
      </c>
      <c r="M6" s="13">
        <f>IFERROR(IF(SeguimientoDeProyectos[Duración real (en días)]=0,"",IF(ABS((SeguimientoDeProyectos[[#This Row],[Duración real (en días)]]-SeguimientoDeProyectos[[#This Row],[Duración estimada (en días)]])/SeguimientoDeProyectos[[#This Row],[Duración estimada (en días)]])&gt;PorcentajeMarca,1,0)),"")</f>
        <v>0</v>
      </c>
      <c r="N6" s="14">
        <v>1</v>
      </c>
      <c r="O6" s="38">
        <v>2</v>
      </c>
      <c r="P6" s="30" t="s">
        <v>49</v>
      </c>
    </row>
    <row r="7" spans="1:16" ht="30" customHeight="1" x14ac:dyDescent="0.3">
      <c r="B7" s="8" t="s">
        <v>24</v>
      </c>
      <c r="C7" s="8" t="s">
        <v>20</v>
      </c>
      <c r="D7" s="8" t="s">
        <v>18</v>
      </c>
      <c r="E7" s="9">
        <f>DATE(2019,5,4)</f>
        <v>43589</v>
      </c>
      <c r="F7" s="9">
        <f>DATE(2019,5,5)</f>
        <v>43590</v>
      </c>
      <c r="G7" s="10">
        <v>12</v>
      </c>
      <c r="H7" s="11">
        <v>2</v>
      </c>
      <c r="I7" s="12">
        <f>DATE(2019,4,30)</f>
        <v>43585</v>
      </c>
      <c r="J7" s="9">
        <f>DATE(2019,4,30)</f>
        <v>43585</v>
      </c>
      <c r="K7" s="13">
        <f>IFERROR(IF(SeguimientoDeProyectos[Trabajo real (en horas)]=0,"",IF(ABS((SeguimientoDeProyectos[[#This Row],[Trabajo real (en horas)]]-SeguimientoDeProyectos[[#This Row],[Trabajo estimado (en horas)]])/SeguimientoDeProyectos[[#This Row],[Trabajo estimado (en horas)]])&gt;PorcentajeMarca,1,0)),"")</f>
        <v>0</v>
      </c>
      <c r="L7" s="10">
        <v>6</v>
      </c>
      <c r="M7" s="13">
        <f>IFERROR(IF(SeguimientoDeProyectos[Duración real (en días)]=0,"",IF(ABS((SeguimientoDeProyectos[[#This Row],[Duración real (en días)]]-SeguimientoDeProyectos[[#This Row],[Duración estimada (en días)]])/SeguimientoDeProyectos[[#This Row],[Duración estimada (en días)]])&gt;PorcentajeMarca,1,0)),"")</f>
        <v>0</v>
      </c>
      <c r="N7" s="14">
        <v>1</v>
      </c>
      <c r="O7" s="38">
        <v>3</v>
      </c>
      <c r="P7" s="30" t="s">
        <v>49</v>
      </c>
    </row>
    <row r="8" spans="1:16" ht="30" customHeight="1" x14ac:dyDescent="0.3">
      <c r="B8" s="8" t="s">
        <v>26</v>
      </c>
      <c r="C8" s="8" t="s">
        <v>20</v>
      </c>
      <c r="D8" s="8" t="s">
        <v>19</v>
      </c>
      <c r="E8" s="9">
        <f>DATE(2019,4,23)</f>
        <v>43578</v>
      </c>
      <c r="F8" s="9">
        <f>DATE(2019,4,25)</f>
        <v>43580</v>
      </c>
      <c r="G8" s="10">
        <v>12</v>
      </c>
      <c r="H8" s="11">
        <v>2</v>
      </c>
      <c r="I8" s="12">
        <f>DATE(2019,4,27)</f>
        <v>43582</v>
      </c>
      <c r="J8" s="9">
        <f>DATE(2019,4,30)</f>
        <v>43585</v>
      </c>
      <c r="K8" s="13">
        <f>IFERROR(IF(SeguimientoDeProyectos[Trabajo real (en horas)]=0,"",IF(ABS((SeguimientoDeProyectos[[#This Row],[Trabajo real (en horas)]]-SeguimientoDeProyectos[[#This Row],[Trabajo estimado (en horas)]])/SeguimientoDeProyectos[[#This Row],[Trabajo estimado (en horas)]])&gt;PorcentajeMarca,1,0)),"")</f>
        <v>0</v>
      </c>
      <c r="L8" s="10">
        <v>12</v>
      </c>
      <c r="M8" s="13">
        <f>IFERROR(IF(SeguimientoDeProyectos[Duración real (en días)]=0,"",IF(ABS((SeguimientoDeProyectos[[#This Row],[Duración real (en días)]]-SeguimientoDeProyectos[[#This Row],[Duración estimada (en días)]])/SeguimientoDeProyectos[[#This Row],[Duración estimada (en días)]])&gt;PorcentajeMarca,1,0)),"")</f>
        <v>0</v>
      </c>
      <c r="N8" s="14">
        <f>IF(COUNTA('Seguimiento de proyectos'!$I8,'Seguimiento de proyectos'!$J8)&lt;&gt;2,"",DAYS360('Seguimiento de proyectos'!$I8,'Seguimiento de proyectos'!$J8,FALSE))</f>
        <v>3</v>
      </c>
      <c r="O8" s="38">
        <v>3</v>
      </c>
      <c r="P8" s="30" t="s">
        <v>49</v>
      </c>
    </row>
    <row r="9" spans="1:16" ht="30" customHeight="1" x14ac:dyDescent="0.3">
      <c r="B9" s="8" t="s">
        <v>27</v>
      </c>
      <c r="C9" s="8" t="s">
        <v>20</v>
      </c>
      <c r="D9" s="8" t="s">
        <v>19</v>
      </c>
      <c r="E9" s="9">
        <f>DATE(2019,4,8)</f>
        <v>43563</v>
      </c>
      <c r="F9" s="9">
        <f>DATE(2019,4,10)</f>
        <v>43565</v>
      </c>
      <c r="G9" s="10">
        <v>20</v>
      </c>
      <c r="H9" s="11">
        <v>3</v>
      </c>
      <c r="I9" s="12">
        <f>DATE(2019,4,8)</f>
        <v>43563</v>
      </c>
      <c r="J9" s="9">
        <f>DATE(2019,4,14)</f>
        <v>43569</v>
      </c>
      <c r="K9" s="13">
        <f>IFERROR(IF(SeguimientoDeProyectos[Trabajo real (en horas)]=0,"",IF(ABS((SeguimientoDeProyectos[[#This Row],[Trabajo real (en horas)]]-SeguimientoDeProyectos[[#This Row],[Trabajo estimado (en horas)]])/SeguimientoDeProyectos[[#This Row],[Trabajo estimado (en horas)]])&gt;PorcentajeMarca,1,0)),"")</f>
        <v>0</v>
      </c>
      <c r="L9" s="10">
        <v>33</v>
      </c>
      <c r="M9" s="13">
        <f>IFERROR(IF(SeguimientoDeProyectos[Duración real (en días)]=0,"",IF(ABS((SeguimientoDeProyectos[[#This Row],[Duración real (en días)]]-SeguimientoDeProyectos[[#This Row],[Duración estimada (en días)]])/SeguimientoDeProyectos[[#This Row],[Duración estimada (en días)]])&gt;PorcentajeMarca,1,0)),"")</f>
        <v>0</v>
      </c>
      <c r="N9" s="14">
        <f>IF(COUNTA('Seguimiento de proyectos'!$I9,'Seguimiento de proyectos'!$J9)&lt;&gt;2,"",DAYS360('Seguimiento de proyectos'!$I9,'Seguimiento de proyectos'!$J9,FALSE))</f>
        <v>6</v>
      </c>
      <c r="O9" s="38">
        <v>5</v>
      </c>
      <c r="P9" s="30" t="s">
        <v>49</v>
      </c>
    </row>
    <row r="10" spans="1:16" ht="30" customHeight="1" x14ac:dyDescent="0.3">
      <c r="B10" s="8" t="s">
        <v>28</v>
      </c>
      <c r="C10" s="8" t="s">
        <v>20</v>
      </c>
      <c r="D10" s="8" t="s">
        <v>18</v>
      </c>
      <c r="E10" s="9">
        <f>DATE(2019,5,8)</f>
        <v>43593</v>
      </c>
      <c r="F10" s="9">
        <f>DATE(2019,5,9)</f>
        <v>43594</v>
      </c>
      <c r="G10" s="10">
        <v>12</v>
      </c>
      <c r="H10" s="11">
        <v>2</v>
      </c>
      <c r="I10" s="12">
        <f>DATE(2019,5,1)</f>
        <v>43586</v>
      </c>
      <c r="J10" s="9">
        <f>DATE(2019,5,1)</f>
        <v>43586</v>
      </c>
      <c r="K10" s="13">
        <f>IFERROR(IF(SeguimientoDeProyectos[Trabajo real (en horas)]=0,"",IF(ABS((SeguimientoDeProyectos[[#This Row],[Trabajo real (en horas)]]-SeguimientoDeProyectos[[#This Row],[Trabajo estimado (en horas)]])/SeguimientoDeProyectos[[#This Row],[Trabajo estimado (en horas)]])&gt;PorcentajeMarca,1,0)),"")</f>
        <v>0</v>
      </c>
      <c r="L10" s="10">
        <v>5</v>
      </c>
      <c r="M10" s="13">
        <f>IFERROR(IF(SeguimientoDeProyectos[Duración real (en días)]=0,"",IF(ABS((SeguimientoDeProyectos[[#This Row],[Duración real (en días)]]-SeguimientoDeProyectos[[#This Row],[Duración estimada (en días)]])/SeguimientoDeProyectos[[#This Row],[Duración estimada (en días)]])&gt;PorcentajeMarca,1,0)),"")</f>
        <v>0</v>
      </c>
      <c r="N10" s="14">
        <v>1</v>
      </c>
      <c r="O10" s="38">
        <v>3</v>
      </c>
      <c r="P10" s="30" t="s">
        <v>49</v>
      </c>
    </row>
    <row r="11" spans="1:16" ht="30" customHeight="1" x14ac:dyDescent="0.3">
      <c r="B11" s="8" t="s">
        <v>29</v>
      </c>
      <c r="C11" s="8" t="s">
        <v>20</v>
      </c>
      <c r="D11" s="8" t="s">
        <v>18</v>
      </c>
      <c r="E11" s="9">
        <f>DATE(2019,4,8)</f>
        <v>43563</v>
      </c>
      <c r="F11" s="9">
        <f>DATE(2019,4,10)</f>
        <v>43565</v>
      </c>
      <c r="G11" s="10">
        <v>12</v>
      </c>
      <c r="H11" s="11">
        <v>2</v>
      </c>
      <c r="I11" s="12">
        <f>DATE(2019,4,8)</f>
        <v>43563</v>
      </c>
      <c r="J11" s="9">
        <f>DATE(2019,4,10)</f>
        <v>43565</v>
      </c>
      <c r="K11" s="13">
        <f>IFERROR(IF(SeguimientoDeProyectos[Trabajo real (en horas)]=0,"",IF(ABS((SeguimientoDeProyectos[[#This Row],[Trabajo real (en horas)]]-SeguimientoDeProyectos[[#This Row],[Trabajo estimado (en horas)]])/SeguimientoDeProyectos[[#This Row],[Trabajo estimado (en horas)]])&gt;PorcentajeMarca,1,0)),"")</f>
        <v>0</v>
      </c>
      <c r="L11" s="10">
        <v>8</v>
      </c>
      <c r="M11" s="13">
        <f>IFERROR(IF(SeguimientoDeProyectos[Duración real (en días)]=0,"",IF(ABS((SeguimientoDeProyectos[[#This Row],[Duración real (en días)]]-SeguimientoDeProyectos[[#This Row],[Duración estimada (en días)]])/SeguimientoDeProyectos[[#This Row],[Duración estimada (en días)]])&gt;PorcentajeMarca,1,0)),"")</f>
        <v>0</v>
      </c>
      <c r="N11" s="14">
        <v>2</v>
      </c>
      <c r="O11" s="38">
        <v>3</v>
      </c>
      <c r="P11" s="30" t="s">
        <v>49</v>
      </c>
    </row>
    <row r="12" spans="1:16" ht="30" customHeight="1" x14ac:dyDescent="0.3">
      <c r="B12" s="8" t="s">
        <v>30</v>
      </c>
      <c r="C12" s="8" t="s">
        <v>20</v>
      </c>
      <c r="D12" s="8" t="s">
        <v>18</v>
      </c>
      <c r="E12" s="9">
        <f>DATE(2019,4,11)</f>
        <v>43566</v>
      </c>
      <c r="F12" s="9">
        <f>DATE(2019,4,13)</f>
        <v>43568</v>
      </c>
      <c r="G12" s="10">
        <v>12</v>
      </c>
      <c r="H12" s="11">
        <v>2</v>
      </c>
      <c r="I12" s="12">
        <f>DATE(2019,4,11)</f>
        <v>43566</v>
      </c>
      <c r="J12" s="9">
        <f>DATE(2019,4,14)</f>
        <v>43569</v>
      </c>
      <c r="K12" s="13">
        <f>IFERROR(IF(SeguimientoDeProyectos[Trabajo real (en horas)]=0,"",IF(ABS((SeguimientoDeProyectos[[#This Row],[Trabajo real (en horas)]]-SeguimientoDeProyectos[[#This Row],[Trabajo estimado (en horas)]])/SeguimientoDeProyectos[[#This Row],[Trabajo estimado (en horas)]])&gt;PorcentajeMarca,1,0)),"")</f>
        <v>0</v>
      </c>
      <c r="L12" s="10">
        <v>9</v>
      </c>
      <c r="M12" s="13">
        <f>IFERROR(IF(SeguimientoDeProyectos[Duración real (en días)]=0,"",IF(ABS((SeguimientoDeProyectos[[#This Row],[Duración real (en días)]]-SeguimientoDeProyectos[[#This Row],[Duración estimada (en días)]])/SeguimientoDeProyectos[[#This Row],[Duración estimada (en días)]])&gt;PorcentajeMarca,1,0)),"")</f>
        <v>0</v>
      </c>
      <c r="N12" s="14">
        <v>3</v>
      </c>
      <c r="O12" s="38">
        <v>3</v>
      </c>
      <c r="P12" s="30" t="s">
        <v>49</v>
      </c>
    </row>
    <row r="13" spans="1:16" ht="30" customHeight="1" x14ac:dyDescent="0.3">
      <c r="B13" s="8" t="s">
        <v>31</v>
      </c>
      <c r="C13" s="8" t="s">
        <v>20</v>
      </c>
      <c r="D13" s="8" t="s">
        <v>18</v>
      </c>
      <c r="E13" s="9">
        <f>DATE(2019,4,24)</f>
        <v>43579</v>
      </c>
      <c r="F13" s="9">
        <f>DATE(2019,4,26)</f>
        <v>43581</v>
      </c>
      <c r="G13" s="10">
        <v>12</v>
      </c>
      <c r="H13" s="11">
        <v>2</v>
      </c>
      <c r="I13" s="12">
        <f>DATE(2019,4,25)</f>
        <v>43580</v>
      </c>
      <c r="J13" s="9">
        <f>DATE(2019,4,25)</f>
        <v>43580</v>
      </c>
      <c r="K13" s="13">
        <f>IFERROR(IF(SeguimientoDeProyectos[Trabajo real (en horas)]=0,"",IF(ABS((SeguimientoDeProyectos[[#This Row],[Trabajo real (en horas)]]-SeguimientoDeProyectos[[#This Row],[Trabajo estimado (en horas)]])/SeguimientoDeProyectos[[#This Row],[Trabajo estimado (en horas)]])&gt;PorcentajeMarca,1,0)),"")</f>
        <v>0</v>
      </c>
      <c r="L13" s="10">
        <v>5</v>
      </c>
      <c r="M13" s="13">
        <f>IFERROR(IF(SeguimientoDeProyectos[Duración real (en días)]=0,"",IF(ABS((SeguimientoDeProyectos[[#This Row],[Duración real (en días)]]-SeguimientoDeProyectos[[#This Row],[Duración estimada (en días)]])/SeguimientoDeProyectos[[#This Row],[Duración estimada (en días)]])&gt;PorcentajeMarca,1,0)),"")</f>
        <v>0</v>
      </c>
      <c r="N13" s="14">
        <v>1</v>
      </c>
      <c r="O13" s="38">
        <v>3</v>
      </c>
      <c r="P13" s="30" t="s">
        <v>49</v>
      </c>
    </row>
    <row r="14" spans="1:16" ht="30" customHeight="1" x14ac:dyDescent="0.3">
      <c r="B14" s="23" t="s">
        <v>32</v>
      </c>
      <c r="C14" s="23" t="s">
        <v>20</v>
      </c>
      <c r="D14" s="23" t="s">
        <v>18</v>
      </c>
      <c r="E14" s="24">
        <f>DATE(2019,5,1)</f>
        <v>43586</v>
      </c>
      <c r="F14" s="24">
        <f>DATE(2019,5,3)</f>
        <v>43588</v>
      </c>
      <c r="G14" s="25">
        <v>12</v>
      </c>
      <c r="H14" s="26">
        <v>2</v>
      </c>
      <c r="I14" s="27">
        <f>DATE(2019,4,29)</f>
        <v>43584</v>
      </c>
      <c r="J14" s="24">
        <f>DATE(2019,4,29)</f>
        <v>43584</v>
      </c>
      <c r="K14" s="28">
        <f>IFERROR(IF(SeguimientoDeProyectos[Trabajo real (en horas)]=0,"",IF(ABS((SeguimientoDeProyectos[[#This Row],[Trabajo real (en horas)]]-SeguimientoDeProyectos[[#This Row],[Trabajo estimado (en horas)]])/SeguimientoDeProyectos[[#This Row],[Trabajo estimado (en horas)]])&gt;PorcentajeMarca,1,0)),"")</f>
        <v>0</v>
      </c>
      <c r="L14" s="25">
        <v>5</v>
      </c>
      <c r="M14" s="28">
        <f>IFERROR(IF(SeguimientoDeProyectos[Duración real (en días)]=0,"",IF(ABS((SeguimientoDeProyectos[[#This Row],[Duración real (en días)]]-SeguimientoDeProyectos[[#This Row],[Duración estimada (en días)]])/SeguimientoDeProyectos[[#This Row],[Duración estimada (en días)]])&gt;PorcentajeMarca,1,0)),"")</f>
        <v>0</v>
      </c>
      <c r="N14" s="29">
        <v>1</v>
      </c>
      <c r="O14" s="38">
        <v>3</v>
      </c>
      <c r="P14" s="30" t="s">
        <v>49</v>
      </c>
    </row>
    <row r="15" spans="1:16" ht="30" customHeight="1" x14ac:dyDescent="0.3">
      <c r="B15" s="23" t="s">
        <v>33</v>
      </c>
      <c r="C15" s="23" t="s">
        <v>20</v>
      </c>
      <c r="D15" s="23" t="s">
        <v>18</v>
      </c>
      <c r="E15" s="24">
        <f>DATE(2019,4,27)</f>
        <v>43582</v>
      </c>
      <c r="F15" s="24">
        <f>DATE(2019,4,29)</f>
        <v>43584</v>
      </c>
      <c r="G15" s="25">
        <v>12</v>
      </c>
      <c r="H15" s="26">
        <v>2</v>
      </c>
      <c r="I15" s="27">
        <f>DATE(2019,4,26)</f>
        <v>43581</v>
      </c>
      <c r="J15" s="24">
        <f>DATE(2019,4,28)</f>
        <v>43583</v>
      </c>
      <c r="K15" s="28">
        <f>IFERROR(IF(SeguimientoDeProyectos[Trabajo real (en horas)]=0,"",IF(ABS((SeguimientoDeProyectos[[#This Row],[Trabajo real (en horas)]]-SeguimientoDeProyectos[[#This Row],[Trabajo estimado (en horas)]])/SeguimientoDeProyectos[[#This Row],[Trabajo estimado (en horas)]])&gt;PorcentajeMarca,1,0)),"")</f>
        <v>0</v>
      </c>
      <c r="L15" s="25">
        <v>10</v>
      </c>
      <c r="M15" s="28">
        <f>IFERROR(IF(SeguimientoDeProyectos[Duración real (en días)]=0,"",IF(ABS((SeguimientoDeProyectos[[#This Row],[Duración real (en días)]]-SeguimientoDeProyectos[[#This Row],[Duración estimada (en días)]])/SeguimientoDeProyectos[[#This Row],[Duración estimada (en días)]])&gt;PorcentajeMarca,1,0)),"")</f>
        <v>0</v>
      </c>
      <c r="N15" s="29">
        <v>2</v>
      </c>
      <c r="O15" s="38">
        <v>3</v>
      </c>
      <c r="P15" s="30" t="s">
        <v>49</v>
      </c>
    </row>
    <row r="16" spans="1:16" ht="30" customHeight="1" x14ac:dyDescent="0.3">
      <c r="B16" s="23" t="s">
        <v>34</v>
      </c>
      <c r="C16" s="30" t="s">
        <v>20</v>
      </c>
      <c r="D16" s="30" t="s">
        <v>18</v>
      </c>
      <c r="E16" s="31">
        <f>DATE(2019,4,30)</f>
        <v>43585</v>
      </c>
      <c r="F16" s="31">
        <f>DATE(2019,5,1)</f>
        <v>43586</v>
      </c>
      <c r="G16" s="32">
        <v>12</v>
      </c>
      <c r="H16" s="33">
        <v>2</v>
      </c>
      <c r="I16" s="43">
        <f>DATE(2019,4,29)</f>
        <v>43584</v>
      </c>
      <c r="J16" s="31">
        <f>DATE(2019,4,29)</f>
        <v>43584</v>
      </c>
      <c r="K16" s="34">
        <f>IFERROR(IF(SeguimientoDeProyectos[Trabajo real (en horas)]=0,"",IF(ABS((SeguimientoDeProyectos[[#This Row],[Trabajo real (en horas)]]-SeguimientoDeProyectos[[#This Row],[Trabajo estimado (en horas)]])/SeguimientoDeProyectos[[#This Row],[Trabajo estimado (en horas)]])&gt;PorcentajeMarca,1,0)),"")</f>
        <v>0</v>
      </c>
      <c r="L16" s="32">
        <v>4</v>
      </c>
      <c r="M16" s="34">
        <f>IFERROR(IF(SeguimientoDeProyectos[Duración real (en días)]=0,"",IF(ABS((SeguimientoDeProyectos[[#This Row],[Duración real (en días)]]-SeguimientoDeProyectos[[#This Row],[Duración estimada (en días)]])/SeguimientoDeProyectos[[#This Row],[Duración estimada (en días)]])&gt;PorcentajeMarca,1,0)),"")</f>
        <v>0</v>
      </c>
      <c r="N16" s="35">
        <v>1</v>
      </c>
      <c r="O16" s="39">
        <v>3</v>
      </c>
      <c r="P16" s="30" t="s">
        <v>49</v>
      </c>
    </row>
    <row r="17" spans="2:19" ht="30" customHeight="1" x14ac:dyDescent="0.3">
      <c r="B17" s="36" t="s">
        <v>36</v>
      </c>
      <c r="C17" s="23" t="s">
        <v>20</v>
      </c>
      <c r="D17" s="23" t="s">
        <v>18</v>
      </c>
      <c r="E17" s="24">
        <f>DATE(2019,4,14)</f>
        <v>43569</v>
      </c>
      <c r="F17" s="24">
        <f>DATE(2019,4,23)</f>
        <v>43578</v>
      </c>
      <c r="G17" s="25">
        <v>12</v>
      </c>
      <c r="H17" s="26">
        <v>2</v>
      </c>
      <c r="I17" s="27">
        <f>DATE(2019,4,22)</f>
        <v>43577</v>
      </c>
      <c r="J17" s="24">
        <f>DATE(2019,4,24)</f>
        <v>43579</v>
      </c>
      <c r="K17" s="28">
        <f>IFERROR(IF(SeguimientoDeProyectos[Trabajo real (en horas)]=0,"",IF(ABS((SeguimientoDeProyectos[[#This Row],[Trabajo real (en horas)]]-SeguimientoDeProyectos[[#This Row],[Trabajo estimado (en horas)]])/SeguimientoDeProyectos[[#This Row],[Trabajo estimado (en horas)]])&gt;PorcentajeMarca,1,0)),"")</f>
        <v>0</v>
      </c>
      <c r="L17" s="25">
        <v>13</v>
      </c>
      <c r="M17" s="28">
        <f>IFERROR(IF(SeguimientoDeProyectos[Duración real (en días)]=0,"",IF(ABS((SeguimientoDeProyectos[[#This Row],[Duración real (en días)]]-SeguimientoDeProyectos[[#This Row],[Duración estimada (en días)]])/SeguimientoDeProyectos[[#This Row],[Duración estimada (en días)]])&gt;PorcentajeMarca,1,0)),"")</f>
        <v>0</v>
      </c>
      <c r="N17" s="29">
        <v>2</v>
      </c>
      <c r="O17" s="38">
        <v>3</v>
      </c>
      <c r="P17" s="30" t="s">
        <v>49</v>
      </c>
    </row>
    <row r="20" spans="2:19" ht="30" customHeight="1" x14ac:dyDescent="0.3">
      <c r="N20" s="1" t="s">
        <v>37</v>
      </c>
      <c r="O20" s="1">
        <v>80</v>
      </c>
      <c r="P20" s="1">
        <v>100</v>
      </c>
    </row>
    <row r="21" spans="2:19" ht="30" customHeight="1" x14ac:dyDescent="0.3">
      <c r="N21" s="1" t="s">
        <v>38</v>
      </c>
      <c r="O21" s="1">
        <f>SUM(SeguimientoDeProyectos[PESO])</f>
        <v>40</v>
      </c>
    </row>
    <row r="22" spans="2:19" ht="30" customHeight="1" thickBot="1" x14ac:dyDescent="0.35">
      <c r="O22" s="1" t="s">
        <v>40</v>
      </c>
      <c r="P22" s="37">
        <f>(P20*O21)/O20</f>
        <v>50</v>
      </c>
      <c r="Q22" s="40" t="s">
        <v>39</v>
      </c>
    </row>
    <row r="23" spans="2:19" ht="30" customHeight="1" thickTop="1" x14ac:dyDescent="0.3"/>
    <row r="24" spans="2:19" ht="30" customHeight="1" thickBot="1" x14ac:dyDescent="0.35">
      <c r="O24" s="40" t="s">
        <v>42</v>
      </c>
      <c r="P24" s="37">
        <v>35</v>
      </c>
      <c r="Q24" s="40"/>
      <c r="S24" s="1" t="s">
        <v>43</v>
      </c>
    </row>
    <row r="25" spans="2:19" ht="30" customHeight="1" thickTop="1" x14ac:dyDescent="0.3"/>
    <row r="26" spans="2:19" ht="30" customHeight="1" thickBot="1" x14ac:dyDescent="0.35">
      <c r="O26" s="41" t="s">
        <v>41</v>
      </c>
      <c r="P26" s="41">
        <f>P22+P24</f>
        <v>85</v>
      </c>
      <c r="Q26" s="42"/>
    </row>
    <row r="27" spans="2:19" ht="30" customHeight="1" thickTop="1" x14ac:dyDescent="0.3"/>
    <row r="29" spans="2:19" ht="30" customHeight="1" x14ac:dyDescent="0.3">
      <c r="O29"/>
      <c r="P29"/>
    </row>
    <row r="30" spans="2:19" ht="30" customHeight="1" x14ac:dyDescent="0.3">
      <c r="O30" s="1" t="s">
        <v>46</v>
      </c>
      <c r="P30" s="1" t="s">
        <v>47</v>
      </c>
    </row>
    <row r="31" spans="2:19" ht="30" customHeight="1" x14ac:dyDescent="0.3">
      <c r="O31" s="1" t="s">
        <v>44</v>
      </c>
      <c r="P31" s="1">
        <f>SUM(SeguimientoDeProyectos[Trabajo estimado (en horas)])</f>
        <v>160</v>
      </c>
    </row>
    <row r="32" spans="2:19" ht="30" customHeight="1" x14ac:dyDescent="0.3">
      <c r="O32" s="1" t="s">
        <v>45</v>
      </c>
      <c r="P32" s="1">
        <f>SUM(SeguimientoDeProyectos[Trabajo real (en horas)])</f>
        <v>124</v>
      </c>
    </row>
  </sheetData>
  <conditionalFormatting sqref="L5:L17">
    <cfRule type="expression" dxfId="29" priority="6">
      <formula>(ABS((L5-G5))/G5)&gt;PorcentajeMarca</formula>
    </cfRule>
  </conditionalFormatting>
  <conditionalFormatting sqref="N5:N17">
    <cfRule type="expression" dxfId="28" priority="8">
      <formula>(ABS((N5-H5))/H5)&gt;PorcentajeMarca</formula>
    </cfRule>
  </conditionalFormatting>
  <dataValidations count="18">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type="list" allowBlank="1" showInputMessage="1" showErrorMessage="1" error="Seleccione una categoría de la lista o cree una categoría para mostrarla en esta lista desde la hoja de cálculo de configuración." sqref="C5:C17">
      <formula1>ListaDeCategorías</formula1>
    </dataValidation>
    <dataValidation type="list" allowBlank="1" showInputMessage="1" showErrorMessage="1" error="Seleccione un empleado de la lista o cree un empleado para mostrarlo en esta lista desde la hoja de cálculo de configuración." sqref="D5:D17">
      <formula1>ListaDeEmpleados</formula1>
    </dataValidation>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trabajo real sup./inf. (horas) del título de tabla de proyectos. Los valores de L que cumplen el límite sup./inf. generan una bandera en cada celda de la columna. Las celdas en blanco indican que los valores no cumplen el límite sup./inf." sqref="K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M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L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N4"/>
    <dataValidation allowBlank="1" showInputMessage="1" showErrorMessage="1" prompt="Escriba en esta columna las notas para los proyectos." sqref="O4:P4"/>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K5:K17</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B8" sqref="B8"/>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14</v>
      </c>
    </row>
    <row r="2" spans="2:3" ht="20.25" customHeight="1" x14ac:dyDescent="0.3"/>
    <row r="3" spans="2:3" ht="20.25" customHeight="1" x14ac:dyDescent="0.3"/>
    <row r="4" spans="2:3" ht="50.1" customHeight="1" x14ac:dyDescent="0.3">
      <c r="B4" s="22" t="s">
        <v>15</v>
      </c>
      <c r="C4" s="22" t="s">
        <v>16</v>
      </c>
    </row>
    <row r="5" spans="2:3" ht="30" customHeight="1" x14ac:dyDescent="0.3">
      <c r="B5" s="8" t="s">
        <v>20</v>
      </c>
      <c r="C5" s="8" t="s">
        <v>18</v>
      </c>
    </row>
    <row r="6" spans="2:3" ht="30" customHeight="1" x14ac:dyDescent="0.3">
      <c r="B6" s="8" t="s">
        <v>21</v>
      </c>
      <c r="C6" s="8" t="s">
        <v>19</v>
      </c>
    </row>
    <row r="7" spans="2:3" ht="30" customHeight="1" x14ac:dyDescent="0.3">
      <c r="B7" s="8" t="s">
        <v>22</v>
      </c>
      <c r="C7" s="8"/>
    </row>
    <row r="8" spans="2:3" ht="30" customHeight="1" x14ac:dyDescent="0.3">
      <c r="B8" s="8"/>
      <c r="C8" s="8"/>
    </row>
    <row r="9" spans="2:3" ht="30" customHeight="1" x14ac:dyDescent="0.3">
      <c r="B9" s="8"/>
      <c r="C9" s="8"/>
    </row>
    <row r="10" spans="2:3" ht="30" customHeight="1" x14ac:dyDescent="0.3">
      <c r="B10" s="8"/>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SoyAleZamora</dc:creator>
  <cp:lastModifiedBy>SoyAleZamora</cp:lastModifiedBy>
  <dcterms:created xsi:type="dcterms:W3CDTF">2016-08-03T05:15:41Z</dcterms:created>
  <dcterms:modified xsi:type="dcterms:W3CDTF">2019-06-05T12:25:47Z</dcterms:modified>
</cp:coreProperties>
</file>