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adelrosal\Documents\Beta\Power_iNimbusVoIP\"/>
    </mc:Choice>
  </mc:AlternateContent>
  <xr:revisionPtr revIDLastSave="0" documentId="13_ncr:1_{BCA9ECC1-233C-4E30-9747-5B356B559CFB}" xr6:coauthVersionLast="44" xr6:coauthVersionMax="44" xr10:uidLastSave="{00000000-0000-0000-0000-000000000000}"/>
  <bookViews>
    <workbookView xWindow="20370" yWindow="-120" windowWidth="29040" windowHeight="16440" xr2:uid="{00AEE7A7-9CEC-4900-9E0C-01C797468721}"/>
  </bookViews>
  <sheets>
    <sheet name="Inicio" sheetId="6" r:id="rId1"/>
    <sheet name="PRINCIPAL" sheetId="8" state="veryHidden" r:id="rId2"/>
    <sheet name="PROPUESTA" sheetId="5" state="veryHidden" r:id="rId3"/>
  </sheets>
  <definedNames>
    <definedName name="_xlnm.Print_Area" localSheetId="2">PROPUESTA!$A$2:$E$71</definedName>
    <definedName name="COHEFICIEN">PRINCIPAL!$H$435</definedName>
    <definedName name="EXT_FINALE">PRINCIPAL!$D$367</definedName>
    <definedName name="Renting_Coef">PRINCIPAL!$C$515:$H$516</definedName>
    <definedName name="Renting_REF">PRINCIPAL!$C$514:$H$514</definedName>
    <definedName name="VALIDADOR_INIMBUSESP" localSheetId="1">PRINCIPAL!$E$368</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PRINCIPAL!$107:$107</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85" i="8" l="1"/>
  <c r="K365" i="8" l="1"/>
  <c r="J364" i="8"/>
  <c r="H481" i="8" l="1"/>
  <c r="I481" i="8" s="1"/>
  <c r="B32" i="5" l="1"/>
  <c r="J366" i="8"/>
  <c r="K366" i="8" s="1"/>
  <c r="J365" i="8"/>
  <c r="F168" i="8"/>
  <c r="F169" i="8" l="1"/>
  <c r="F186" i="8" l="1"/>
  <c r="F178" i="8"/>
  <c r="K290" i="8" l="1"/>
  <c r="K291" i="8"/>
  <c r="K292" i="8"/>
  <c r="K289" i="8"/>
  <c r="A62" i="5" l="1"/>
  <c r="F370" i="8" l="1"/>
  <c r="I15" i="8"/>
  <c r="F427" i="8" l="1"/>
  <c r="F428" i="8"/>
  <c r="F384" i="8"/>
  <c r="F400" i="8"/>
  <c r="G400" i="8" s="1"/>
  <c r="F380" i="8"/>
  <c r="F376" i="8"/>
  <c r="F410" i="8"/>
  <c r="G410" i="8" s="1"/>
  <c r="F405" i="8"/>
  <c r="G405" i="8" s="1"/>
  <c r="F392" i="8"/>
  <c r="F388" i="8"/>
  <c r="F396" i="8"/>
  <c r="G396" i="8" s="1"/>
  <c r="F415" i="8"/>
  <c r="F387" i="8"/>
  <c r="F379" i="8"/>
  <c r="F397" i="8"/>
  <c r="G397" i="8" s="1"/>
  <c r="F406" i="8"/>
  <c r="G406" i="8" s="1"/>
  <c r="F416" i="8"/>
  <c r="F374" i="8"/>
  <c r="F390" i="8"/>
  <c r="F386" i="8"/>
  <c r="F382" i="8"/>
  <c r="F378" i="8"/>
  <c r="F394" i="8"/>
  <c r="G394" i="8" s="1"/>
  <c r="F398" i="8"/>
  <c r="G398" i="8" s="1"/>
  <c r="F402" i="8"/>
  <c r="G402" i="8" s="1"/>
  <c r="F408" i="8"/>
  <c r="G408" i="8" s="1"/>
  <c r="F413" i="8"/>
  <c r="F417" i="8"/>
  <c r="F372" i="8"/>
  <c r="F391" i="8"/>
  <c r="F383" i="8"/>
  <c r="F375" i="8"/>
  <c r="F401" i="8"/>
  <c r="G401" i="8" s="1"/>
  <c r="F409" i="8"/>
  <c r="G409" i="8" s="1"/>
  <c r="F373" i="8"/>
  <c r="F389" i="8"/>
  <c r="F385" i="8"/>
  <c r="F381" i="8"/>
  <c r="F377" i="8"/>
  <c r="F395" i="8"/>
  <c r="G395" i="8" s="1"/>
  <c r="F399" i="8"/>
  <c r="G399" i="8" s="1"/>
  <c r="F403" i="8"/>
  <c r="G403" i="8" s="1"/>
  <c r="F411" i="8"/>
  <c r="G411" i="8" s="1"/>
  <c r="F414" i="8"/>
  <c r="F422" i="8"/>
  <c r="F424" i="8"/>
  <c r="F425" i="8"/>
  <c r="F423" i="8"/>
  <c r="F426" i="8"/>
  <c r="H495" i="8"/>
  <c r="F218" i="8" l="1"/>
  <c r="C438" i="8"/>
  <c r="P231" i="8" l="1"/>
  <c r="C43" i="5" l="1"/>
  <c r="F227" i="8"/>
  <c r="B69" i="8"/>
  <c r="H454" i="8"/>
  <c r="H453" i="8"/>
  <c r="H480" i="8"/>
  <c r="G454" i="8"/>
  <c r="G453" i="8"/>
  <c r="D233" i="8"/>
  <c r="D217" i="8"/>
  <c r="D229" i="8"/>
  <c r="D231" i="8" s="1"/>
  <c r="G480" i="8"/>
  <c r="H483" i="8" l="1"/>
  <c r="C186" i="8"/>
  <c r="I454" i="8"/>
  <c r="I480" i="8"/>
  <c r="C178" i="8" s="1"/>
  <c r="I453" i="8"/>
  <c r="M480" i="8"/>
  <c r="C233" i="8"/>
  <c r="H482" i="8"/>
  <c r="H486" i="8"/>
  <c r="H485" i="8"/>
  <c r="H484" i="8"/>
  <c r="H490" i="8"/>
  <c r="H492" i="8"/>
  <c r="C46" i="5" l="1"/>
  <c r="C41" i="5"/>
  <c r="M482" i="8"/>
  <c r="M489" i="8" s="1"/>
  <c r="P217" i="8"/>
  <c r="H488" i="8" s="1"/>
  <c r="G488" i="8"/>
  <c r="P168" i="8"/>
  <c r="C196" i="8" s="1"/>
  <c r="P210" i="8"/>
  <c r="H487" i="8" s="1"/>
  <c r="P229" i="8"/>
  <c r="H491" i="8" s="1"/>
  <c r="G483" i="8"/>
  <c r="G484" i="8"/>
  <c r="G485" i="8"/>
  <c r="G486" i="8"/>
  <c r="G490" i="8"/>
  <c r="I490" i="8" s="1"/>
  <c r="G492" i="8"/>
  <c r="C448" i="8"/>
  <c r="C47" i="5" l="1"/>
  <c r="D47" i="5" s="1"/>
  <c r="C227" i="8"/>
  <c r="D45" i="5"/>
  <c r="C231" i="8"/>
  <c r="I488" i="8"/>
  <c r="I484" i="8"/>
  <c r="I483" i="8"/>
  <c r="I486" i="8"/>
  <c r="I485" i="8"/>
  <c r="J486" i="8" l="1"/>
  <c r="C217" i="8"/>
  <c r="D43" i="5"/>
  <c r="J144" i="8"/>
  <c r="G111" i="8"/>
  <c r="E368" i="8"/>
  <c r="C369" i="8"/>
  <c r="C368" i="8"/>
  <c r="H403" i="8"/>
  <c r="H405" i="8"/>
  <c r="M405" i="8" s="1"/>
  <c r="N405" i="8" s="1"/>
  <c r="H406" i="8"/>
  <c r="H402" i="8"/>
  <c r="H401" i="8"/>
  <c r="H400" i="8"/>
  <c r="H399" i="8"/>
  <c r="H398" i="8"/>
  <c r="H396" i="8"/>
  <c r="H395" i="8"/>
  <c r="H394" i="8"/>
  <c r="H397" i="8"/>
  <c r="I403" i="8" l="1"/>
  <c r="M403" i="8"/>
  <c r="N403" i="8" s="1"/>
  <c r="K143" i="8" l="1"/>
  <c r="N411" i="8" l="1"/>
  <c r="M411" i="8"/>
  <c r="N410" i="8"/>
  <c r="M410" i="8"/>
  <c r="N409" i="8"/>
  <c r="M409" i="8"/>
  <c r="M406" i="8"/>
  <c r="N406" i="8" s="1"/>
  <c r="M400" i="8"/>
  <c r="N400" i="8" s="1"/>
  <c r="M401" i="8"/>
  <c r="N401" i="8" s="1"/>
  <c r="M402" i="8"/>
  <c r="N402" i="8" s="1"/>
  <c r="I411" i="8"/>
  <c r="I410" i="8"/>
  <c r="I409" i="8"/>
  <c r="I406" i="8"/>
  <c r="I405" i="8"/>
  <c r="I400" i="8"/>
  <c r="I401" i="8"/>
  <c r="I402" i="8"/>
  <c r="M395" i="8"/>
  <c r="N395" i="8"/>
  <c r="M396" i="8"/>
  <c r="N396" i="8"/>
  <c r="M397" i="8"/>
  <c r="N397" i="8" s="1"/>
  <c r="M398" i="8"/>
  <c r="N398" i="8" s="1"/>
  <c r="M399" i="8"/>
  <c r="N399" i="8" s="1"/>
  <c r="M394" i="8"/>
  <c r="N394" i="8" s="1"/>
  <c r="I399" i="8"/>
  <c r="I398" i="8"/>
  <c r="I397" i="8"/>
  <c r="I395" i="8"/>
  <c r="I396" i="8"/>
  <c r="I394" i="8"/>
  <c r="K21" i="8" l="1"/>
  <c r="I21" i="8"/>
  <c r="H22" i="8"/>
  <c r="K24" i="8"/>
  <c r="I24" i="8"/>
  <c r="D21" i="8"/>
  <c r="J22" i="8"/>
  <c r="J19" i="8"/>
  <c r="H19" i="8"/>
  <c r="K12" i="8"/>
  <c r="I12" i="8"/>
  <c r="E17" i="8"/>
  <c r="E19" i="8"/>
  <c r="B19" i="8"/>
  <c r="J143" i="8" l="1"/>
  <c r="I143" i="8"/>
  <c r="H143" i="8"/>
  <c r="G143" i="8"/>
  <c r="F143" i="8"/>
  <c r="E143" i="8"/>
  <c r="D143" i="8"/>
  <c r="C143" i="8"/>
  <c r="G500" i="8"/>
  <c r="C240" i="8" s="1"/>
  <c r="G493" i="8"/>
  <c r="G482" i="8"/>
  <c r="G487" i="8"/>
  <c r="G491" i="8"/>
  <c r="D46" i="5" s="1"/>
  <c r="G464" i="8"/>
  <c r="G465" i="8"/>
  <c r="G466" i="8"/>
  <c r="G467" i="8"/>
  <c r="G468" i="8"/>
  <c r="G463" i="8"/>
  <c r="G436" i="8"/>
  <c r="M428" i="8"/>
  <c r="C203" i="8" l="1"/>
  <c r="D41" i="5"/>
  <c r="C229" i="8"/>
  <c r="G374" i="8"/>
  <c r="G373" i="8"/>
  <c r="G372" i="8"/>
  <c r="B5" i="8" l="1"/>
  <c r="G21" i="8" l="1"/>
  <c r="C53" i="5"/>
  <c r="C56" i="5"/>
  <c r="I17" i="8"/>
  <c r="K17" i="8"/>
  <c r="G17" i="8"/>
  <c r="H549" i="8"/>
  <c r="E427" i="8" s="1"/>
  <c r="G427" i="8" s="1"/>
  <c r="G549" i="8"/>
  <c r="E426" i="8" s="1"/>
  <c r="G426" i="8" s="1"/>
  <c r="F549" i="8"/>
  <c r="E425" i="8" s="1"/>
  <c r="G425" i="8" s="1"/>
  <c r="E549" i="8"/>
  <c r="E424" i="8" s="1"/>
  <c r="G424" i="8" s="1"/>
  <c r="D549" i="8"/>
  <c r="E423" i="8" s="1"/>
  <c r="G423" i="8" s="1"/>
  <c r="C549" i="8"/>
  <c r="E422" i="8" s="1"/>
  <c r="G422" i="8" s="1"/>
  <c r="H525" i="8"/>
  <c r="H524" i="8"/>
  <c r="H523" i="8"/>
  <c r="H500" i="8"/>
  <c r="C42" i="5"/>
  <c r="I482" i="8"/>
  <c r="E476" i="8"/>
  <c r="G476" i="8" s="1"/>
  <c r="E475" i="8"/>
  <c r="G475" i="8" s="1"/>
  <c r="E474" i="8"/>
  <c r="G474" i="8" s="1"/>
  <c r="E473" i="8"/>
  <c r="G473" i="8" s="1"/>
  <c r="E472" i="8"/>
  <c r="G472" i="8" s="1"/>
  <c r="E471" i="8"/>
  <c r="G471" i="8" s="1"/>
  <c r="G452" i="8"/>
  <c r="I452" i="8" s="1"/>
  <c r="G451" i="8"/>
  <c r="I451" i="8" s="1"/>
  <c r="G450" i="8"/>
  <c r="D448" i="8"/>
  <c r="H450" i="8" s="1"/>
  <c r="G445" i="8"/>
  <c r="M444" i="8"/>
  <c r="G444" i="8"/>
  <c r="M443" i="8"/>
  <c r="G443" i="8"/>
  <c r="M442" i="8"/>
  <c r="G442" i="8"/>
  <c r="M441" i="8"/>
  <c r="G441" i="8"/>
  <c r="M440" i="8"/>
  <c r="G440" i="8"/>
  <c r="M439" i="8"/>
  <c r="G439" i="8"/>
  <c r="D438" i="8"/>
  <c r="H445" i="8" s="1"/>
  <c r="E428" i="8"/>
  <c r="G428" i="8" s="1"/>
  <c r="H417" i="8"/>
  <c r="G417" i="8"/>
  <c r="H416" i="8"/>
  <c r="G416" i="8"/>
  <c r="H415" i="8"/>
  <c r="G415" i="8"/>
  <c r="H414" i="8"/>
  <c r="G414" i="8"/>
  <c r="H413" i="8"/>
  <c r="G413" i="8"/>
  <c r="N392" i="8"/>
  <c r="M392" i="8"/>
  <c r="G392" i="8"/>
  <c r="I392" i="8" s="1"/>
  <c r="N391" i="8"/>
  <c r="G391" i="8"/>
  <c r="I391" i="8" s="1"/>
  <c r="N390" i="8"/>
  <c r="G390" i="8"/>
  <c r="I390" i="8" s="1"/>
  <c r="G389" i="8"/>
  <c r="H389" i="8"/>
  <c r="G388" i="8"/>
  <c r="H388" i="8"/>
  <c r="M388" i="8" s="1"/>
  <c r="G387" i="8"/>
  <c r="H387" i="8"/>
  <c r="N387" i="8" s="1"/>
  <c r="G386" i="8"/>
  <c r="H386" i="8"/>
  <c r="M386" i="8" s="1"/>
  <c r="G385" i="8"/>
  <c r="H385" i="8"/>
  <c r="M385" i="8" s="1"/>
  <c r="G384" i="8"/>
  <c r="G383" i="8"/>
  <c r="G382" i="8"/>
  <c r="H382" i="8"/>
  <c r="M382" i="8" s="1"/>
  <c r="N382" i="8" s="1"/>
  <c r="G381" i="8"/>
  <c r="H381" i="8"/>
  <c r="G380" i="8"/>
  <c r="G379" i="8"/>
  <c r="H379" i="8"/>
  <c r="G378" i="8"/>
  <c r="H378" i="8"/>
  <c r="M378" i="8" s="1"/>
  <c r="G377" i="8"/>
  <c r="H377" i="8"/>
  <c r="N377" i="8" s="1"/>
  <c r="G376" i="8"/>
  <c r="G375" i="8"/>
  <c r="H375" i="8"/>
  <c r="N375" i="8" s="1"/>
  <c r="C56" i="8"/>
  <c r="D56" i="8" s="1"/>
  <c r="E56" i="8" s="1"/>
  <c r="F56" i="8" s="1"/>
  <c r="G56" i="8" s="1"/>
  <c r="H56" i="8" s="1"/>
  <c r="I56" i="8" s="1"/>
  <c r="D363" i="8"/>
  <c r="C362" i="8"/>
  <c r="F360" i="8"/>
  <c r="D360" i="8"/>
  <c r="G360" i="8" s="1"/>
  <c r="F359" i="8"/>
  <c r="D359" i="8"/>
  <c r="G359" i="8" s="1"/>
  <c r="F358" i="8"/>
  <c r="D358" i="8"/>
  <c r="G358" i="8" s="1"/>
  <c r="F357" i="8"/>
  <c r="D357" i="8"/>
  <c r="G357" i="8" s="1"/>
  <c r="F356" i="8"/>
  <c r="D356" i="8"/>
  <c r="G356" i="8" s="1"/>
  <c r="I356" i="8" s="1"/>
  <c r="F355" i="8"/>
  <c r="D355" i="8"/>
  <c r="G355" i="8" s="1"/>
  <c r="I355" i="8" s="1"/>
  <c r="G354" i="8"/>
  <c r="F354" i="8"/>
  <c r="P227" i="8"/>
  <c r="K110" i="8"/>
  <c r="J110" i="8"/>
  <c r="I110" i="8"/>
  <c r="H110" i="8"/>
  <c r="G110" i="8"/>
  <c r="F110" i="8"/>
  <c r="E110" i="8"/>
  <c r="D110" i="8"/>
  <c r="C110" i="8"/>
  <c r="C76" i="8"/>
  <c r="H76" i="8" s="1"/>
  <c r="C75" i="8"/>
  <c r="G75" i="8" s="1"/>
  <c r="C66" i="8"/>
  <c r="D66" i="8" s="1"/>
  <c r="I66" i="8" s="1"/>
  <c r="C64" i="8"/>
  <c r="G64" i="8" s="1"/>
  <c r="I55" i="8"/>
  <c r="H55" i="8"/>
  <c r="G55" i="8"/>
  <c r="F55" i="8"/>
  <c r="E55" i="8"/>
  <c r="D55" i="8"/>
  <c r="C55" i="8"/>
  <c r="I52" i="8"/>
  <c r="I46" i="8"/>
  <c r="I70" i="8" s="1"/>
  <c r="G65" i="8" l="1"/>
  <c r="D15" i="8"/>
  <c r="I500" i="8"/>
  <c r="I501" i="8" s="1"/>
  <c r="I502" i="8" s="1"/>
  <c r="C50" i="5"/>
  <c r="D50" i="5" s="1"/>
  <c r="D49" i="5" s="1"/>
  <c r="I487" i="8"/>
  <c r="G27" i="8"/>
  <c r="G24" i="8"/>
  <c r="F65" i="8"/>
  <c r="I386" i="8"/>
  <c r="E75" i="8"/>
  <c r="I450" i="8"/>
  <c r="I413" i="8"/>
  <c r="I415" i="8"/>
  <c r="J471" i="8"/>
  <c r="F76" i="8"/>
  <c r="I414" i="8"/>
  <c r="F75" i="8"/>
  <c r="G438" i="8"/>
  <c r="I389" i="8"/>
  <c r="G67" i="8"/>
  <c r="D67" i="8"/>
  <c r="H67" i="8"/>
  <c r="D75" i="8"/>
  <c r="I75" i="8" s="1"/>
  <c r="E76" i="8"/>
  <c r="I445" i="8"/>
  <c r="F67" i="8"/>
  <c r="E67" i="8"/>
  <c r="I67" i="8"/>
  <c r="C67" i="8"/>
  <c r="E64" i="8"/>
  <c r="C65" i="8"/>
  <c r="F64" i="8"/>
  <c r="G448" i="8"/>
  <c r="H64" i="8"/>
  <c r="D64" i="8"/>
  <c r="I64" i="8" s="1"/>
  <c r="H75" i="8"/>
  <c r="H448" i="8"/>
  <c r="C62" i="8" s="1"/>
  <c r="I416" i="8"/>
  <c r="N386" i="8"/>
  <c r="I378" i="8"/>
  <c r="I382" i="8"/>
  <c r="N378" i="8"/>
  <c r="I377" i="8"/>
  <c r="I381" i="8"/>
  <c r="M381" i="8"/>
  <c r="N381" i="8" s="1"/>
  <c r="I379" i="8"/>
  <c r="I385" i="8"/>
  <c r="I417" i="8"/>
  <c r="H428" i="8"/>
  <c r="I428" i="8" s="1"/>
  <c r="H438" i="8"/>
  <c r="J474" i="8"/>
  <c r="J473" i="8"/>
  <c r="J468" i="8"/>
  <c r="J467" i="8"/>
  <c r="J466" i="8"/>
  <c r="J465" i="8"/>
  <c r="J464" i="8"/>
  <c r="J463" i="8"/>
  <c r="C428" i="8"/>
  <c r="J476" i="8"/>
  <c r="J472" i="8"/>
  <c r="F66" i="8"/>
  <c r="E66" i="8"/>
  <c r="N385" i="8"/>
  <c r="G66" i="8"/>
  <c r="M377" i="8"/>
  <c r="N388" i="8"/>
  <c r="I388" i="8"/>
  <c r="I65" i="8"/>
  <c r="E65" i="8"/>
  <c r="H65" i="8"/>
  <c r="D65" i="8"/>
  <c r="J475" i="8"/>
  <c r="H66" i="8"/>
  <c r="D362" i="8"/>
  <c r="D364" i="8" s="1"/>
  <c r="C366" i="8" s="1"/>
  <c r="G76" i="8"/>
  <c r="M375" i="8"/>
  <c r="M379" i="8"/>
  <c r="N379" i="8" s="1"/>
  <c r="H383" i="8"/>
  <c r="I383" i="8" s="1"/>
  <c r="M387" i="8"/>
  <c r="D76" i="8"/>
  <c r="I76" i="8" s="1"/>
  <c r="I375" i="8"/>
  <c r="I387" i="8"/>
  <c r="G15" i="8" l="1"/>
  <c r="E5" i="8"/>
  <c r="C49" i="5" s="1"/>
  <c r="C210" i="8"/>
  <c r="D42" i="5"/>
  <c r="I489" i="8"/>
  <c r="D366" i="8"/>
  <c r="K364" i="8" s="1"/>
  <c r="D368" i="8"/>
  <c r="H423" i="8"/>
  <c r="I423" i="8" s="1"/>
  <c r="C365" i="8"/>
  <c r="F62" i="8"/>
  <c r="D62" i="8"/>
  <c r="G62" i="8"/>
  <c r="H62" i="8"/>
  <c r="E62" i="8"/>
  <c r="I62" i="8"/>
  <c r="H59" i="8"/>
  <c r="D59" i="8"/>
  <c r="G59" i="8"/>
  <c r="C59" i="8"/>
  <c r="I59" i="8"/>
  <c r="F59" i="8"/>
  <c r="E59" i="8"/>
  <c r="H426" i="8"/>
  <c r="N428" i="8"/>
  <c r="H425" i="8"/>
  <c r="H424" i="8"/>
  <c r="K465" i="8" s="1"/>
  <c r="H427" i="8"/>
  <c r="H422" i="8"/>
  <c r="I422" i="8" s="1"/>
  <c r="C45" i="5" l="1"/>
  <c r="K367" i="8"/>
  <c r="C34" i="5" s="1"/>
  <c r="C37" i="5"/>
  <c r="C36" i="5"/>
  <c r="C38" i="5"/>
  <c r="C35" i="5"/>
  <c r="C367" i="8"/>
  <c r="C28" i="5"/>
  <c r="C27" i="5"/>
  <c r="B22" i="5"/>
  <c r="C26" i="5"/>
  <c r="C29" i="5"/>
  <c r="C25" i="5"/>
  <c r="K472" i="8"/>
  <c r="H440" i="8"/>
  <c r="I440" i="8" s="1"/>
  <c r="K464" i="8"/>
  <c r="K463" i="8"/>
  <c r="K476" i="8"/>
  <c r="I427" i="8"/>
  <c r="I424" i="8"/>
  <c r="K467" i="8"/>
  <c r="I426" i="8"/>
  <c r="K466" i="8"/>
  <c r="I425" i="8"/>
  <c r="K473" i="8"/>
  <c r="K468" i="8"/>
  <c r="H468" i="8" s="1"/>
  <c r="H443" i="8"/>
  <c r="I443" i="8" s="1"/>
  <c r="K474" i="8"/>
  <c r="C421" i="8"/>
  <c r="A3" i="8" s="1"/>
  <c r="A20" i="5" s="1"/>
  <c r="K471" i="8"/>
  <c r="H471" i="8" s="1"/>
  <c r="H439" i="8"/>
  <c r="H444" i="8"/>
  <c r="I444" i="8" s="1"/>
  <c r="H442" i="8"/>
  <c r="I442" i="8" s="1"/>
  <c r="H441" i="8"/>
  <c r="I441" i="8" s="1"/>
  <c r="K475" i="8"/>
  <c r="C431" i="8"/>
  <c r="E366" i="8"/>
  <c r="H466" i="8" l="1"/>
  <c r="I466" i="8" s="1"/>
  <c r="D369" i="8"/>
  <c r="B8" i="8"/>
  <c r="D367" i="8"/>
  <c r="K370" i="8" s="1"/>
  <c r="H465" i="8"/>
  <c r="I465" i="8" s="1"/>
  <c r="H467" i="8"/>
  <c r="I467" i="8" s="1"/>
  <c r="H464" i="8"/>
  <c r="I464" i="8" s="1"/>
  <c r="H463" i="8"/>
  <c r="H473" i="8"/>
  <c r="I473" i="8" s="1"/>
  <c r="H474" i="8"/>
  <c r="I474" i="8" s="1"/>
  <c r="H476" i="8"/>
  <c r="I476" i="8" s="1"/>
  <c r="H475" i="8"/>
  <c r="I475" i="8" s="1"/>
  <c r="H472" i="8"/>
  <c r="I472" i="8" s="1"/>
  <c r="I471" i="8"/>
  <c r="I468" i="8"/>
  <c r="I429" i="8"/>
  <c r="H446" i="8"/>
  <c r="I439" i="8"/>
  <c r="H372" i="8"/>
  <c r="H373" i="8"/>
  <c r="I373" i="8" s="1"/>
  <c r="C432" i="8"/>
  <c r="D10" i="8" l="1"/>
  <c r="E10" i="8" s="1"/>
  <c r="F10" i="8" s="1"/>
  <c r="B20" i="5"/>
  <c r="B111" i="8"/>
  <c r="B144" i="8"/>
  <c r="I463" i="8"/>
  <c r="I469" i="8" s="1"/>
  <c r="H469" i="8"/>
  <c r="I477" i="8"/>
  <c r="H477" i="8"/>
  <c r="I491" i="8" s="1"/>
  <c r="I446" i="8"/>
  <c r="I372" i="8"/>
  <c r="H374" i="8"/>
  <c r="I374" i="8" s="1"/>
  <c r="H376" i="8"/>
  <c r="H380" i="8"/>
  <c r="D32" i="5" l="1"/>
  <c r="I478" i="8"/>
  <c r="G13" i="8" s="1"/>
  <c r="H478" i="8"/>
  <c r="C168" i="8"/>
  <c r="I492" i="8"/>
  <c r="H493" i="8"/>
  <c r="I493" i="8" s="1"/>
  <c r="D60" i="8"/>
  <c r="D13" i="8"/>
  <c r="F60" i="8"/>
  <c r="H60" i="8"/>
  <c r="I60" i="8"/>
  <c r="C60" i="8"/>
  <c r="G60" i="8"/>
  <c r="E60" i="8"/>
  <c r="H384" i="8"/>
  <c r="I384" i="8" s="1"/>
  <c r="N376" i="8"/>
  <c r="I376" i="8"/>
  <c r="M376" i="8"/>
  <c r="I380" i="8"/>
  <c r="M380" i="8"/>
  <c r="N380" i="8" s="1"/>
  <c r="I494" i="8" l="1"/>
  <c r="I495" i="8" s="1"/>
  <c r="I497" i="8" s="1"/>
  <c r="D5" i="8" s="1"/>
  <c r="N374" i="8"/>
  <c r="B23" i="5" s="1"/>
  <c r="I419" i="8"/>
  <c r="I434" i="8" s="1"/>
  <c r="D17" i="8" s="1"/>
  <c r="C435" i="8" l="1"/>
  <c r="D435" i="8" s="1"/>
  <c r="G435" i="8" s="1"/>
  <c r="H435" i="8" s="1"/>
  <c r="D31" i="5"/>
  <c r="G16" i="8"/>
  <c r="I498" i="8"/>
  <c r="H449" i="8"/>
  <c r="E449" i="8"/>
  <c r="G449" i="8" s="1"/>
  <c r="F19" i="8" l="1"/>
  <c r="J15" i="8"/>
  <c r="J405" i="8"/>
  <c r="J454" i="8"/>
  <c r="K454" i="8" s="1"/>
  <c r="J453" i="8"/>
  <c r="K453" i="8" s="1"/>
  <c r="J411" i="8"/>
  <c r="K411" i="8" s="1"/>
  <c r="J403" i="8"/>
  <c r="K403" i="8" s="1"/>
  <c r="J409" i="8"/>
  <c r="K409" i="8" s="1"/>
  <c r="J410" i="8"/>
  <c r="K410" i="8" s="1"/>
  <c r="J406" i="8"/>
  <c r="K406" i="8" s="1"/>
  <c r="J400" i="8"/>
  <c r="K400" i="8" s="1"/>
  <c r="J401" i="8"/>
  <c r="K401" i="8" s="1"/>
  <c r="J402" i="8"/>
  <c r="K402" i="8" s="1"/>
  <c r="J396" i="8"/>
  <c r="K396" i="8" s="1"/>
  <c r="J397" i="8"/>
  <c r="K397" i="8" s="1"/>
  <c r="J395" i="8"/>
  <c r="K395" i="8" s="1"/>
  <c r="J394" i="8"/>
  <c r="K394" i="8" s="1"/>
  <c r="J399" i="8"/>
  <c r="K399" i="8" s="1"/>
  <c r="J398" i="8"/>
  <c r="K398" i="8" s="1"/>
  <c r="J452" i="8"/>
  <c r="K452" i="8" s="1"/>
  <c r="J451" i="8"/>
  <c r="K451" i="8" s="1"/>
  <c r="J450" i="8"/>
  <c r="K450" i="8" s="1"/>
  <c r="J445" i="8"/>
  <c r="K445" i="8" s="1"/>
  <c r="J440" i="8"/>
  <c r="K440" i="8" s="1"/>
  <c r="J444" i="8"/>
  <c r="K444" i="8" s="1"/>
  <c r="J441" i="8"/>
  <c r="K441" i="8" s="1"/>
  <c r="J443" i="8"/>
  <c r="K443" i="8" s="1"/>
  <c r="J442" i="8"/>
  <c r="K442" i="8" s="1"/>
  <c r="J439" i="8"/>
  <c r="K439" i="8" s="1"/>
  <c r="J423" i="8"/>
  <c r="K423" i="8" s="1"/>
  <c r="J428" i="8"/>
  <c r="K428" i="8" s="1"/>
  <c r="J426" i="8"/>
  <c r="K426" i="8" s="1"/>
  <c r="J425" i="8"/>
  <c r="K425" i="8" s="1"/>
  <c r="J424" i="8"/>
  <c r="K424" i="8" s="1"/>
  <c r="J422" i="8"/>
  <c r="K422" i="8" s="1"/>
  <c r="J427" i="8"/>
  <c r="K427" i="8" s="1"/>
  <c r="M425" i="8"/>
  <c r="J390" i="8"/>
  <c r="K390" i="8" s="1"/>
  <c r="M422" i="8"/>
  <c r="J392" i="8"/>
  <c r="K392" i="8" s="1"/>
  <c r="M424" i="8"/>
  <c r="M426" i="8"/>
  <c r="M423" i="8"/>
  <c r="J391" i="8"/>
  <c r="K391" i="8" s="1"/>
  <c r="M427" i="8"/>
  <c r="J375" i="8"/>
  <c r="K375" i="8" s="1"/>
  <c r="J379" i="8"/>
  <c r="K379" i="8" s="1"/>
  <c r="J385" i="8"/>
  <c r="K385" i="8" s="1"/>
  <c r="J383" i="8"/>
  <c r="K383" i="8" s="1"/>
  <c r="J413" i="8"/>
  <c r="K413" i="8" s="1"/>
  <c r="J377" i="8"/>
  <c r="K377" i="8" s="1"/>
  <c r="J416" i="8"/>
  <c r="K416" i="8" s="1"/>
  <c r="J381" i="8"/>
  <c r="K381" i="8" s="1"/>
  <c r="J388" i="8"/>
  <c r="K388" i="8" s="1"/>
  <c r="J389" i="8"/>
  <c r="K389" i="8" s="1"/>
  <c r="J415" i="8"/>
  <c r="K415" i="8" s="1"/>
  <c r="J378" i="8"/>
  <c r="K378" i="8" s="1"/>
  <c r="J417" i="8"/>
  <c r="K417" i="8" s="1"/>
  <c r="J414" i="8"/>
  <c r="K414" i="8" s="1"/>
  <c r="J386" i="8"/>
  <c r="K386" i="8" s="1"/>
  <c r="J387" i="8"/>
  <c r="K387" i="8" s="1"/>
  <c r="J382" i="8"/>
  <c r="K382" i="8" s="1"/>
  <c r="J373" i="8"/>
  <c r="K373" i="8" s="1"/>
  <c r="J374" i="8"/>
  <c r="K374" i="8" s="1"/>
  <c r="J372" i="8"/>
  <c r="K372" i="8" s="1"/>
  <c r="J380" i="8"/>
  <c r="K380" i="8" s="1"/>
  <c r="J384" i="8"/>
  <c r="K384" i="8" s="1"/>
  <c r="J376" i="8"/>
  <c r="K376" i="8" s="1"/>
  <c r="L429" i="8"/>
  <c r="L419" i="8"/>
  <c r="L375" i="8"/>
  <c r="L414" i="8"/>
  <c r="L413" i="8"/>
  <c r="L415" i="8"/>
  <c r="L372" i="8"/>
  <c r="L416" i="8"/>
  <c r="L373" i="8"/>
  <c r="L374" i="8"/>
  <c r="L417" i="8"/>
  <c r="L390" i="8"/>
  <c r="L389" i="8"/>
  <c r="L385" i="8"/>
  <c r="L381" i="8"/>
  <c r="L377" i="8"/>
  <c r="I435" i="8"/>
  <c r="I436" i="8" s="1"/>
  <c r="L386" i="8"/>
  <c r="L384" i="8"/>
  <c r="L382" i="8"/>
  <c r="L378" i="8"/>
  <c r="L392" i="8"/>
  <c r="L380" i="8"/>
  <c r="L379" i="8"/>
  <c r="L391" i="8"/>
  <c r="L388" i="8"/>
  <c r="L387" i="8"/>
  <c r="L376" i="8"/>
  <c r="L383" i="8"/>
  <c r="I449" i="8"/>
  <c r="K405" i="8" l="1"/>
  <c r="L405" i="8" s="1"/>
  <c r="I455" i="8"/>
  <c r="D14" i="8"/>
  <c r="J449" i="8"/>
  <c r="K446" i="8"/>
  <c r="J446" i="8"/>
  <c r="J429" i="8"/>
  <c r="J419" i="8"/>
  <c r="K419" i="8"/>
  <c r="E9" i="8"/>
  <c r="C52" i="8"/>
  <c r="N422" i="8"/>
  <c r="N424" i="8"/>
  <c r="E52" i="8"/>
  <c r="N423" i="8"/>
  <c r="D52" i="8"/>
  <c r="G52" i="8"/>
  <c r="N426" i="8"/>
  <c r="N427" i="8"/>
  <c r="H52" i="8"/>
  <c r="D63" i="8"/>
  <c r="I63" i="8"/>
  <c r="H63" i="8"/>
  <c r="E63" i="8"/>
  <c r="G63" i="8"/>
  <c r="C63" i="8"/>
  <c r="F63" i="8"/>
  <c r="F52" i="8"/>
  <c r="N425" i="8"/>
  <c r="J455" i="8" l="1"/>
  <c r="J456" i="8" s="1"/>
  <c r="K449" i="8"/>
  <c r="K455" i="8" s="1"/>
  <c r="K456" i="8" s="1"/>
  <c r="I456" i="8"/>
  <c r="D16" i="8" s="1"/>
  <c r="J434" i="8"/>
  <c r="K429" i="8"/>
  <c r="I457" i="8" l="1"/>
  <c r="I458" i="8" s="1"/>
  <c r="I459" i="8"/>
  <c r="I460" i="8" s="1"/>
  <c r="I504" i="8" s="1"/>
  <c r="K434" i="8"/>
  <c r="K459" i="8" s="1"/>
  <c r="F9" i="8"/>
  <c r="J459" i="8"/>
  <c r="C5" i="8" s="1"/>
  <c r="J13" i="8" l="1"/>
  <c r="J16" i="8" s="1"/>
  <c r="D19" i="5"/>
  <c r="I505" i="8"/>
  <c r="D9" i="8" s="1"/>
  <c r="C19" i="8"/>
  <c r="F22" i="8" s="1"/>
  <c r="F5" i="8"/>
  <c r="I5" i="8" s="1"/>
  <c r="K16" i="8" l="1"/>
  <c r="I16" i="8"/>
  <c r="I19" i="8"/>
  <c r="I22" i="8" s="1"/>
  <c r="K19" i="8"/>
  <c r="K22" i="8" s="1"/>
  <c r="C44" i="5" l="1"/>
  <c r="E22" i="5" l="1"/>
  <c r="E21" i="5"/>
  <c r="E31" i="5" l="1"/>
  <c r="E19" i="5" l="1"/>
  <c r="L435" i="8" l="1"/>
  <c r="E49" i="5"/>
  <c r="E53" i="5" s="1"/>
  <c r="E54" i="5" l="1"/>
  <c r="E56" i="5" s="1"/>
</calcChain>
</file>

<file path=xl/sharedStrings.xml><?xml version="1.0" encoding="utf-8"?>
<sst xmlns="http://schemas.openxmlformats.org/spreadsheetml/2006/main" count="1016" uniqueCount="589">
  <si>
    <t>Plazo que desea Financiar la Operación</t>
  </si>
  <si>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</si>
  <si>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</si>
  <si>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</si>
  <si>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</si>
  <si>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</si>
  <si>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</si>
  <si>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</si>
  <si>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</si>
  <si>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</si>
  <si>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</si>
  <si>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</si>
  <si>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</si>
  <si>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</si>
  <si>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</si>
  <si>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</si>
  <si>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Centralita IP Inimbus Panasonic  con hasta 2 Líneas SIP y hasta 8 Extensiones SIP</t>
  </si>
  <si>
    <t>Centralita IP Inimbus Panasonic  con hasta 3 Líneas SIP y hasta 12 Extensiones SIP</t>
  </si>
  <si>
    <t>Centralita IP Inimbus Panasonic  con hasta 4 Líneas SIP y hasta 16 Extensiones SIP</t>
  </si>
  <si>
    <t>Centralita IP Inimbus Panasonic  con hasta 6 Líneas SIP y hasta 24 Extensiones SIP</t>
  </si>
  <si>
    <t>Centralita IP Inimbus Panasonic  con hasta 8 Líneas SIP y hasta 32 Extensiones SIP</t>
  </si>
  <si>
    <t>Centralita IP Inimbus Panasonic  con hasta 12 Líneas SIP y hasta 48 Extensiones SIP</t>
  </si>
  <si>
    <t>Canales DISA</t>
  </si>
  <si>
    <t>Terminal de Operadora</t>
  </si>
  <si>
    <t>Instalación Equipos</t>
  </si>
  <si>
    <t>Llamadas a FIJOS NAC</t>
  </si>
  <si>
    <t>ilimitadas</t>
  </si>
  <si>
    <t>Llamadas a Fijos Internacionales Zona 1</t>
  </si>
  <si>
    <t>Ilimitadas</t>
  </si>
  <si>
    <t>Cuota de Alta</t>
  </si>
  <si>
    <t>Conexión a la RED Operador</t>
  </si>
  <si>
    <t>Incluya los terminales Adicionales</t>
  </si>
  <si>
    <t>Seleccione la cantidad de terminales</t>
  </si>
  <si>
    <t>KX-HDV130</t>
  </si>
  <si>
    <t>KX-HDV230</t>
  </si>
  <si>
    <t>KX-HDV20</t>
  </si>
  <si>
    <t>Tipo Terminal:</t>
  </si>
  <si>
    <t>SIP</t>
  </si>
  <si>
    <t>DSS</t>
  </si>
  <si>
    <t>Pantalla Principal</t>
  </si>
  <si>
    <t>132,64pixels (2,3")</t>
  </si>
  <si>
    <t>132x64pixels (2,3")</t>
  </si>
  <si>
    <t>480x727pixels (4,3")</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</si>
  <si>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</si>
  <si>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</si>
  <si>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</si>
  <si>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</si>
  <si>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</si>
  <si>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</si>
  <si>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</si>
  <si>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</si>
  <si>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</si>
  <si>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</si>
  <si>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</si>
  <si>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</si>
  <si>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</si>
  <si>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</si>
  <si>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</si>
  <si>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</si>
  <si>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</si>
  <si>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</si>
  <si>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</si>
  <si>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</si>
  <si>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</si>
  <si>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</si>
  <si>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a través del terminal</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</si>
  <si>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</si>
  <si>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</si>
  <si>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</si>
  <si>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</si>
  <si>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</si>
  <si>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</si>
  <si>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</si>
  <si>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</si>
  <si>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</si>
  <si>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</si>
  <si>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</si>
  <si>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</si>
  <si>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</si>
  <si>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</si>
  <si>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</si>
  <si>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</si>
  <si>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</si>
  <si>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</si>
  <si>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</si>
  <si>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</si>
  <si>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</si>
  <si>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</si>
  <si>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</si>
  <si>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</si>
  <si>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</si>
  <si>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</si>
  <si>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</si>
  <si>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</si>
  <si>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</si>
  <si>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</si>
  <si>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</si>
  <si>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</si>
  <si>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</si>
  <si>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</si>
  <si>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</si>
  <si>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</si>
  <si>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</si>
  <si>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</si>
  <si>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</si>
  <si>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</si>
  <si>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</si>
  <si>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</si>
  <si>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</si>
  <si>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</si>
  <si>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</si>
  <si>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</si>
  <si>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</si>
  <si>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</si>
  <si>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</si>
  <si>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</si>
  <si>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</si>
  <si>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</si>
  <si>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</si>
  <si>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</si>
  <si>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</si>
  <si>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</si>
  <si>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</si>
  <si>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</si>
  <si>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</si>
  <si>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</si>
  <si>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</si>
  <si>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</si>
  <si>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</si>
  <si>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</si>
  <si>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</si>
  <si>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</si>
  <si>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</si>
  <si>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</si>
  <si>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</si>
  <si>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</si>
  <si>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</si>
  <si>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</si>
  <si>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</si>
  <si>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</si>
  <si>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</si>
  <si>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</si>
  <si>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</si>
  <si>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</si>
  <si>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</si>
  <si>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</si>
  <si>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</si>
  <si>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</si>
  <si>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</si>
  <si>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</si>
  <si>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</si>
  <si>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</si>
  <si>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</si>
  <si>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</si>
  <si>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</si>
  <si>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</si>
  <si>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</si>
  <si>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</si>
  <si>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</si>
  <si>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</si>
  <si>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</si>
  <si>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</si>
  <si>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</si>
  <si>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</si>
  <si>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</si>
  <si>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</si>
  <si>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</si>
  <si>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</si>
  <si>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</si>
  <si>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</si>
  <si>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</si>
  <si>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</si>
  <si>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</si>
  <si>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</si>
  <si>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</si>
  <si>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</si>
  <si>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</si>
  <si>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</si>
  <si>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</si>
  <si>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</si>
  <si>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</si>
  <si>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</si>
  <si>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</si>
  <si>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</si>
  <si>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</si>
  <si>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</si>
  <si>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</si>
  <si>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</si>
  <si>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</si>
  <si>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</si>
  <si>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</si>
  <si>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</si>
  <si>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</si>
  <si>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</si>
  <si>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</si>
  <si>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</si>
  <si>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</si>
  <si>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</si>
  <si>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</si>
  <si>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</si>
  <si>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</si>
  <si>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</si>
  <si>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</si>
  <si>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</si>
  <si>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</si>
  <si>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</si>
  <si>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</si>
  <si>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</si>
  <si>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</si>
  <si>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</si>
  <si>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</si>
  <si>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</si>
  <si>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</si>
  <si>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</si>
  <si>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</si>
  <si>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</si>
  <si>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</si>
  <si>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</si>
  <si>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</si>
  <si>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</si>
  <si>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</si>
  <si>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</si>
  <si>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</si>
  <si>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</si>
  <si>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</si>
  <si>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</si>
  <si>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TARIFA PLANA + SERVIVICIOS</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</si>
  <si>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</si>
  <si>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</si>
  <si>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</si>
  <si>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</si>
  <si>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</si>
  <si>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</si>
  <si>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</si>
  <si>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</si>
  <si>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</si>
  <si>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</si>
  <si>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</si>
  <si>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</si>
  <si>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</si>
  <si>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</si>
  <si>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</si>
  <si>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</si>
  <si>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</si>
  <si>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</si>
  <si>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</si>
  <si>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</si>
  <si>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</si>
  <si>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</si>
  <si>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</si>
  <si>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</si>
  <si>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</si>
  <si>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</si>
  <si>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</si>
  <si>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</si>
  <si>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</si>
  <si>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</si>
  <si>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</si>
  <si>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</si>
  <si>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</si>
  <si>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</si>
  <si>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</si>
  <si>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</si>
  <si>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</si>
  <si>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</si>
  <si>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</si>
  <si>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</si>
  <si>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</si>
  <si>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</si>
  <si>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</si>
  <si>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</si>
  <si>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</si>
  <si>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Indique el Número de Extensiones SIP</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</si>
  <si>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</si>
  <si>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</si>
  <si>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</si>
  <si>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</si>
  <si>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</si>
  <si>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</si>
  <si>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</si>
  <si>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</si>
  <si>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</si>
  <si>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</si>
  <si>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</si>
  <si>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</si>
  <si>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</si>
  <si>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KX-TGP600</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</si>
  <si>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</si>
  <si>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</si>
  <si>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</si>
  <si>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</si>
  <si>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</si>
  <si>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</si>
  <si>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</si>
  <si>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</si>
  <si>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</si>
  <si>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</si>
  <si>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</si>
  <si>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</si>
  <si>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</si>
  <si>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</si>
  <si>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</si>
  <si>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</si>
  <si>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</si>
  <si>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</si>
  <si>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</si>
  <si>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</si>
  <si>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</si>
  <si>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KX-HDV340</t>
  </si>
  <si>
    <t>Puerto 3.5mm (minijack) para Cascos</t>
  </si>
  <si>
    <t>KX-HDV340NE</t>
  </si>
  <si>
    <t>KX-HDV340NEB</t>
  </si>
  <si>
    <t>KX-TPA60</t>
  </si>
  <si>
    <t>SIPDect</t>
  </si>
  <si>
    <t>Dect</t>
  </si>
  <si>
    <t>KX-TPA65</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</si>
  <si>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</si>
  <si>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</si>
  <si>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</si>
  <si>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</si>
  <si>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</si>
  <si>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</si>
  <si>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</si>
  <si>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</si>
  <si>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</si>
  <si>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</si>
  <si>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</si>
  <si>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</si>
  <si>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</si>
  <si>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</si>
  <si>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</si>
  <si>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</si>
  <si>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</si>
  <si>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</si>
  <si>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</si>
  <si>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KX-UCMA</t>
  </si>
  <si>
    <t>SIP Softphone</t>
  </si>
  <si>
    <t>S O F T W A R E</t>
  </si>
  <si>
    <t>Según Móvil</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</si>
  <si>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</si>
  <si>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</si>
  <si>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</si>
  <si>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</si>
  <si>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</si>
  <si>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</si>
  <si>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</si>
  <si>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</si>
  <si>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</si>
  <si>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KX-TPA68</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</si>
  <si>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</si>
  <si>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</si>
  <si>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</si>
  <si>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</si>
  <si>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</si>
  <si>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</si>
  <si>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</si>
  <si>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</si>
  <si>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</si>
  <si>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</si>
  <si>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</si>
  <si>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</si>
  <si>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</si>
  <si>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</si>
  <si>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</si>
  <si>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</si>
  <si>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</si>
  <si>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</si>
  <si>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</si>
  <si>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</si>
  <si>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</si>
  <si>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</si>
  <si>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</si>
  <si>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</si>
  <si>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</si>
  <si>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</si>
  <si>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</si>
  <si>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</si>
  <si>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</si>
  <si>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</si>
  <si>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</si>
  <si>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</si>
  <si>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</si>
  <si>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</si>
  <si>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</si>
  <si>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</si>
  <si>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8"/>
        <color theme="1" tint="0.14999847407452621"/>
        <rFont val="Century Gothic"/>
        <family val="2"/>
      </rPr>
      <t>(iii)</t>
    </r>
  </si>
  <si>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</si>
  <si>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</si>
  <si>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</si>
  <si>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</si>
  <si>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</si>
  <si>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</si>
  <si>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</si>
  <si>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</si>
  <si>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</si>
  <si>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</si>
  <si>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</si>
  <si>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</si>
  <si>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</si>
  <si>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</si>
  <si>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</si>
  <si>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</si>
  <si>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</si>
  <si>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</si>
  <si>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</si>
  <si>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</si>
  <si>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</si>
  <si>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</si>
  <si>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</si>
  <si>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</si>
  <si>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GIG-SL450</t>
  </si>
  <si>
    <t>Teléfono inalámbrico Dect Gigaset SL450. [Gigaset SL450 / 11672]</t>
  </si>
  <si>
    <t>GIG-C530IP</t>
  </si>
  <si>
    <t>ALC-CONFERENCE1550 SIP</t>
  </si>
  <si>
    <t>ALC-CONFERENCE1500</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</si>
  <si>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</si>
  <si>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</si>
  <si>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</si>
  <si>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</si>
  <si>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</si>
  <si>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</si>
  <si>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</si>
  <si>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</si>
  <si>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</si>
  <si>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</si>
  <si>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</si>
  <si>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</si>
  <si>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</si>
  <si>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</si>
  <si>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</si>
  <si>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</si>
  <si>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</si>
  <si>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</si>
  <si>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</si>
  <si>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</si>
  <si>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</si>
  <si>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</si>
  <si>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</si>
  <si>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</si>
  <si>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Número de Líneas FXO</t>
  </si>
  <si>
    <t>FIBRA LCRcom Pro 300 Mb simétricos / IP Fija (Para más IPs fijas consultar precios) / Máxima Velocidad de línea. / Secured Wireless Network and Guest Zone. / Línea e instalación de PTO incluida</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</si>
  <si>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</si>
  <si>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Tarifas Decrecientes</t>
  </si>
  <si>
    <t>Precio A Partir de 24 Meses</t>
  </si>
  <si>
    <t>Indique el Número de Líneas SIP Concurrentes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</si>
  <si>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</si>
  <si>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</si>
  <si>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</si>
  <si>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</si>
  <si>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</si>
  <si>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</si>
  <si>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</si>
  <si>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</si>
  <si>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</si>
  <si>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</si>
  <si>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</si>
  <si>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</si>
  <si>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</si>
  <si>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</si>
  <si>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</si>
  <si>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</si>
  <si>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</si>
  <si>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</si>
  <si>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</si>
  <si>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</si>
  <si>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</si>
  <si>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</si>
  <si>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</si>
  <si>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</si>
  <si>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</si>
  <si>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</si>
  <si>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</si>
  <si>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</si>
  <si>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</si>
  <si>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</si>
  <si>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</si>
  <si>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</si>
  <si>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</si>
  <si>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</si>
  <si>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</si>
  <si>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</si>
  <si>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1 Número Nacional de cualquier provincia</t>
  </si>
  <si>
    <t>4.f</t>
  </si>
  <si>
    <t xml:space="preserve">Red Inteligente </t>
  </si>
  <si>
    <t>Red Inteligente (900/901/902/807)</t>
  </si>
  <si>
    <t>Centralización de llamadas de distintas localidades en un mismo número</t>
  </si>
  <si>
    <t>4.g</t>
  </si>
  <si>
    <t>FAX TO MAIL</t>
  </si>
  <si>
    <t>Solo para Trunk SIP</t>
  </si>
  <si>
    <t xml:space="preserve">Conexiones a Internet con FIBRA </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</si>
  <si>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</si>
  <si>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</si>
  <si>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</si>
  <si>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</si>
  <si>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</si>
  <si>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</si>
  <si>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</si>
  <si>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</si>
  <si>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</si>
  <si>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</si>
  <si>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</si>
  <si>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</si>
  <si>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</si>
  <si>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Incluir Router:</t>
  </si>
  <si>
    <t>Incluir el ONT:</t>
  </si>
  <si>
    <t>Mensual/FIBRA</t>
  </si>
  <si>
    <t>Mensual/Servicio</t>
  </si>
  <si>
    <t>Mensual/CtaSIP</t>
  </si>
  <si>
    <t>Mensual/Trunk</t>
  </si>
  <si>
    <t>Mensual / DDI</t>
  </si>
  <si>
    <t>Con Conexión</t>
  </si>
  <si>
    <t>Número de Canales de Voz:</t>
  </si>
  <si>
    <t>Servicio Básico VoIP:</t>
  </si>
  <si>
    <t>Servicio FAX TO MAIL:</t>
  </si>
  <si>
    <t>Servicio Red Inteligente:</t>
  </si>
  <si>
    <t>A estas Tarifas a Medida Ud. Podrá agregarle :</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</si>
  <si>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</si>
  <si>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</si>
  <si>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</si>
  <si>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</si>
  <si>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</si>
  <si>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</si>
  <si>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</si>
  <si>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TERMINOS DE LA OFERTA                                                          (i)+(ii)+(iii)</t>
  </si>
  <si>
    <t>Cuota por Servicio RED Inteligente (900/901/902/807)</t>
  </si>
  <si>
    <t>Sin Conexión</t>
  </si>
  <si>
    <t>(*)</t>
  </si>
  <si>
    <t>Observaciones</t>
  </si>
  <si>
    <t>Incluir</t>
  </si>
  <si>
    <t>à  à  à</t>
  </si>
  <si>
    <t>Margen terminales</t>
  </si>
  <si>
    <t>TOTAL TARIFA PLANA SIN FIBRA</t>
  </si>
  <si>
    <t>TOTAL TARIFA PLANA CON FIBRA</t>
  </si>
  <si>
    <t>TOTAL FINACIAMIENTO TARIFA PLANA (COMISIONABLE)</t>
  </si>
  <si>
    <t>TOTAL FINANCIAMINTO TARIFA A MEDIDA  + SERVICIOS ( NO COMISIONABLE)</t>
  </si>
  <si>
    <t>TOTAL FINANCIACION SERVICOS MOBILES</t>
  </si>
  <si>
    <t>Revisar punto E.2 del contrato para comprobar servicios NO comisionables</t>
  </si>
  <si>
    <t>No ampliable y No Comisionable</t>
  </si>
  <si>
    <t>Ampliable pero no Comisionable</t>
  </si>
  <si>
    <t>Permanencia: 24 meses. Penalización en caso de baja anticipada se aplicará el cargo correspondiente según contrato. En caso de baja del servicio, el equipamiento en alquiler será devuelto.</t>
  </si>
  <si>
    <t>Teléfono inalámbrico Dect Gigaset A220. Pantalla. Identificación de llamada. [Gigaset A220 negro / 7384]</t>
  </si>
  <si>
    <t>Teléfono inalámbrico Dect SIP Gigaset C530IP. Pantalla. Identificación de llamada. [Gigaset C530IP / 8012]</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</si>
  <si>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</si>
  <si>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</si>
  <si>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Estación Base Multicelda Gigaset VoIP Dect  N870 IP PRO.  hasta 250  terminales/60 Estaciones base. 1 Puerto 10/100. PoE.  Fte de Alimentación NO Incluida [GIGAN870PRO/ (EOL) ]</t>
  </si>
  <si>
    <t>Licencia Panasonic para 50 usuarios softphone SIP. Exclusivo para KX-NSxxx/HTS32. [KX-UCMA050W / 13793]</t>
  </si>
  <si>
    <t>No incluye Número Geográfico</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</si>
  <si>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</si>
  <si>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</si>
  <si>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</si>
  <si>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</si>
  <si>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Margen Habituaal</t>
  </si>
  <si>
    <t>Forma de Pago:</t>
  </si>
  <si>
    <r>
      <t xml:space="preserve">Incluye Tarifa con Minutos </t>
    </r>
    <r>
      <rPr>
        <b/>
        <sz val="11"/>
        <color theme="1"/>
        <rFont val="Century Gothic"/>
        <family val="2"/>
      </rPr>
      <t>ilimitados</t>
    </r>
    <r>
      <rPr>
        <sz val="11"/>
        <color theme="1"/>
        <rFont val="Century Gothic"/>
        <family val="2"/>
      </rPr>
      <t xml:space="preserve"> a llamadas Nacionales + </t>
    </r>
    <r>
      <rPr>
        <b/>
        <sz val="14"/>
        <color theme="1" tint="0.34998626667073579"/>
        <rFont val="Century Gothic"/>
        <family val="2"/>
      </rPr>
      <t>24</t>
    </r>
    <r>
      <rPr>
        <sz val="11"/>
        <color theme="1"/>
        <rFont val="Century Gothic"/>
        <family val="2"/>
      </rPr>
      <t xml:space="preserve">Gb + 100SMS al mes </t>
    </r>
  </si>
  <si>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</si>
  <si>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t>(**)</t>
  </si>
  <si>
    <t xml:space="preserve">Se Comisionan por las contrataciones de Tarifas Planas o tarifas decrecientes </t>
  </si>
  <si>
    <t>Centralita IP iNimbus Panasonic  con hasta X Líneas SIP y hasta Y Extensiones SIP</t>
  </si>
  <si>
    <t>Elija el Número Cuotas Mensuales para el contrato:</t>
  </si>
  <si>
    <t xml:space="preserve">Indique si incluye la instalación de los Equipos recomendada </t>
  </si>
  <si>
    <t>Si no, incluya el importe que estime por este concepto:</t>
  </si>
  <si>
    <t xml:space="preserve">Indique si incluye la Extensión de garantía (Mantenimiento) recomendada </t>
  </si>
  <si>
    <t>Indique el importe por concepto de Puesta en Marcha o Formación a Usuarios:</t>
  </si>
  <si>
    <t>Indique el importe por concepto de Inspección y adecuación de la RED:</t>
  </si>
  <si>
    <t>Agregue los servicios de Operador que quiere para Acceso DIRECTO FIJO</t>
  </si>
  <si>
    <t>A continuación le ofrecemos dos tipos de Tarifas para dar acceso a la IPPBX. Solo tiene que escoger entre una de las dos:</t>
  </si>
  <si>
    <t>El Número de Canales según se ha indicado arriba.</t>
  </si>
  <si>
    <t>No es compatible con las Tarifas Planas</t>
  </si>
  <si>
    <t>Nuestro TrunkSIP Incluye:</t>
  </si>
  <si>
    <t>Plan Tarifario ampliable.</t>
  </si>
  <si>
    <t>Si ha seleccionado la Tarifa a Medida podrá escoger el plan Tarifario que mejor se adapte a su consumo anual de minutos.</t>
  </si>
  <si>
    <t>Los canales independientes seleccionados arriba</t>
  </si>
  <si>
    <t>Número de Minutos  Anuales:</t>
  </si>
  <si>
    <t>Nuestro DDI Incluye:</t>
  </si>
  <si>
    <t xml:space="preserve">Admite números geográficos ilimitados portados o nuevos de cualquier provincia.     </t>
  </si>
  <si>
    <t>Nuestra Tarifa incluye:</t>
  </si>
  <si>
    <t>Los Minutos arriba señalados para REPARTIR entre las llamadas a Móviles Nacionales; Fijos Nacionales y Fijos de más de 30 Países (*)</t>
  </si>
  <si>
    <t>Si lo Incluye , indique la cantidad que necesita:</t>
  </si>
  <si>
    <t>Nuestro Servicio Incluye:</t>
  </si>
  <si>
    <t>Agregue los servicios de Operador que quiere para Líneas de MOVIL:</t>
  </si>
  <si>
    <t>5.a</t>
  </si>
  <si>
    <t>Canales Trunk</t>
  </si>
  <si>
    <t>Canales CtaSIP</t>
  </si>
  <si>
    <t>Total de Canales</t>
  </si>
  <si>
    <t>.</t>
  </si>
  <si>
    <t>Si Selecciona la Tarifa A MEDIDA podrá escoger las Cuentas SIP o TrunkSIP</t>
  </si>
  <si>
    <t>Nuestra Cuenta SIP Incluye:</t>
  </si>
  <si>
    <t>Tarifa de Minutos a Medida para Cuentas SIP y/o TrunkSIP</t>
  </si>
  <si>
    <t>Canales Sección iNimbusVoIP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</si>
</sst>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_-* #,##0.00\ &quot;€&quot;_[&quot;/Mes&quot;"/>
    <numFmt numFmtId="167" formatCode="#,##0.00\ &quot;€&quot;"/>
    <numFmt numFmtId="168" formatCode="#,##0.00\ [$€-C0A];\-#,##0.00\ [$€-C0A]"/>
    <numFmt numFmtId="169" formatCode="#,##0\ &quot;€&quot;"/>
    <numFmt numFmtId="170" formatCode="0.0000"/>
    <numFmt numFmtId="171" formatCode="_-* #,##0.00\ [$€-C0A]_-;\-* #,##0.00\ [$€-C0A]_-;_-* &quot;-&quot;??\ [$€-C0A]_-;_-@_-"/>
    <numFmt numFmtId="172" formatCode="#,##0_ ;\-#,##0\ "/>
    <numFmt numFmtId="173" formatCode="_-* #,##0.0000_-;\-* #,##0.0000_-;_-* &quot;-&quot;??_-;_-@_-"/>
  </numFmts>
  <fonts count="108"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sz val="11"/>
      <color rgb="FFC00000"/>
      <name val="Century Gothic"/>
      <family val="2"/>
    </font>
    <font>
      <i/>
      <sz val="9"/>
      <color theme="1"/>
      <name val="Century Gothic"/>
      <family val="2"/>
    </font>
    <font>
      <b/>
      <sz val="14"/>
      <color theme="1" tint="0.34998626667073579"/>
      <name val="Century Gothic"/>
      <family val="2"/>
    </font>
    <font>
      <sz val="16"/>
      <color theme="1" tint="0.34998626667073579"/>
      <name val="Arial"/>
      <family val="2"/>
    </font>
    <font>
      <b/>
      <sz val="22"/>
      <color theme="2" tint="-0.499984740745262"/>
      <name val="Century Gothic"/>
      <family val="2"/>
    </font>
    <font>
      <sz val="14"/>
      <color rgb="FFC00000"/>
      <name val="Century Gothic"/>
      <family val="2"/>
    </font>
  </fonts>
  <fills count="29">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rgb="FF66CCFF"/>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99" fillId="0" borderId="0" applyNumberFormat="0" applyFill="0" applyBorder="0" applyAlignment="0" applyProtection="0"/>
  </cellStyleXfs>
  <cellXfs count="422">
    <xf numFmtId="0" fontId="0" fillId="0" borderId="0" xfId="0"/>
    <xf numFmtId="0" fontId="6" fillId="0" borderId="0" xfId="0" applyFont="1" applyAlignment="1">
      <alignment horizontal="right"/>
    </xf>
    <xf numFmtId="0" fontId="0" fillId="0" borderId="2" xfId="0" applyBorder="1"/>
    <xf numFmtId="0" fontId="0" fillId="0" borderId="0" xfId="0" applyBorder="1"/>
    <xf numFmtId="164"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0" fontId="21" fillId="0" borderId="0" xfId="0" applyNumberFormat="1" applyFont="1" applyBorder="1" applyAlignment="1" applyProtection="1">
      <alignment horizontal="right" vertical="top"/>
      <protection hidden="1"/>
    </xf>
    <xf numFmtId="170"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0" fontId="21" fillId="0" borderId="2" xfId="0" applyNumberFormat="1" applyFont="1" applyBorder="1" applyAlignment="1" applyProtection="1">
      <alignment horizontal="right" vertical="top"/>
      <protection hidden="1"/>
    </xf>
    <xf numFmtId="170"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1"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1"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69"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56" fillId="0" borderId="0" xfId="0" applyFont="1" applyBorder="1" applyProtection="1">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4"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4"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4" fontId="2" fillId="6" borderId="0" xfId="1" applyFont="1" applyFill="1" applyProtection="1">
      <protection hidden="1"/>
    </xf>
    <xf numFmtId="164"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1"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1"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1"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1"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1"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7" fontId="0" fillId="0" borderId="0" xfId="0" applyNumberFormat="1"/>
    <xf numFmtId="0" fontId="73" fillId="19" borderId="0" xfId="0" applyFont="1" applyFill="1" applyBorder="1" applyAlignment="1">
      <alignment horizontal="right" vertical="top"/>
    </xf>
    <xf numFmtId="171" fontId="74" fillId="19" borderId="0" xfId="0" applyNumberFormat="1" applyFont="1" applyFill="1" applyBorder="1" applyAlignment="1" applyProtection="1">
      <alignment vertical="center"/>
      <protection hidden="1"/>
    </xf>
    <xf numFmtId="168" fontId="4" fillId="19" borderId="0" xfId="0" applyNumberFormat="1" applyFont="1" applyFill="1" applyAlignment="1" applyProtection="1">
      <alignment vertical="center"/>
      <protection hidden="1"/>
    </xf>
    <xf numFmtId="166"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3"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4"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4"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1" fontId="57" fillId="10" borderId="0" xfId="0" applyNumberFormat="1" applyFont="1" applyFill="1" applyBorder="1" applyAlignment="1" applyProtection="1">
      <alignment vertical="center"/>
      <protection hidden="1"/>
    </xf>
    <xf numFmtId="171"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6" fillId="23" borderId="0" xfId="0" applyFont="1" applyFill="1" applyBorder="1" applyAlignment="1">
      <alignment horizontal="right" vertical="top"/>
    </xf>
    <xf numFmtId="0" fontId="76" fillId="10" borderId="0" xfId="0" applyFont="1" applyFill="1" applyBorder="1" applyAlignment="1">
      <alignment horizontal="right" vertical="top"/>
    </xf>
    <xf numFmtId="0" fontId="78"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79" fillId="19" borderId="0" xfId="0" applyNumberFormat="1" applyFont="1" applyFill="1" applyBorder="1" applyAlignment="1">
      <alignment horizontal="right"/>
    </xf>
    <xf numFmtId="171" fontId="80"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1" fontId="57" fillId="24" borderId="0" xfId="0" applyNumberFormat="1" applyFont="1" applyFill="1" applyBorder="1" applyAlignment="1" applyProtection="1">
      <alignment vertical="center"/>
      <protection hidden="1"/>
    </xf>
    <xf numFmtId="0" fontId="76"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2" fillId="19" borderId="0" xfId="0" applyFont="1" applyFill="1" applyBorder="1" applyAlignment="1" applyProtection="1">
      <alignment vertical="center"/>
      <protection hidden="1"/>
    </xf>
    <xf numFmtId="171" fontId="80" fillId="19" borderId="2" xfId="0" applyNumberFormat="1" applyFont="1" applyFill="1" applyBorder="1" applyAlignment="1" applyProtection="1">
      <alignment vertical="center"/>
      <protection hidden="1"/>
    </xf>
    <xf numFmtId="171" fontId="74" fillId="19" borderId="18" xfId="0" applyNumberFormat="1" applyFont="1" applyFill="1" applyBorder="1" applyAlignment="1" applyProtection="1">
      <alignment vertical="center"/>
      <protection hidden="1"/>
    </xf>
    <xf numFmtId="171" fontId="72" fillId="19" borderId="34" xfId="0" applyNumberFormat="1" applyFont="1" applyFill="1" applyBorder="1" applyAlignment="1" applyProtection="1">
      <alignment vertical="center"/>
      <protection hidden="1"/>
    </xf>
    <xf numFmtId="171" fontId="84" fillId="19" borderId="0" xfId="0" applyNumberFormat="1" applyFont="1" applyFill="1" applyBorder="1" applyAlignment="1" applyProtection="1">
      <alignment vertical="center"/>
      <protection hidden="1"/>
    </xf>
    <xf numFmtId="171"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79"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1" fontId="74" fillId="19" borderId="18" xfId="0" applyNumberFormat="1" applyFont="1" applyFill="1" applyBorder="1" applyAlignment="1" applyProtection="1">
      <protection hidden="1"/>
    </xf>
    <xf numFmtId="171"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5" fillId="10" borderId="0" xfId="0" applyFont="1" applyFill="1" applyBorder="1" applyAlignment="1" applyProtection="1">
      <alignment horizontal="center"/>
      <protection hidden="1"/>
    </xf>
    <xf numFmtId="0" fontId="75"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69" fontId="14" fillId="5" borderId="35" xfId="0" applyNumberFormat="1" applyFont="1" applyFill="1" applyBorder="1" applyAlignment="1" applyProtection="1">
      <alignment horizontal="center"/>
      <protection hidden="1"/>
    </xf>
    <xf numFmtId="0" fontId="88" fillId="0" borderId="0" xfId="0" applyFont="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18" fillId="0" borderId="0" xfId="0" applyFont="1" applyAlignment="1" applyProtection="1">
      <alignment horizontal="center"/>
      <protection hidden="1"/>
    </xf>
    <xf numFmtId="0" fontId="91" fillId="0" borderId="0" xfId="0" applyFont="1" applyAlignment="1" applyProtection="1">
      <alignment horizontal="center"/>
      <protection hidden="1"/>
    </xf>
    <xf numFmtId="0" fontId="92" fillId="0" borderId="0" xfId="0" applyFont="1" applyAlignment="1" applyProtection="1">
      <alignment horizontal="center"/>
      <protection hidden="1"/>
    </xf>
    <xf numFmtId="0" fontId="91" fillId="26" borderId="0" xfId="0" applyFont="1" applyFill="1" applyProtection="1">
      <protection locked="0" hidden="1"/>
    </xf>
    <xf numFmtId="0" fontId="93"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1"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0" fontId="19" fillId="0" borderId="0" xfId="0" applyFont="1" applyBorder="1" applyAlignment="1" applyProtection="1">
      <alignment horizontal="right"/>
      <protection hidden="1"/>
    </xf>
    <xf numFmtId="164" fontId="0" fillId="0" borderId="0" xfId="0" applyNumberFormat="1" applyBorder="1" applyProtection="1">
      <protection hidden="1"/>
    </xf>
    <xf numFmtId="164" fontId="0" fillId="0" borderId="0" xfId="0" applyNumberFormat="1" applyBorder="1"/>
    <xf numFmtId="164" fontId="0" fillId="0" borderId="0" xfId="1" applyFont="1" applyBorder="1" applyProtection="1">
      <protection hidden="1"/>
    </xf>
    <xf numFmtId="171"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7"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1"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2"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1"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1" fontId="19" fillId="0" borderId="2" xfId="1" applyNumberFormat="1" applyFont="1" applyFill="1" applyBorder="1" applyAlignment="1" applyProtection="1">
      <alignment horizontal="center" vertical="top"/>
      <protection hidden="1"/>
    </xf>
    <xf numFmtId="171" fontId="19" fillId="0" borderId="11" xfId="1" applyNumberFormat="1" applyFont="1" applyFill="1" applyBorder="1" applyAlignment="1" applyProtection="1">
      <alignment horizontal="center" vertical="top"/>
      <protection hidden="1"/>
    </xf>
    <xf numFmtId="0" fontId="98"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1" fontId="14" fillId="16" borderId="18" xfId="1" applyNumberFormat="1" applyFont="1" applyFill="1" applyBorder="1" applyAlignment="1">
      <alignment horizontal="center" vertical="top"/>
    </xf>
    <xf numFmtId="171"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1" fontId="14" fillId="16" borderId="18" xfId="1" applyNumberFormat="1" applyFont="1" applyFill="1" applyBorder="1" applyAlignment="1" applyProtection="1">
      <alignment horizontal="center" vertical="top"/>
      <protection hidden="1"/>
    </xf>
    <xf numFmtId="171"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2"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8" fillId="0" borderId="0" xfId="0" applyFont="1" applyFill="1" applyBorder="1" applyAlignment="1">
      <alignment horizontal="left" wrapText="1"/>
    </xf>
    <xf numFmtId="172" fontId="24" fillId="0" borderId="0" xfId="0" applyNumberFormat="1" applyFont="1" applyFill="1" applyBorder="1" applyAlignment="1" applyProtection="1">
      <alignment horizontal="left"/>
      <protection hidden="1"/>
    </xf>
    <xf numFmtId="171" fontId="19" fillId="0" borderId="0" xfId="1" applyNumberFormat="1" applyFont="1" applyFill="1" applyBorder="1" applyAlignment="1" applyProtection="1">
      <alignment horizontal="left"/>
      <protection hidden="1"/>
    </xf>
    <xf numFmtId="171"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1"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32" fillId="0" borderId="0" xfId="0" applyFont="1" applyBorder="1" applyProtection="1">
      <protection hidden="1"/>
    </xf>
    <xf numFmtId="0" fontId="47" fillId="10" borderId="0" xfId="3" applyFill="1" applyAlignment="1" applyProtection="1">
      <alignment horizontal="right" vertical="center" wrapText="1"/>
      <protection locked="0" hidden="1"/>
    </xf>
    <xf numFmtId="0" fontId="100"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1" fillId="19" borderId="0" xfId="0" applyFont="1" applyFill="1" applyAlignment="1" applyProtection="1">
      <alignment horizontal="center" vertical="center"/>
      <protection hidden="1"/>
    </xf>
    <xf numFmtId="0" fontId="0" fillId="4" borderId="0" xfId="0" applyFill="1" applyProtection="1">
      <protection hidden="1"/>
    </xf>
    <xf numFmtId="9" fontId="0" fillId="4" borderId="0" xfId="0" applyNumberFormat="1" applyFill="1" applyProtection="1">
      <protection hidden="1"/>
    </xf>
    <xf numFmtId="0" fontId="0" fillId="17" borderId="0" xfId="0" applyFill="1" applyBorder="1" applyProtection="1">
      <protection hidden="1"/>
    </xf>
    <xf numFmtId="0" fontId="0" fillId="17" borderId="0" xfId="0" applyFill="1" applyProtection="1">
      <protection hidden="1"/>
    </xf>
    <xf numFmtId="0" fontId="0" fillId="18" borderId="0" xfId="0" applyFill="1" applyBorder="1" applyProtection="1">
      <protection hidden="1"/>
    </xf>
    <xf numFmtId="0" fontId="0" fillId="18" borderId="0" xfId="0" applyFill="1" applyProtection="1">
      <protection hidden="1"/>
    </xf>
    <xf numFmtId="0" fontId="0" fillId="19" borderId="0" xfId="0" applyFill="1" applyAlignment="1" applyProtection="1">
      <alignment horizontal="right" vertical="top"/>
      <protection hidden="1"/>
    </xf>
    <xf numFmtId="0" fontId="39" fillId="0" borderId="0" xfId="0" applyFont="1" applyFill="1" applyBorder="1" applyAlignment="1" applyProtection="1">
      <alignment horizontal="left" vertical="top" wrapText="1"/>
      <protection locked="0"/>
    </xf>
    <xf numFmtId="164" fontId="20" fillId="0" borderId="0" xfId="0" applyNumberFormat="1" applyFont="1" applyFill="1" applyBorder="1" applyAlignment="1" applyProtection="1">
      <alignment horizontal="center" vertical="top"/>
      <protection locked="0" hidden="1"/>
    </xf>
    <xf numFmtId="0" fontId="102" fillId="0" borderId="0" xfId="0" applyFont="1" applyBorder="1" applyAlignment="1" applyProtection="1">
      <alignment vertical="top"/>
      <protection hidden="1"/>
    </xf>
    <xf numFmtId="0" fontId="102" fillId="0" borderId="0" xfId="0" applyFont="1" applyAlignment="1" applyProtection="1">
      <alignment vertical="center"/>
      <protection hidden="1"/>
    </xf>
    <xf numFmtId="0" fontId="0" fillId="0" borderId="0" xfId="0" applyBorder="1" applyAlignment="1" applyProtection="1">
      <alignment horizontal="left" vertical="top"/>
      <protection hidden="1"/>
    </xf>
    <xf numFmtId="0" fontId="0" fillId="28" borderId="0" xfId="0" applyFill="1"/>
    <xf numFmtId="171" fontId="71" fillId="28" borderId="2" xfId="0" applyNumberFormat="1" applyFont="1" applyFill="1" applyBorder="1"/>
    <xf numFmtId="171" fontId="95" fillId="19" borderId="0" xfId="0" applyNumberFormat="1" applyFont="1" applyFill="1" applyAlignment="1" applyProtection="1">
      <alignment horizontal="center"/>
      <protection hidden="1"/>
    </xf>
    <xf numFmtId="0" fontId="103" fillId="0" borderId="8" xfId="0" applyFont="1" applyBorder="1"/>
    <xf numFmtId="9" fontId="105" fillId="19" borderId="0" xfId="0" applyNumberFormat="1" applyFont="1" applyFill="1" applyBorder="1" applyAlignment="1" applyProtection="1">
      <alignment horizontal="right"/>
      <protection locked="0"/>
    </xf>
    <xf numFmtId="0" fontId="0" fillId="22" borderId="0" xfId="0" applyFill="1" applyBorder="1" applyProtection="1">
      <protection hidden="1"/>
    </xf>
    <xf numFmtId="0" fontId="66" fillId="22" borderId="0" xfId="0" applyFont="1" applyFill="1" applyProtection="1">
      <protection hidden="1"/>
    </xf>
    <xf numFmtId="0" fontId="0" fillId="0" borderId="0" xfId="0" applyAlignment="1" applyProtection="1">
      <alignment horizontal="left" vertical="center"/>
      <protection hidden="1"/>
    </xf>
    <xf numFmtId="0" fontId="20" fillId="0" borderId="0" xfId="0" applyFont="1" applyAlignment="1" applyProtection="1">
      <alignment horizontal="left"/>
      <protection hidden="1"/>
    </xf>
    <xf numFmtId="0" fontId="0" fillId="0" borderId="0" xfId="0" applyAlignment="1">
      <alignment horizontal="right"/>
    </xf>
    <xf numFmtId="0" fontId="31" fillId="0" borderId="0" xfId="0" applyFont="1" applyAlignment="1" applyProtection="1">
      <alignment vertical="top"/>
      <protection hidden="1"/>
    </xf>
    <xf numFmtId="0" fontId="102" fillId="0" borderId="0" xfId="0" applyFont="1" applyProtection="1">
      <protection hidden="1"/>
    </xf>
    <xf numFmtId="0" fontId="107" fillId="0" borderId="0" xfId="0" applyFont="1" applyAlignment="1" applyProtection="1">
      <alignment vertical="center"/>
      <protection hidden="1"/>
    </xf>
    <xf numFmtId="0" fontId="19" fillId="0" borderId="0" xfId="0" applyFont="1" applyAlignment="1">
      <alignment horizontal="left" vertical="top" wrapText="1"/>
    </xf>
    <xf numFmtId="171" fontId="87"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0" fontId="54" fillId="0" borderId="0" xfId="0" applyFont="1" applyAlignment="1">
      <alignment horizontal="center" vertical="center" textRotation="90" wrapText="1"/>
    </xf>
    <xf numFmtId="0" fontId="82" fillId="19" borderId="0" xfId="0" applyFont="1" applyFill="1" applyBorder="1" applyAlignment="1" applyProtection="1">
      <alignment horizontal="right" vertical="center"/>
      <protection hidden="1"/>
    </xf>
    <xf numFmtId="171" fontId="81" fillId="23" borderId="0" xfId="0" applyNumberFormat="1" applyFont="1" applyFill="1" applyBorder="1" applyAlignment="1" applyProtection="1">
      <alignment horizontal="center" vertical="center"/>
      <protection hidden="1"/>
    </xf>
    <xf numFmtId="0" fontId="54" fillId="0" borderId="0" xfId="0" applyFont="1" applyAlignment="1">
      <alignment horizontal="center" vertical="center" textRotation="90"/>
    </xf>
    <xf numFmtId="171" fontId="94" fillId="3" borderId="0" xfId="0" applyNumberFormat="1" applyFont="1" applyFill="1" applyBorder="1" applyAlignment="1" applyProtection="1">
      <alignment horizontal="center" vertical="center"/>
      <protection hidden="1"/>
    </xf>
    <xf numFmtId="171" fontId="95" fillId="3" borderId="0" xfId="0" applyNumberFormat="1" applyFont="1" applyFill="1" applyBorder="1" applyAlignment="1" applyProtection="1">
      <alignment horizontal="center" vertical="center"/>
      <protection hidden="1"/>
    </xf>
    <xf numFmtId="0" fontId="0" fillId="17" borderId="24" xfId="0" applyFill="1" applyBorder="1" applyAlignment="1" applyProtection="1">
      <alignment horizontal="center"/>
      <protection hidden="1"/>
    </xf>
    <xf numFmtId="0" fontId="0" fillId="17" borderId="0" xfId="0" applyFill="1" applyAlignment="1" applyProtection="1">
      <alignment horizontal="center"/>
      <protection hidden="1"/>
    </xf>
    <xf numFmtId="0" fontId="0" fillId="17" borderId="12"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18" fillId="5" borderId="0" xfId="0" applyFont="1" applyFill="1" applyAlignment="1" applyProtection="1">
      <alignment horizontal="center"/>
      <protection hidden="1"/>
    </xf>
    <xf numFmtId="0" fontId="18" fillId="5" borderId="0" xfId="0" applyFont="1" applyFill="1" applyAlignment="1" applyProtection="1">
      <protection hidden="1"/>
    </xf>
    <xf numFmtId="0" fontId="0" fillId="0" borderId="0" xfId="0" applyBorder="1" applyAlignment="1" applyProtection="1">
      <alignment horizontal="right" vertical="top" wrapText="1"/>
      <protection hidden="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106" fillId="19" borderId="0" xfId="0" applyFont="1" applyFill="1" applyAlignment="1">
      <alignment horizontal="center" vertical="center" wrapText="1"/>
    </xf>
    <xf numFmtId="0" fontId="85"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1" fontId="77" fillId="25" borderId="0" xfId="0" applyNumberFormat="1" applyFont="1" applyFill="1" applyBorder="1" applyAlignment="1" applyProtection="1">
      <alignment horizontal="center" vertical="top"/>
      <protection hidden="1"/>
    </xf>
    <xf numFmtId="171" fontId="83" fillId="23" borderId="0" xfId="0" applyNumberFormat="1" applyFont="1" applyFill="1" applyBorder="1" applyAlignment="1" applyProtection="1">
      <alignment horizontal="left" vertical="center"/>
      <protection hidden="1"/>
    </xf>
    <xf numFmtId="171" fontId="96" fillId="3" borderId="0" xfId="0" applyNumberFormat="1" applyFont="1" applyFill="1" applyBorder="1" applyAlignment="1" applyProtection="1">
      <alignment horizontal="left" vertical="center"/>
      <protection hidden="1"/>
    </xf>
    <xf numFmtId="0" fontId="0" fillId="11" borderId="0" xfId="0" applyFill="1" applyBorder="1" applyAlignment="1" applyProtection="1">
      <alignment horizontal="center"/>
      <protection hidden="1"/>
    </xf>
    <xf numFmtId="0" fontId="0" fillId="11" borderId="21" xfId="0" applyFill="1" applyBorder="1" applyAlignment="1" applyProtection="1">
      <alignment horizontal="center"/>
      <protection hidden="1"/>
    </xf>
    <xf numFmtId="0" fontId="18" fillId="2" borderId="0" xfId="0" applyFont="1" applyFill="1" applyAlignment="1" applyProtection="1">
      <alignment horizontal="center"/>
      <protection hidden="1"/>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4">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theme="0"/>
      </font>
    </dxf>
    <dxf>
      <font>
        <b/>
        <i val="0"/>
        <color rgb="FFFF0000"/>
      </font>
    </dxf>
    <dxf>
      <font>
        <color theme="0"/>
      </font>
    </dxf>
    <dxf>
      <font>
        <b/>
        <i val="0"/>
        <color theme="2" tint="-0.749961851863155"/>
      </font>
    </dxf>
    <dxf>
      <font>
        <color rgb="FF6CCCEC"/>
      </font>
      <fill>
        <patternFill>
          <bgColor rgb="FF6CCCEC"/>
        </patternFill>
      </fill>
    </dxf>
    <dxf>
      <font>
        <color rgb="FF6CCCEC"/>
      </font>
      <fill>
        <patternFill>
          <bgColor rgb="FF6CCCEC"/>
        </patternFill>
      </fill>
    </dxf>
    <dxf>
      <font>
        <color rgb="FF6CCCEC"/>
      </font>
      <fill>
        <patternFill>
          <bgColor rgb="FF6CCCEC"/>
        </patternFill>
      </fill>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AEE1E6"/>
      <color rgb="FF66CCFF"/>
      <color rgb="FF3399FF"/>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82D-4613-B3BF-61C309DE3499}"/>
                </c:ext>
              </c:extLst>
            </c:dLbl>
            <c:dLbl>
              <c:idx val="1"/>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82D-4613-B3BF-61C309DE3499}"/>
                </c:ext>
              </c:extLst>
            </c:dLbl>
            <c:dLbl>
              <c:idx val="2"/>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75B-47E1-B423-577D86218F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ES"/>
              </a:p>
            </c:txPr>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0</c:v>
                </c:pt>
                <c:pt idx="1">
                  <c:v>0</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jpeg"/><Relationship Id="rId22" Type="http://schemas.openxmlformats.org/officeDocument/2006/relationships/image" Target="../media/image2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7.jpg"/><Relationship Id="rId1"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523734</xdr:colOff>
      <xdr:row>2</xdr:row>
      <xdr:rowOff>3092</xdr:rowOff>
    </xdr:from>
    <xdr:to>
      <xdr:col>10</xdr:col>
      <xdr:colOff>45358</xdr:colOff>
      <xdr:row>7</xdr:row>
      <xdr:rowOff>136070</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25</xdr:row>
      <xdr:rowOff>286806</xdr:rowOff>
    </xdr:from>
    <xdr:to>
      <xdr:col>16384</xdr:col>
      <xdr:colOff>35242</xdr:colOff>
      <xdr:row>28</xdr:row>
      <xdr:rowOff>59875</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twoCellAnchor editAs="oneCell">
    <xdr:from>
      <xdr:col>4</xdr:col>
      <xdr:colOff>67191</xdr:colOff>
      <xdr:row>82</xdr:row>
      <xdr:rowOff>377028</xdr:rowOff>
    </xdr:from>
    <xdr:to>
      <xdr:col>4</xdr:col>
      <xdr:colOff>1407950</xdr:colOff>
      <xdr:row>82</xdr:row>
      <xdr:rowOff>1375746</xdr:rowOff>
    </xdr:to>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a:stretch>
          <a:fillRect/>
        </a:stretch>
      </xdr:blipFill>
      <xdr:spPr>
        <a:xfrm>
          <a:off x="6163191" y="16083753"/>
          <a:ext cx="1340759" cy="1004433"/>
        </a:xfrm>
        <a:prstGeom prst="rect">
          <a:avLst/>
        </a:prstGeom>
      </xdr:spPr>
    </xdr:pic>
    <xdr:clientData/>
  </xdr:twoCellAnchor>
  <xdr:twoCellAnchor editAs="oneCell">
    <xdr:from>
      <xdr:col>3</xdr:col>
      <xdr:colOff>47626</xdr:colOff>
      <xdr:row>82</xdr:row>
      <xdr:rowOff>304800</xdr:rowOff>
    </xdr:from>
    <xdr:to>
      <xdr:col>4</xdr:col>
      <xdr:colOff>80818</xdr:colOff>
      <xdr:row>82</xdr:row>
      <xdr:rowOff>1447800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a:srcRect t="9210" b="11842"/>
        <a:stretch/>
      </xdr:blipFill>
      <xdr:spPr>
        <a:xfrm>
          <a:off x="4724401" y="16011525"/>
          <a:ext cx="1454322" cy="1143000"/>
        </a:xfrm>
        <a:prstGeom prst="rect">
          <a:avLst/>
        </a:prstGeom>
      </xdr:spPr>
    </xdr:pic>
    <xdr:clientData/>
  </xdr:twoCellAnchor>
  <xdr:twoCellAnchor editAs="oneCell">
    <xdr:from>
      <xdr:col>2</xdr:col>
      <xdr:colOff>200026</xdr:colOff>
      <xdr:row>82</xdr:row>
      <xdr:rowOff>219076</xdr:rowOff>
    </xdr:from>
    <xdr:to>
      <xdr:col>2</xdr:col>
      <xdr:colOff>1403985</xdr:colOff>
      <xdr:row>82</xdr:row>
      <xdr:rowOff>1337310</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5"/>
        <a:srcRect b="5600"/>
        <a:stretch/>
      </xdr:blipFill>
      <xdr:spPr>
        <a:xfrm>
          <a:off x="3457576" y="15925801"/>
          <a:ext cx="1190624" cy="1123949"/>
        </a:xfrm>
        <a:prstGeom prst="rect">
          <a:avLst/>
        </a:prstGeom>
      </xdr:spPr>
    </xdr:pic>
    <xdr:clientData/>
  </xdr:twoCellAnchor>
  <xdr:twoCellAnchor editAs="oneCell">
    <xdr:from>
      <xdr:col>5</xdr:col>
      <xdr:colOff>389797</xdr:colOff>
      <xdr:row>82</xdr:row>
      <xdr:rowOff>371475</xdr:rowOff>
    </xdr:from>
    <xdr:to>
      <xdr:col>5</xdr:col>
      <xdr:colOff>1256374</xdr:colOff>
      <xdr:row>82</xdr:row>
      <xdr:rowOff>1372853</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6"/>
        <a:stretch>
          <a:fillRect/>
        </a:stretch>
      </xdr:blipFill>
      <xdr:spPr>
        <a:xfrm>
          <a:off x="7905022" y="16078200"/>
          <a:ext cx="866577" cy="1001378"/>
        </a:xfrm>
        <a:prstGeom prst="rect">
          <a:avLst/>
        </a:prstGeom>
      </xdr:spPr>
    </xdr:pic>
    <xdr:clientData/>
  </xdr:twoCellAnchor>
  <xdr:oneCellAnchor>
    <xdr:from>
      <xdr:col>1</xdr:col>
      <xdr:colOff>47274</xdr:colOff>
      <xdr:row>238</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29</xdr:row>
      <xdr:rowOff>102161</xdr:rowOff>
    </xdr:from>
    <xdr:to>
      <xdr:col>10</xdr:col>
      <xdr:colOff>571500</xdr:colOff>
      <xdr:row>38</xdr:row>
      <xdr:rowOff>194057</xdr:rowOff>
    </xdr:to>
    <xdr:pic macro="[0]!CLOSEEYE">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29</xdr:row>
      <xdr:rowOff>103564</xdr:rowOff>
    </xdr:from>
    <xdr:to>
      <xdr:col>8</xdr:col>
      <xdr:colOff>1294946</xdr:colOff>
      <xdr:row>40</xdr:row>
      <xdr:rowOff>72662</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twoCellAnchor editAs="oneCell">
    <xdr:from>
      <xdr:col>6</xdr:col>
      <xdr:colOff>84668</xdr:colOff>
      <xdr:row>82</xdr:row>
      <xdr:rowOff>244993</xdr:rowOff>
    </xdr:from>
    <xdr:to>
      <xdr:col>7</xdr:col>
      <xdr:colOff>2337</xdr:colOff>
      <xdr:row>82</xdr:row>
      <xdr:rowOff>1406301</xdr:rowOff>
    </xdr:to>
    <xdr:pic>
      <xdr:nvPicPr>
        <xdr:cNvPr id="24" name="Imagen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19118" y="15951718"/>
          <a:ext cx="1331988" cy="1157498"/>
        </a:xfrm>
        <a:prstGeom prst="rect">
          <a:avLst/>
        </a:prstGeom>
      </xdr:spPr>
    </xdr:pic>
    <xdr:clientData/>
  </xdr:twoCellAnchor>
  <xdr:twoCellAnchor editAs="oneCell">
    <xdr:from>
      <xdr:col>7</xdr:col>
      <xdr:colOff>179917</xdr:colOff>
      <xdr:row>82</xdr:row>
      <xdr:rowOff>179060</xdr:rowOff>
    </xdr:from>
    <xdr:to>
      <xdr:col>8</xdr:col>
      <xdr:colOff>108586</xdr:colOff>
      <xdr:row>82</xdr:row>
      <xdr:rowOff>1520180</xdr:rowOff>
    </xdr:to>
    <xdr:pic>
      <xdr:nvPicPr>
        <xdr:cNvPr id="25" name="Imagen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533592" y="15885785"/>
          <a:ext cx="1334558" cy="1333500"/>
        </a:xfrm>
        <a:prstGeom prst="rect">
          <a:avLst/>
        </a:prstGeom>
      </xdr:spPr>
    </xdr:pic>
    <xdr:clientData/>
  </xdr:twoCellAnchor>
  <xdr:twoCellAnchor editAs="oneCell">
    <xdr:from>
      <xdr:col>8</xdr:col>
      <xdr:colOff>195261</xdr:colOff>
      <xdr:row>82</xdr:row>
      <xdr:rowOff>349251</xdr:rowOff>
    </xdr:from>
    <xdr:to>
      <xdr:col>8</xdr:col>
      <xdr:colOff>1290777</xdr:colOff>
      <xdr:row>82</xdr:row>
      <xdr:rowOff>1292208</xdr:rowOff>
    </xdr:to>
    <xdr:pic>
      <xdr:nvPicPr>
        <xdr:cNvPr id="26" name="Imagen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968161" y="16055976"/>
          <a:ext cx="1095516" cy="931527"/>
        </a:xfrm>
        <a:prstGeom prst="rect">
          <a:avLst/>
        </a:prstGeom>
      </xdr:spPr>
    </xdr:pic>
    <xdr:clientData/>
  </xdr:twoCellAnchor>
  <xdr:twoCellAnchor editAs="oneCell">
    <xdr:from>
      <xdr:col>10</xdr:col>
      <xdr:colOff>289117</xdr:colOff>
      <xdr:row>82</xdr:row>
      <xdr:rowOff>264584</xdr:rowOff>
    </xdr:from>
    <xdr:to>
      <xdr:col>10</xdr:col>
      <xdr:colOff>917826</xdr:colOff>
      <xdr:row>82</xdr:row>
      <xdr:rowOff>1291984</xdr:rowOff>
    </xdr:to>
    <xdr:pic>
      <xdr:nvPicPr>
        <xdr:cNvPr id="27" name="Imagen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3"/>
        <a:stretch>
          <a:fillRect/>
        </a:stretch>
      </xdr:blipFill>
      <xdr:spPr>
        <a:xfrm>
          <a:off x="14900467" y="15971309"/>
          <a:ext cx="638234" cy="1027400"/>
        </a:xfrm>
        <a:prstGeom prst="rect">
          <a:avLst/>
        </a:prstGeom>
      </xdr:spPr>
    </xdr:pic>
    <xdr:clientData/>
  </xdr:twoCellAnchor>
  <xdr:twoCellAnchor editAs="oneCell">
    <xdr:from>
      <xdr:col>9</xdr:col>
      <xdr:colOff>80253</xdr:colOff>
      <xdr:row>82</xdr:row>
      <xdr:rowOff>370417</xdr:rowOff>
    </xdr:from>
    <xdr:to>
      <xdr:col>9</xdr:col>
      <xdr:colOff>1182171</xdr:colOff>
      <xdr:row>82</xdr:row>
      <xdr:rowOff>1297515</xdr:rowOff>
    </xdr:to>
    <xdr:pic>
      <xdr:nvPicPr>
        <xdr:cNvPr id="28" name="Imagen 27" descr="Imagen relacionada">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3272378" y="16077142"/>
          <a:ext cx="1101918" cy="927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1440846</xdr:colOff>
      <xdr:row>7</xdr:row>
      <xdr:rowOff>173114</xdr:rowOff>
    </xdr:from>
    <xdr:to>
      <xdr:col>2</xdr:col>
      <xdr:colOff>308430</xdr:colOff>
      <xdr:row>8</xdr:row>
      <xdr:rowOff>306160</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30489" y="2066775"/>
          <a:ext cx="1078745" cy="32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16</xdr:row>
      <xdr:rowOff>304799</xdr:rowOff>
    </xdr:from>
    <xdr:to>
      <xdr:col>4</xdr:col>
      <xdr:colOff>561975</xdr:colOff>
      <xdr:row>20</xdr:row>
      <xdr:rowOff>7936</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89613" y="4495799"/>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16</xdr:row>
      <xdr:rowOff>260686</xdr:rowOff>
    </xdr:from>
    <xdr:to>
      <xdr:col>7</xdr:col>
      <xdr:colOff>411163</xdr:colOff>
      <xdr:row>19</xdr:row>
      <xdr:rowOff>154323</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6027" y="4461712"/>
          <a:ext cx="411162" cy="51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8</xdr:col>
      <xdr:colOff>1403684</xdr:colOff>
      <xdr:row>17</xdr:row>
      <xdr:rowOff>10026</xdr:rowOff>
    </xdr:from>
    <xdr:to>
      <xdr:col>9</xdr:col>
      <xdr:colOff>391109</xdr:colOff>
      <xdr:row>20</xdr:row>
      <xdr:rowOff>23979</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743447" y="4521868"/>
          <a:ext cx="411162" cy="51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8</xdr:col>
      <xdr:colOff>1414785</xdr:colOff>
      <xdr:row>15</xdr:row>
      <xdr:rowOff>192767</xdr:rowOff>
    </xdr:from>
    <xdr:to>
      <xdr:col>9</xdr:col>
      <xdr:colOff>408214</xdr:colOff>
      <xdr:row>15</xdr:row>
      <xdr:rowOff>203153</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20053" y="3787321"/>
          <a:ext cx="410840" cy="103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15</xdr:row>
      <xdr:rowOff>215447</xdr:rowOff>
    </xdr:from>
    <xdr:to>
      <xdr:col>10</xdr:col>
      <xdr:colOff>453572</xdr:colOff>
      <xdr:row>15</xdr:row>
      <xdr:rowOff>215447</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4140089" y="3810001"/>
          <a:ext cx="45357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113</xdr:row>
      <xdr:rowOff>249465</xdr:rowOff>
    </xdr:from>
    <xdr:to>
      <xdr:col>2</xdr:col>
      <xdr:colOff>1292678</xdr:colOff>
      <xdr:row>113</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5"/>
        <a:stretch>
          <a:fillRect/>
        </a:stretch>
      </xdr:blipFill>
      <xdr:spPr>
        <a:xfrm>
          <a:off x="2897915" y="28166786"/>
          <a:ext cx="1195567" cy="1200655"/>
        </a:xfrm>
        <a:prstGeom prst="rect">
          <a:avLst/>
        </a:prstGeom>
      </xdr:spPr>
    </xdr:pic>
    <xdr:clientData/>
  </xdr:twoCellAnchor>
  <xdr:twoCellAnchor editAs="oneCell">
    <xdr:from>
      <xdr:col>3</xdr:col>
      <xdr:colOff>79375</xdr:colOff>
      <xdr:row>113</xdr:row>
      <xdr:rowOff>453572</xdr:rowOff>
    </xdr:from>
    <xdr:to>
      <xdr:col>3</xdr:col>
      <xdr:colOff>1367407</xdr:colOff>
      <xdr:row>113</xdr:row>
      <xdr:rowOff>1368336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6"/>
        <a:srcRect b="22501"/>
        <a:stretch/>
      </xdr:blipFill>
      <xdr:spPr>
        <a:xfrm>
          <a:off x="4297589" y="28370893"/>
          <a:ext cx="1286127" cy="907144"/>
        </a:xfrm>
        <a:prstGeom prst="rect">
          <a:avLst/>
        </a:prstGeom>
      </xdr:spPr>
    </xdr:pic>
    <xdr:clientData/>
  </xdr:twoCellAnchor>
  <xdr:twoCellAnchor editAs="oneCell">
    <xdr:from>
      <xdr:col>3</xdr:col>
      <xdr:colOff>1383393</xdr:colOff>
      <xdr:row>113</xdr:row>
      <xdr:rowOff>260804</xdr:rowOff>
    </xdr:from>
    <xdr:to>
      <xdr:col>4</xdr:col>
      <xdr:colOff>1287268</xdr:colOff>
      <xdr:row>113</xdr:row>
      <xdr:rowOff>1413601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17"/>
        <a:srcRect b="11570"/>
        <a:stretch/>
      </xdr:blipFill>
      <xdr:spPr>
        <a:xfrm>
          <a:off x="5601607" y="28178125"/>
          <a:ext cx="1307951" cy="1156607"/>
        </a:xfrm>
        <a:prstGeom prst="rect">
          <a:avLst/>
        </a:prstGeom>
      </xdr:spPr>
    </xdr:pic>
    <xdr:clientData/>
  </xdr:twoCellAnchor>
  <xdr:twoCellAnchor editAs="oneCell">
    <xdr:from>
      <xdr:col>5</xdr:col>
      <xdr:colOff>124732</xdr:colOff>
      <xdr:row>113</xdr:row>
      <xdr:rowOff>260803</xdr:rowOff>
    </xdr:from>
    <xdr:to>
      <xdr:col>5</xdr:col>
      <xdr:colOff>1374465</xdr:colOff>
      <xdr:row>113</xdr:row>
      <xdr:rowOff>1520061</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8"/>
        <a:stretch>
          <a:fillRect/>
        </a:stretch>
      </xdr:blipFill>
      <xdr:spPr>
        <a:xfrm>
          <a:off x="7177768" y="28178124"/>
          <a:ext cx="1257353" cy="1257353"/>
        </a:xfrm>
        <a:prstGeom prst="rect">
          <a:avLst/>
        </a:prstGeom>
      </xdr:spPr>
    </xdr:pic>
    <xdr:clientData/>
  </xdr:twoCellAnchor>
  <xdr:twoCellAnchor editAs="oneCell">
    <xdr:from>
      <xdr:col>6</xdr:col>
      <xdr:colOff>45358</xdr:colOff>
      <xdr:row>113</xdr:row>
      <xdr:rowOff>306160</xdr:rowOff>
    </xdr:from>
    <xdr:to>
      <xdr:col>6</xdr:col>
      <xdr:colOff>1409548</xdr:colOff>
      <xdr:row>113</xdr:row>
      <xdr:rowOff>1363306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9"/>
        <a:stretch>
          <a:fillRect/>
        </a:stretch>
      </xdr:blipFill>
      <xdr:spPr>
        <a:xfrm>
          <a:off x="8515804" y="28223481"/>
          <a:ext cx="1364190" cy="1041906"/>
        </a:xfrm>
        <a:prstGeom prst="rect">
          <a:avLst/>
        </a:prstGeom>
      </xdr:spPr>
    </xdr:pic>
    <xdr:clientData/>
  </xdr:twoCellAnchor>
  <xdr:twoCellAnchor editAs="oneCell">
    <xdr:from>
      <xdr:col>7</xdr:col>
      <xdr:colOff>136071</xdr:colOff>
      <xdr:row>113</xdr:row>
      <xdr:rowOff>340179</xdr:rowOff>
    </xdr:from>
    <xdr:to>
      <xdr:col>7</xdr:col>
      <xdr:colOff>1216165</xdr:colOff>
      <xdr:row>113</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20"/>
        <a:stretch>
          <a:fillRect/>
        </a:stretch>
      </xdr:blipFill>
      <xdr:spPr>
        <a:xfrm>
          <a:off x="10023928" y="28257500"/>
          <a:ext cx="1074379" cy="1069826"/>
        </a:xfrm>
        <a:prstGeom prst="rect">
          <a:avLst/>
        </a:prstGeom>
      </xdr:spPr>
    </xdr:pic>
    <xdr:clientData/>
  </xdr:twoCellAnchor>
  <xdr:twoCellAnchor editAs="oneCell">
    <xdr:from>
      <xdr:col>8</xdr:col>
      <xdr:colOff>170089</xdr:colOff>
      <xdr:row>113</xdr:row>
      <xdr:rowOff>238125</xdr:rowOff>
    </xdr:from>
    <xdr:to>
      <xdr:col>8</xdr:col>
      <xdr:colOff>1261072</xdr:colOff>
      <xdr:row>113</xdr:row>
      <xdr:rowOff>1444114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21"/>
        <a:stretch>
          <a:fillRect/>
        </a:stretch>
      </xdr:blipFill>
      <xdr:spPr>
        <a:xfrm>
          <a:off x="11475357" y="28155446"/>
          <a:ext cx="1098603" cy="1194559"/>
        </a:xfrm>
        <a:prstGeom prst="rect">
          <a:avLst/>
        </a:prstGeom>
      </xdr:spPr>
    </xdr:pic>
    <xdr:clientData/>
  </xdr:twoCellAnchor>
  <xdr:twoCellAnchor editAs="oneCell">
    <xdr:from>
      <xdr:col>9</xdr:col>
      <xdr:colOff>22679</xdr:colOff>
      <xdr:row>113</xdr:row>
      <xdr:rowOff>260803</xdr:rowOff>
    </xdr:from>
    <xdr:to>
      <xdr:col>9</xdr:col>
      <xdr:colOff>1257353</xdr:colOff>
      <xdr:row>113</xdr:row>
      <xdr:rowOff>1489762</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22"/>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113</xdr:row>
      <xdr:rowOff>385650</xdr:rowOff>
    </xdr:from>
    <xdr:to>
      <xdr:col>10</xdr:col>
      <xdr:colOff>952500</xdr:colOff>
      <xdr:row>113</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603249</xdr:colOff>
      <xdr:row>3</xdr:row>
      <xdr:rowOff>244436</xdr:rowOff>
    </xdr:from>
    <xdr:ext cx="1608667" cy="697479"/>
    <xdr:pic macro="[0]!OPENEYE">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9</xdr:col>
      <xdr:colOff>238125</xdr:colOff>
      <xdr:row>0</xdr:row>
      <xdr:rowOff>68036</xdr:rowOff>
    </xdr:from>
    <xdr:to>
      <xdr:col>10</xdr:col>
      <xdr:colOff>239068</xdr:colOff>
      <xdr:row>0</xdr:row>
      <xdr:rowOff>340179</xdr:rowOff>
    </xdr:to>
    <xdr:sp macro="[0]!MaXimOptimism" textlink="">
      <xdr:nvSpPr>
        <xdr:cNvPr id="46" name="Rectángulo: esquinas redondeadas 45">
          <a:extLst>
            <a:ext uri="{FF2B5EF4-FFF2-40B4-BE49-F238E27FC236}">
              <a16:creationId xmlns:a16="http://schemas.microsoft.com/office/drawing/2014/main" id="{E6D81BF8-4CC9-4AED-8893-A4869264CF37}"/>
            </a:ext>
          </a:extLst>
        </xdr:cNvPr>
        <xdr:cNvSpPr/>
      </xdr:nvSpPr>
      <xdr:spPr>
        <a:xfrm>
          <a:off x="12960804" y="68036"/>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OPTIMIZALO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1266512</xdr:colOff>
      <xdr:row>7</xdr:row>
      <xdr:rowOff>167473</xdr:rowOff>
    </xdr:from>
    <xdr:to>
      <xdr:col>1</xdr:col>
      <xdr:colOff>1890914</xdr:colOff>
      <xdr:row>8</xdr:row>
      <xdr:rowOff>177940</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66512" y="1800330"/>
          <a:ext cx="2257259" cy="21980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tabSelected="1"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356</v>
      </c>
      <c r="G6" s="172"/>
      <c r="H6" s="172"/>
      <c r="I6" s="172"/>
      <c r="J6" s="172"/>
    </row>
    <row r="7" spans="2:12" x14ac:dyDescent="0.3"/>
    <row r="8" spans="2:12" ht="17.25" customHeight="1" x14ac:dyDescent="0.3">
      <c r="H8" s="383" t="s">
        <v>357</v>
      </c>
      <c r="I8" s="383"/>
      <c r="J8" s="383"/>
      <c r="K8" s="383"/>
      <c r="L8" s="383"/>
    </row>
    <row r="9" spans="2:12" ht="16.5" customHeight="1" x14ac:dyDescent="0.3">
      <c r="H9" s="383"/>
      <c r="I9" s="383"/>
      <c r="J9" s="383"/>
      <c r="K9" s="383"/>
      <c r="L9" s="383"/>
    </row>
    <row r="10" spans="2:12" ht="16.5" customHeight="1" x14ac:dyDescent="0.3">
      <c r="H10" s="383"/>
      <c r="I10" s="383"/>
      <c r="J10" s="383"/>
      <c r="K10" s="383"/>
      <c r="L10" s="383"/>
    </row>
    <row r="11" spans="2:12" ht="16.5" customHeight="1" x14ac:dyDescent="0.3">
      <c r="H11" s="383"/>
      <c r="I11" s="383"/>
      <c r="J11" s="383"/>
      <c r="K11" s="383"/>
      <c r="L11" s="383"/>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43"/>
  <sheetViews>
    <sheetView showGridLines="0" showRowColHeaders="0" zoomScale="78" zoomScaleNormal="78" zoomScaleSheetLayoutView="93" workbookViewId="0">
      <pane ySplit="10" topLeftCell="A240" activePane="bottomLeft" state="frozen"/>
      <selection pane="bottomLeft" activeCell="E265" sqref="E265"/>
    </sheetView>
  </sheetViews>
  <sheetFormatPr baseColWidth="10" defaultColWidth="0" defaultRowHeight="16.5" customHeight="1" zero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300" t="s">
        <v>242</v>
      </c>
      <c r="C1" s="51" t="s">
        <v>245</v>
      </c>
      <c r="D1" s="300" t="s">
        <v>78</v>
      </c>
      <c r="E1" s="300" t="s">
        <v>257</v>
      </c>
      <c r="F1" s="300" t="s">
        <v>243</v>
      </c>
      <c r="G1" s="51" t="s">
        <v>249</v>
      </c>
      <c r="H1" s="46"/>
      <c r="I1" s="176"/>
      <c r="J1" s="177"/>
      <c r="K1" s="175"/>
      <c r="L1" s="17"/>
    </row>
    <row r="2" spans="1:14" ht="20.100000000000001" customHeight="1" x14ac:dyDescent="0.3">
      <c r="A2" s="238" t="s">
        <v>388</v>
      </c>
      <c r="B2" s="188"/>
      <c r="C2" s="188"/>
      <c r="D2" s="188"/>
      <c r="E2" s="188"/>
      <c r="F2" s="188"/>
      <c r="G2" s="188"/>
      <c r="H2" s="188"/>
      <c r="I2" s="188"/>
      <c r="J2" s="188"/>
      <c r="K2" s="188"/>
      <c r="L2" s="188"/>
    </row>
    <row r="3" spans="1:14" ht="15" customHeight="1" x14ac:dyDescent="0.3">
      <c r="A3" s="403" t="str">
        <f>IF(C421=0,"Por Definir",INDEX(B422:B427,C421,1))</f>
        <v>Por Definir</v>
      </c>
      <c r="B3" s="403"/>
      <c r="C3" s="226" t="s">
        <v>206</v>
      </c>
      <c r="D3" s="224" t="s">
        <v>207</v>
      </c>
      <c r="E3" s="224" t="s">
        <v>373</v>
      </c>
      <c r="F3" s="407" t="s">
        <v>379</v>
      </c>
      <c r="G3" s="407"/>
      <c r="H3" s="188"/>
      <c r="I3" s="188"/>
      <c r="J3" s="64"/>
      <c r="K3" s="64"/>
      <c r="L3" s="64"/>
    </row>
    <row r="4" spans="1:14" ht="24.95" customHeight="1" x14ac:dyDescent="0.3">
      <c r="A4" s="403"/>
      <c r="B4" s="403"/>
      <c r="C4" s="214" t="s">
        <v>371</v>
      </c>
      <c r="D4" s="252" t="s">
        <v>366</v>
      </c>
      <c r="E4" s="253" t="s">
        <v>367</v>
      </c>
      <c r="F4" s="254" t="s">
        <v>359</v>
      </c>
      <c r="G4" s="248"/>
      <c r="H4" s="188"/>
      <c r="I4" s="188"/>
      <c r="J4" s="54"/>
      <c r="K4" s="54"/>
      <c r="L4" s="64"/>
    </row>
    <row r="5" spans="1:14" ht="20.100000000000001" customHeight="1" x14ac:dyDescent="0.3">
      <c r="A5" s="182"/>
      <c r="B5" s="404" t="str">
        <f>IF(D31=B352,"24","36")</f>
        <v>24</v>
      </c>
      <c r="C5" s="213">
        <f>J459</f>
        <v>0</v>
      </c>
      <c r="D5" s="212">
        <f>I497</f>
        <v>0</v>
      </c>
      <c r="E5" s="222">
        <f>I500</f>
        <v>0</v>
      </c>
      <c r="F5" s="408">
        <f>I504</f>
        <v>0</v>
      </c>
      <c r="G5" s="408"/>
      <c r="H5" s="188"/>
      <c r="I5" s="251">
        <f>F5</f>
        <v>0</v>
      </c>
      <c r="J5" s="54"/>
      <c r="K5" s="54"/>
      <c r="L5" s="64"/>
    </row>
    <row r="6" spans="1:14" ht="20.100000000000001" customHeight="1" x14ac:dyDescent="0.3">
      <c r="A6" s="54"/>
      <c r="B6" s="404"/>
      <c r="C6" s="215" t="s">
        <v>358</v>
      </c>
      <c r="D6" s="216" t="s">
        <v>358</v>
      </c>
      <c r="E6" s="223" t="s">
        <v>358</v>
      </c>
      <c r="F6" s="408"/>
      <c r="G6" s="408"/>
      <c r="H6" s="233"/>
      <c r="I6" s="188"/>
      <c r="J6" s="54"/>
      <c r="K6" s="54"/>
      <c r="L6" s="64"/>
    </row>
    <row r="7" spans="1:14" ht="15" customHeight="1" x14ac:dyDescent="0.8">
      <c r="A7" s="54"/>
      <c r="B7" s="217"/>
      <c r="C7" s="217"/>
      <c r="D7" s="217"/>
      <c r="E7" s="217"/>
      <c r="F7" s="217"/>
      <c r="G7" s="364" t="s">
        <v>358</v>
      </c>
      <c r="H7" s="64"/>
      <c r="I7" s="187"/>
      <c r="J7" s="54"/>
      <c r="K7" s="54"/>
      <c r="L7" s="64"/>
    </row>
    <row r="8" spans="1:14" ht="15" customHeight="1" x14ac:dyDescent="0.3">
      <c r="A8" s="54"/>
      <c r="B8" s="405">
        <f>C366+IF(C369&gt;0,C367,0)</f>
        <v>0</v>
      </c>
      <c r="C8" s="225" t="s">
        <v>360</v>
      </c>
      <c r="D8" s="183"/>
      <c r="E8" s="255" t="s">
        <v>380</v>
      </c>
      <c r="F8" s="255" t="s">
        <v>381</v>
      </c>
      <c r="G8" s="64"/>
      <c r="H8" s="64"/>
      <c r="I8" s="186"/>
      <c r="J8" s="54"/>
      <c r="K8" s="54"/>
      <c r="L8" s="64"/>
    </row>
    <row r="9" spans="1:14" ht="24.95" customHeight="1" x14ac:dyDescent="0.3">
      <c r="A9" s="54"/>
      <c r="B9" s="405"/>
      <c r="C9" s="181"/>
      <c r="D9" s="181">
        <f>IF(ISERROR(I505),0,I505)</f>
        <v>0</v>
      </c>
      <c r="E9" s="183">
        <f>IF(ISERROR($I$436),0,$I$436)</f>
        <v>0</v>
      </c>
      <c r="F9" s="191">
        <f>K429</f>
        <v>0</v>
      </c>
      <c r="G9" s="64"/>
      <c r="H9" s="64"/>
      <c r="I9" s="64" t="s">
        <v>501</v>
      </c>
      <c r="J9" s="54"/>
      <c r="K9" s="54"/>
      <c r="L9" s="64"/>
    </row>
    <row r="10" spans="1:14" ht="24.95" hidden="1" customHeight="1" x14ac:dyDescent="0.3">
      <c r="A10" s="54"/>
      <c r="B10" s="405"/>
      <c r="C10" s="181"/>
      <c r="D10" s="190" t="str">
        <f>" Mesual / "&amp;IF(VALIDADOR_INIMBUSESP,I48,B8)&amp;"Ext"</f>
        <v xml:space="preserve"> Mesual / 0Ext</v>
      </c>
      <c r="E10" s="190" t="str">
        <f>D10</f>
        <v xml:space="preserve"> Mesual / 0Ext</v>
      </c>
      <c r="F10" s="190" t="str">
        <f>E10</f>
        <v xml:space="preserve"> Mesual / 0Ext</v>
      </c>
      <c r="G10" s="185"/>
      <c r="H10" s="64"/>
      <c r="I10" s="54"/>
      <c r="J10" s="54"/>
      <c r="K10" s="54"/>
      <c r="L10" s="68"/>
    </row>
    <row r="11" spans="1:14" ht="20.100000000000001" hidden="1" customHeight="1" x14ac:dyDescent="0.3">
      <c r="A11" s="238" t="s">
        <v>264</v>
      </c>
      <c r="B11" s="239"/>
      <c r="C11" s="240"/>
      <c r="D11" s="241" t="s">
        <v>383</v>
      </c>
      <c r="E11" s="240"/>
      <c r="F11" s="239"/>
      <c r="G11" s="241" t="s">
        <v>384</v>
      </c>
      <c r="H11" s="239"/>
      <c r="I11" s="54"/>
      <c r="J11" s="247" t="s">
        <v>468</v>
      </c>
      <c r="K11" s="250" t="s">
        <v>382</v>
      </c>
      <c r="L11" s="242"/>
      <c r="M11" s="5"/>
      <c r="N11" s="189"/>
    </row>
    <row r="12" spans="1:14" ht="15" hidden="1"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hidden="1" customHeight="1" x14ac:dyDescent="0.3">
      <c r="A13" s="54"/>
      <c r="B13" s="219">
        <v>1</v>
      </c>
      <c r="C13" s="249" t="s">
        <v>375</v>
      </c>
      <c r="D13" s="220">
        <f>I446</f>
        <v>0</v>
      </c>
      <c r="E13" s="219">
        <v>0.12</v>
      </c>
      <c r="F13" s="171" t="s">
        <v>554</v>
      </c>
      <c r="G13" s="231">
        <f>(I478+J486)*$E$13</f>
        <v>0</v>
      </c>
      <c r="H13" s="386">
        <v>0.5</v>
      </c>
      <c r="I13" s="385" t="s">
        <v>387</v>
      </c>
      <c r="J13" s="384">
        <f>C5*50%</f>
        <v>0</v>
      </c>
      <c r="K13" s="54"/>
      <c r="L13" s="68"/>
    </row>
    <row r="14" spans="1:14" ht="20.100000000000001" hidden="1" customHeight="1" x14ac:dyDescent="0.3">
      <c r="A14" s="54"/>
      <c r="B14" s="219">
        <v>1</v>
      </c>
      <c r="C14" s="249" t="s">
        <v>374</v>
      </c>
      <c r="D14" s="220">
        <f>I449+I450</f>
        <v>0</v>
      </c>
      <c r="E14" s="64"/>
      <c r="F14" s="64"/>
      <c r="G14" s="64"/>
      <c r="H14" s="387"/>
      <c r="I14" s="385"/>
      <c r="J14" s="384"/>
      <c r="K14" s="221" t="s">
        <v>358</v>
      </c>
      <c r="L14" s="68"/>
    </row>
    <row r="15" spans="1:14" ht="20.100000000000001" hidden="1" customHeight="1" x14ac:dyDescent="0.3">
      <c r="A15" s="54"/>
      <c r="B15" s="219">
        <v>1</v>
      </c>
      <c r="C15" s="249" t="s">
        <v>386</v>
      </c>
      <c r="D15" s="228">
        <f>I451+I452+I453+I454</f>
        <v>0</v>
      </c>
      <c r="E15" s="219">
        <v>0.1</v>
      </c>
      <c r="F15" s="171" t="s">
        <v>385</v>
      </c>
      <c r="G15" s="232">
        <f>I500*10%</f>
        <v>0</v>
      </c>
      <c r="H15" s="192"/>
      <c r="I15" s="370" t="str">
        <f>"+Total Recurrente"</f>
        <v>+Total Recurrente</v>
      </c>
      <c r="J15" s="371">
        <f>G16</f>
        <v>0</v>
      </c>
      <c r="K15" s="370" t="s">
        <v>358</v>
      </c>
      <c r="L15" s="68"/>
    </row>
    <row r="16" spans="1:14" ht="24.95" hidden="1" customHeight="1" x14ac:dyDescent="0.3">
      <c r="A16" s="54"/>
      <c r="B16" s="243"/>
      <c r="C16" s="244" t="s">
        <v>377</v>
      </c>
      <c r="D16" s="229">
        <f>I456</f>
        <v>0</v>
      </c>
      <c r="E16" s="64"/>
      <c r="F16" s="65" t="s">
        <v>378</v>
      </c>
      <c r="G16" s="245">
        <f>G15+G13</f>
        <v>0</v>
      </c>
      <c r="H16" s="233" t="s">
        <v>358</v>
      </c>
      <c r="I16" s="246">
        <f>J16</f>
        <v>0</v>
      </c>
      <c r="J16" s="372">
        <f>J13+J15</f>
        <v>0</v>
      </c>
      <c r="K16" s="246">
        <f>J16</f>
        <v>0</v>
      </c>
      <c r="L16" s="68"/>
    </row>
    <row r="17" spans="1:13" ht="24.95" hidden="1" customHeight="1" thickBot="1" x14ac:dyDescent="0.35">
      <c r="A17" s="54"/>
      <c r="B17" s="374">
        <v>0.45</v>
      </c>
      <c r="C17" s="218" t="s">
        <v>365</v>
      </c>
      <c r="D17" s="230">
        <f>I434*B17</f>
        <v>0</v>
      </c>
      <c r="E17" s="64" t="str">
        <f>"+"</f>
        <v>+</v>
      </c>
      <c r="F17" s="64"/>
      <c r="G17" s="237" t="str">
        <f>" X "&amp;B5&amp; "   "</f>
        <v xml:space="preserve"> X 24   </v>
      </c>
      <c r="H17" s="233" t="s">
        <v>376</v>
      </c>
      <c r="I17" s="237" t="str">
        <f>" X "&amp;36-B5&amp; "   "</f>
        <v xml:space="preserve"> X 12   </v>
      </c>
      <c r="J17" s="233" t="s">
        <v>376</v>
      </c>
      <c r="K17" s="237" t="str">
        <f>" X "&amp;48-B5&amp; "   "</f>
        <v xml:space="preserve"> X 24   </v>
      </c>
      <c r="L17" s="233" t="s">
        <v>376</v>
      </c>
    </row>
    <row r="18" spans="1:13" ht="9.9499999999999993" hidden="1" customHeight="1" thickTop="1" x14ac:dyDescent="0.3">
      <c r="A18" s="54"/>
      <c r="B18" s="219"/>
      <c r="C18" s="67"/>
      <c r="D18" s="220"/>
      <c r="E18" s="190"/>
      <c r="F18" s="227"/>
      <c r="G18" s="64"/>
      <c r="H18" s="192"/>
      <c r="I18" s="68"/>
      <c r="J18" s="190"/>
      <c r="K18" s="68"/>
      <c r="L18" s="68"/>
    </row>
    <row r="19" spans="1:13" ht="15" hidden="1" customHeight="1" x14ac:dyDescent="0.3">
      <c r="A19" s="66"/>
      <c r="B19" s="389" t="str">
        <f>"(A)"</f>
        <v>(A)</v>
      </c>
      <c r="C19" s="409">
        <f>(D16+D17)</f>
        <v>0</v>
      </c>
      <c r="D19" s="409"/>
      <c r="E19" s="389" t="str">
        <f>"(B)"</f>
        <v>(B)</v>
      </c>
      <c r="F19" s="390">
        <f>(IF(D31=B352,24,36))*G16</f>
        <v>0</v>
      </c>
      <c r="G19" s="390"/>
      <c r="H19" s="389" t="str">
        <f>"(C)"</f>
        <v>(C)</v>
      </c>
      <c r="I19" s="390">
        <f>J13*(36-B5)</f>
        <v>0</v>
      </c>
      <c r="J19" s="389" t="str">
        <f>"(D)"</f>
        <v>(D)</v>
      </c>
      <c r="K19" s="390">
        <f>J13*(48-B5)</f>
        <v>0</v>
      </c>
      <c r="L19" s="68"/>
      <c r="M19" s="5"/>
    </row>
    <row r="20" spans="1:13" ht="15" hidden="1" customHeight="1" x14ac:dyDescent="0.3">
      <c r="A20" s="194"/>
      <c r="B20" s="389"/>
      <c r="C20" s="409"/>
      <c r="D20" s="409"/>
      <c r="E20" s="389"/>
      <c r="F20" s="390"/>
      <c r="G20" s="390"/>
      <c r="H20" s="389"/>
      <c r="I20" s="390"/>
      <c r="J20" s="389"/>
      <c r="K20" s="390"/>
      <c r="L20" s="68"/>
      <c r="M20" s="5"/>
    </row>
    <row r="21" spans="1:13" ht="24.95" hidden="1" customHeight="1" x14ac:dyDescent="0.3">
      <c r="A21" s="54"/>
      <c r="B21" s="219"/>
      <c r="C21" s="67"/>
      <c r="D21" s="221" t="str">
        <f>"Ingreso Unico al comienzo"</f>
        <v>Ingreso Unico al comienzo</v>
      </c>
      <c r="E21" s="190"/>
      <c r="F21" s="227"/>
      <c r="G21" s="221" t="str">
        <f>"Ingreso Total Después de "&amp;B5&amp;"meses"</f>
        <v>Ingreso Total Después de 24meses</v>
      </c>
      <c r="H21" s="64"/>
      <c r="I21" s="221" t="str">
        <f>"Ingreso Adicional"</f>
        <v>Ingreso Adicional</v>
      </c>
      <c r="J21" s="68"/>
      <c r="K21" s="221" t="str">
        <f>"Ingreso Adicional"</f>
        <v>Ingreso Adicional</v>
      </c>
      <c r="L21" s="68"/>
    </row>
    <row r="22" spans="1:13" ht="24.95" hidden="1" customHeight="1" x14ac:dyDescent="0.3">
      <c r="A22" s="54"/>
      <c r="B22" s="219"/>
      <c r="C22" s="234"/>
      <c r="D22" s="234"/>
      <c r="E22" s="236" t="s">
        <v>372</v>
      </c>
      <c r="F22" s="410">
        <f>F19+C19</f>
        <v>0</v>
      </c>
      <c r="G22" s="410"/>
      <c r="H22" s="235" t="str">
        <f>"(A)+(B)+(C)"</f>
        <v>(A)+(B)+(C)</v>
      </c>
      <c r="I22" s="392">
        <f>I19+F22</f>
        <v>0</v>
      </c>
      <c r="J22" s="235" t="str">
        <f>"(A)+(B)+(D)"</f>
        <v>(A)+(B)+(D)</v>
      </c>
      <c r="K22" s="393">
        <f>F22+K19</f>
        <v>0</v>
      </c>
      <c r="L22" s="68"/>
    </row>
    <row r="23" spans="1:13" ht="24.95" hidden="1" customHeight="1" x14ac:dyDescent="0.3">
      <c r="A23" s="194"/>
      <c r="B23" s="69"/>
      <c r="C23" s="64"/>
      <c r="D23" s="64"/>
      <c r="E23" s="64"/>
      <c r="F23" s="410"/>
      <c r="G23" s="410"/>
      <c r="H23" s="357" t="s">
        <v>529</v>
      </c>
      <c r="I23" s="392"/>
      <c r="J23" s="68"/>
      <c r="K23" s="393"/>
      <c r="L23" s="68"/>
    </row>
    <row r="24" spans="1:13" ht="24.95" hidden="1" customHeight="1" x14ac:dyDescent="0.3">
      <c r="A24" s="54"/>
      <c r="B24" s="69"/>
      <c r="C24" s="64"/>
      <c r="D24" s="64"/>
      <c r="E24" s="64"/>
      <c r="F24" s="64"/>
      <c r="G24" s="221" t="str">
        <f>G21</f>
        <v>Ingreso Total Después de 24meses</v>
      </c>
      <c r="H24" s="193"/>
      <c r="I24" s="221" t="str">
        <f>"Ingreso Después de "&amp;(36)&amp;"meses"</f>
        <v>Ingreso Después de 36meses</v>
      </c>
      <c r="J24" s="68"/>
      <c r="K24" s="221" t="str">
        <f>"Ingreso Después de "&amp;(48)&amp;"meses"</f>
        <v>Ingreso Después de 48meses</v>
      </c>
      <c r="L24" s="64"/>
    </row>
    <row r="25" spans="1:13" ht="24.95" hidden="1" customHeight="1" x14ac:dyDescent="0.3">
      <c r="A25" s="64"/>
      <c r="B25" s="64"/>
      <c r="C25" s="195"/>
      <c r="D25" s="195"/>
      <c r="E25" s="195"/>
      <c r="F25" s="195"/>
      <c r="G25" s="195"/>
      <c r="H25" s="195"/>
      <c r="I25" s="64"/>
      <c r="J25" s="64"/>
      <c r="K25" s="64"/>
      <c r="L25" s="64"/>
    </row>
    <row r="26" spans="1:13" ht="24.95" hidden="1" customHeight="1" x14ac:dyDescent="0.3">
      <c r="A26" s="54"/>
      <c r="B26" s="69"/>
      <c r="C26" s="64"/>
      <c r="D26" s="64"/>
      <c r="E26" s="64"/>
      <c r="F26" s="190"/>
      <c r="G26" s="64"/>
      <c r="H26" s="64"/>
      <c r="I26" s="64"/>
      <c r="J26" s="64"/>
      <c r="K26" s="64"/>
      <c r="L26" s="64"/>
    </row>
    <row r="27" spans="1:13" ht="24.95" customHeight="1" x14ac:dyDescent="0.3">
      <c r="A27" s="54"/>
      <c r="B27" s="69"/>
      <c r="C27" s="64"/>
      <c r="D27" s="64"/>
      <c r="E27" s="64"/>
      <c r="F27" s="190"/>
      <c r="G27" s="190" t="str">
        <f>G21</f>
        <v>Ingreso Total Después de 24meses</v>
      </c>
      <c r="H27" s="64"/>
      <c r="I27" s="64"/>
      <c r="J27" s="64"/>
      <c r="K27" s="64"/>
      <c r="L27" s="64"/>
    </row>
    <row r="28" spans="1:13" ht="42" customHeight="1" x14ac:dyDescent="0.3">
      <c r="A28" s="54"/>
      <c r="B28" s="69"/>
      <c r="C28" s="64"/>
      <c r="D28" s="64"/>
      <c r="E28" s="64"/>
      <c r="F28" s="64"/>
      <c r="G28" s="64"/>
      <c r="H28" s="64"/>
      <c r="I28" s="64"/>
      <c r="J28" s="64"/>
      <c r="K28" s="64"/>
      <c r="L28" s="64"/>
    </row>
    <row r="29" spans="1:13" ht="25.5" x14ac:dyDescent="0.35">
      <c r="A29" s="42">
        <v>1</v>
      </c>
      <c r="B29" s="72" t="s">
        <v>0</v>
      </c>
      <c r="E29" s="71"/>
      <c r="F29" s="74"/>
      <c r="G29" s="74"/>
      <c r="H29" s="74"/>
    </row>
    <row r="30" spans="1:13" ht="19.5" thickBot="1" x14ac:dyDescent="0.35">
      <c r="A30" s="43"/>
      <c r="B30" s="73"/>
      <c r="E30" s="74"/>
      <c r="F30" s="74"/>
      <c r="G30" s="74"/>
      <c r="H30" s="74"/>
    </row>
    <row r="31" spans="1:13" ht="20.100000000000001" customHeight="1" thickBot="1" x14ac:dyDescent="0.35">
      <c r="A31" s="44" t="s">
        <v>237</v>
      </c>
      <c r="B31" s="70" t="s">
        <v>558</v>
      </c>
      <c r="D31" s="285" t="s">
        <v>1</v>
      </c>
    </row>
    <row r="32" spans="1:13" ht="20.100000000000001" customHeight="1" x14ac:dyDescent="0.3">
      <c r="A32" s="43"/>
    </row>
    <row r="33" spans="1:9" ht="20.100000000000001" customHeight="1" x14ac:dyDescent="0.35">
      <c r="A33" s="42">
        <v>2</v>
      </c>
      <c r="B33" s="72" t="s">
        <v>238</v>
      </c>
      <c r="C33" s="75"/>
      <c r="D33" s="75" t="s">
        <v>584</v>
      </c>
    </row>
    <row r="34" spans="1:9" ht="20.100000000000001" customHeight="1" thickBot="1" x14ac:dyDescent="0.35">
      <c r="A34" s="43"/>
    </row>
    <row r="35" spans="1:9" ht="20.100000000000001" customHeight="1" thickBot="1" x14ac:dyDescent="0.35">
      <c r="A35" s="44" t="s">
        <v>239</v>
      </c>
      <c r="B35" s="70" t="s">
        <v>444</v>
      </c>
      <c r="C35" s="70"/>
      <c r="D35" s="286">
        <v>0</v>
      </c>
      <c r="I35" s="63"/>
    </row>
    <row r="36" spans="1:9" ht="20.100000000000001" customHeight="1" thickBot="1" x14ac:dyDescent="0.35">
      <c r="A36" s="43"/>
      <c r="C36" s="70"/>
      <c r="I36" s="63"/>
    </row>
    <row r="37" spans="1:9" ht="20.100000000000001" customHeight="1" thickBot="1" x14ac:dyDescent="0.35">
      <c r="A37" s="44" t="s">
        <v>3</v>
      </c>
      <c r="B37" s="70" t="s">
        <v>272</v>
      </c>
      <c r="C37" s="70"/>
      <c r="D37" s="286">
        <v>0</v>
      </c>
      <c r="I37" s="63"/>
    </row>
    <row r="38" spans="1:9" ht="20.100000000000001" customHeight="1" thickBot="1" x14ac:dyDescent="0.35">
      <c r="A38" s="43"/>
      <c r="C38" s="70"/>
      <c r="I38" s="63"/>
    </row>
    <row r="39" spans="1:9" ht="20.100000000000001" customHeight="1" thickBot="1" x14ac:dyDescent="0.35">
      <c r="A39" s="44" t="s">
        <v>6</v>
      </c>
      <c r="B39" s="76" t="s">
        <v>271</v>
      </c>
      <c r="C39" s="76"/>
      <c r="D39" s="287" t="s">
        <v>7</v>
      </c>
      <c r="I39" s="63"/>
    </row>
    <row r="40" spans="1:9" ht="20.100000000000001" customHeight="1" x14ac:dyDescent="0.3">
      <c r="A40" s="43"/>
      <c r="B40" s="77"/>
      <c r="C40" s="77"/>
      <c r="I40" s="63"/>
    </row>
    <row r="41" spans="1:9" ht="20.100000000000001" customHeight="1" x14ac:dyDescent="0.3">
      <c r="A41" s="43"/>
      <c r="F41" s="78" t="s">
        <v>250</v>
      </c>
      <c r="G41" s="78"/>
      <c r="H41" s="78"/>
    </row>
    <row r="42" spans="1:9" ht="20.100000000000001" customHeight="1" x14ac:dyDescent="0.3"/>
    <row r="43" spans="1:9" ht="18.75" x14ac:dyDescent="0.3">
      <c r="B43" s="79" t="s">
        <v>8</v>
      </c>
      <c r="C43" s="256" t="s">
        <v>9</v>
      </c>
      <c r="D43" s="80" t="s">
        <v>10</v>
      </c>
      <c r="E43" s="80" t="s">
        <v>11</v>
      </c>
      <c r="F43" s="80" t="s">
        <v>12</v>
      </c>
      <c r="G43" s="80" t="s">
        <v>13</v>
      </c>
      <c r="H43" s="80" t="s">
        <v>14</v>
      </c>
      <c r="I43" s="80" t="s">
        <v>353</v>
      </c>
    </row>
    <row r="44" spans="1:9" ht="18.75" x14ac:dyDescent="0.3">
      <c r="A44" s="391" t="s">
        <v>211</v>
      </c>
      <c r="B44" s="81" t="s">
        <v>389</v>
      </c>
      <c r="C44" s="257"/>
      <c r="D44" s="82"/>
      <c r="E44" s="82"/>
      <c r="F44" s="82"/>
      <c r="G44" s="82"/>
      <c r="H44" s="82"/>
      <c r="I44" s="82"/>
    </row>
    <row r="45" spans="1:9" ht="57" x14ac:dyDescent="0.3">
      <c r="A45" s="391"/>
      <c r="B45" s="83" t="s">
        <v>15</v>
      </c>
      <c r="C45" s="258" t="s">
        <v>16</v>
      </c>
      <c r="D45" s="84" t="s">
        <v>17</v>
      </c>
      <c r="E45" s="84" t="s">
        <v>18</v>
      </c>
      <c r="F45" s="84" t="s">
        <v>19</v>
      </c>
      <c r="G45" s="84" t="s">
        <v>20</v>
      </c>
      <c r="H45" s="84" t="s">
        <v>21</v>
      </c>
      <c r="I45" s="356" t="s">
        <v>557</v>
      </c>
    </row>
    <row r="46" spans="1:9" x14ac:dyDescent="0.3">
      <c r="A46" s="391"/>
      <c r="B46" s="70" t="s">
        <v>2</v>
      </c>
      <c r="C46" s="259">
        <v>2</v>
      </c>
      <c r="D46" s="85">
        <v>3</v>
      </c>
      <c r="E46" s="85">
        <v>4</v>
      </c>
      <c r="F46" s="85">
        <v>6</v>
      </c>
      <c r="G46" s="85">
        <v>8</v>
      </c>
      <c r="H46" s="85">
        <v>12</v>
      </c>
      <c r="I46" s="90">
        <f>D35</f>
        <v>0</v>
      </c>
    </row>
    <row r="47" spans="1:9" x14ac:dyDescent="0.3">
      <c r="A47" s="391"/>
      <c r="B47" s="70" t="s">
        <v>439</v>
      </c>
      <c r="C47" s="259">
        <v>4</v>
      </c>
      <c r="D47" s="85">
        <v>4</v>
      </c>
      <c r="E47" s="85">
        <v>6</v>
      </c>
      <c r="F47" s="85">
        <v>6</v>
      </c>
      <c r="G47" s="85">
        <v>6</v>
      </c>
      <c r="H47" s="85">
        <v>6</v>
      </c>
      <c r="I47" s="277">
        <v>0</v>
      </c>
    </row>
    <row r="48" spans="1:9" x14ac:dyDescent="0.3">
      <c r="A48" s="391"/>
      <c r="B48" s="86" t="s">
        <v>4</v>
      </c>
      <c r="C48" s="260">
        <v>8</v>
      </c>
      <c r="D48" s="87">
        <v>12</v>
      </c>
      <c r="E48" s="87">
        <v>16</v>
      </c>
      <c r="F48" s="87">
        <v>24</v>
      </c>
      <c r="G48" s="87">
        <v>32</v>
      </c>
      <c r="H48" s="87">
        <v>48</v>
      </c>
      <c r="I48" s="278">
        <v>0</v>
      </c>
    </row>
    <row r="49" spans="1:9" x14ac:dyDescent="0.3">
      <c r="A49" s="391"/>
      <c r="B49" s="86" t="s">
        <v>429</v>
      </c>
      <c r="C49" s="260">
        <v>8</v>
      </c>
      <c r="D49" s="87">
        <v>8</v>
      </c>
      <c r="E49" s="87">
        <v>16</v>
      </c>
      <c r="F49" s="87">
        <v>16</v>
      </c>
      <c r="G49" s="87">
        <v>16</v>
      </c>
      <c r="H49" s="87">
        <v>16</v>
      </c>
      <c r="I49" s="278">
        <v>0</v>
      </c>
    </row>
    <row r="50" spans="1:9" x14ac:dyDescent="0.3">
      <c r="A50" s="391"/>
      <c r="B50" s="70" t="s">
        <v>22</v>
      </c>
      <c r="C50" s="259">
        <v>1</v>
      </c>
      <c r="D50" s="85">
        <v>1</v>
      </c>
      <c r="E50" s="85">
        <v>2</v>
      </c>
      <c r="F50" s="85">
        <v>2</v>
      </c>
      <c r="G50" s="85">
        <v>2</v>
      </c>
      <c r="H50" s="85">
        <v>2</v>
      </c>
      <c r="I50" s="279">
        <v>0</v>
      </c>
    </row>
    <row r="51" spans="1:9" x14ac:dyDescent="0.3">
      <c r="A51" s="391"/>
      <c r="B51" s="86" t="s">
        <v>137</v>
      </c>
      <c r="C51" s="260" t="s">
        <v>136</v>
      </c>
      <c r="D51" s="87" t="s">
        <v>136</v>
      </c>
      <c r="E51" s="87" t="s">
        <v>136</v>
      </c>
      <c r="F51" s="87" t="s">
        <v>136</v>
      </c>
      <c r="G51" s="87" t="s">
        <v>136</v>
      </c>
      <c r="H51" s="87" t="s">
        <v>136</v>
      </c>
      <c r="I51" s="87" t="s">
        <v>136</v>
      </c>
    </row>
    <row r="52" spans="1:9" ht="33" x14ac:dyDescent="0.3">
      <c r="A52" s="391"/>
      <c r="B52" s="88" t="s">
        <v>134</v>
      </c>
      <c r="C52" s="261" t="str">
        <f>TEXT(M422,"#0,00 €")</f>
        <v>2,66 €</v>
      </c>
      <c r="D52" s="89" t="str">
        <f>TEXT(M423,"#0,00 €")</f>
        <v>1,77 €</v>
      </c>
      <c r="E52" s="89" t="str">
        <f>TEXT(M424,"#0,00 €")</f>
        <v>4,18 €</v>
      </c>
      <c r="F52" s="89" t="str">
        <f>TEXT(M425,"#0,00 €")</f>
        <v>3,21 €</v>
      </c>
      <c r="G52" s="89" t="str">
        <f>TEXT(M426,"#0,00 €")</f>
        <v>2,74 €</v>
      </c>
      <c r="H52" s="89" t="str">
        <f>TEXT(M427,"#0,00 €")</f>
        <v>2,27 €</v>
      </c>
      <c r="I52" s="89" t="str">
        <f>TEXT(IF(I48=0,0,N428),"#0,00 €")</f>
        <v>0,00 €</v>
      </c>
    </row>
    <row r="53" spans="1:9" ht="18" x14ac:dyDescent="0.3">
      <c r="A53" s="391"/>
      <c r="B53" s="86" t="s">
        <v>354</v>
      </c>
      <c r="C53" s="262"/>
      <c r="D53" s="86"/>
      <c r="E53" s="86"/>
      <c r="F53" s="86"/>
      <c r="G53" s="86"/>
      <c r="H53" s="86"/>
      <c r="I53" s="280">
        <v>0</v>
      </c>
    </row>
    <row r="54" spans="1:9" x14ac:dyDescent="0.3">
      <c r="A54" s="391"/>
      <c r="C54" s="259"/>
      <c r="D54" s="85"/>
      <c r="E54" s="85"/>
      <c r="F54" s="85"/>
      <c r="G54" s="85"/>
      <c r="H54" s="85"/>
      <c r="I54" s="85"/>
    </row>
    <row r="55" spans="1:9" x14ac:dyDescent="0.3">
      <c r="A55" s="391"/>
      <c r="B55" s="86" t="s">
        <v>23</v>
      </c>
      <c r="C55" s="260" t="str">
        <f>IF($D$39=$B$358,"No Incluído","1 x KX-HDV230")</f>
        <v>1 x KX-HDV230</v>
      </c>
      <c r="D55" s="87" t="str">
        <f>IF($D$39=$B$358,"No Incluído","1 x KX-HDV230")</f>
        <v>1 x KX-HDV230</v>
      </c>
      <c r="E55" s="87" t="str">
        <f>IF($D$39=$B$358,"No Incluído","1 x KX-NT553")</f>
        <v>1 x KX-NT553</v>
      </c>
      <c r="F55" s="87" t="str">
        <f>IF($D$39=$B$358,"No Incluído","1 x KX-NT553")</f>
        <v>1 x KX-NT553</v>
      </c>
      <c r="G55" s="87" t="str">
        <f>IF($D$39=$B$358,"No Incluído","1 x KX-NT553")</f>
        <v>1 x KX-NT553</v>
      </c>
      <c r="H55" s="87" t="str">
        <f>IF($D$39=$B$358,"No Incluído","1 x KX-NT553")</f>
        <v>1 x KX-NT553</v>
      </c>
      <c r="I55" s="87" t="str">
        <f>IF($D$39=$B$358,"No Incluído","1 x KX-NT553")</f>
        <v>1 x KX-NT553</v>
      </c>
    </row>
    <row r="56" spans="1:9" x14ac:dyDescent="0.3">
      <c r="A56" s="391"/>
      <c r="B56" s="70" t="s">
        <v>146</v>
      </c>
      <c r="C56" s="263">
        <f>C368</f>
        <v>0</v>
      </c>
      <c r="D56" s="90">
        <f t="shared" ref="D56:I56" si="0">C56</f>
        <v>0</v>
      </c>
      <c r="E56" s="90">
        <f t="shared" si="0"/>
        <v>0</v>
      </c>
      <c r="F56" s="90">
        <f t="shared" si="0"/>
        <v>0</v>
      </c>
      <c r="G56" s="90">
        <f t="shared" si="0"/>
        <v>0</v>
      </c>
      <c r="H56" s="90">
        <f t="shared" si="0"/>
        <v>0</v>
      </c>
      <c r="I56" s="90">
        <f t="shared" si="0"/>
        <v>0</v>
      </c>
    </row>
    <row r="57" spans="1:9" ht="18.75" x14ac:dyDescent="0.3">
      <c r="B57" s="91"/>
      <c r="C57" s="263"/>
      <c r="D57" s="90"/>
      <c r="E57" s="90"/>
      <c r="F57" s="90"/>
      <c r="G57" s="90"/>
      <c r="H57" s="90"/>
      <c r="I57" s="90"/>
    </row>
    <row r="58" spans="1:9" ht="18.75" x14ac:dyDescent="0.3">
      <c r="B58" s="81" t="s">
        <v>145</v>
      </c>
      <c r="C58" s="263"/>
      <c r="D58" s="90"/>
      <c r="E58" s="90"/>
      <c r="F58" s="90"/>
      <c r="G58" s="90"/>
      <c r="H58" s="90"/>
      <c r="I58" s="90"/>
    </row>
    <row r="59" spans="1:9" x14ac:dyDescent="0.3">
      <c r="A59" s="406" t="s">
        <v>390</v>
      </c>
      <c r="B59" s="92" t="s">
        <v>24</v>
      </c>
      <c r="C59" s="264" t="str">
        <f t="shared" ref="C59:I59" si="1">IF($H$438,"No","")&amp;" Incluída"</f>
        <v xml:space="preserve"> Incluída</v>
      </c>
      <c r="D59" s="93" t="str">
        <f t="shared" si="1"/>
        <v xml:space="preserve"> Incluída</v>
      </c>
      <c r="E59" s="93" t="str">
        <f t="shared" si="1"/>
        <v xml:space="preserve"> Incluída</v>
      </c>
      <c r="F59" s="93" t="str">
        <f t="shared" si="1"/>
        <v xml:space="preserve"> Incluída</v>
      </c>
      <c r="G59" s="93" t="str">
        <f t="shared" si="1"/>
        <v xml:space="preserve"> Incluída</v>
      </c>
      <c r="H59" s="93" t="str">
        <f t="shared" si="1"/>
        <v xml:space="preserve"> Incluída</v>
      </c>
      <c r="I59" s="93" t="str">
        <f t="shared" si="1"/>
        <v xml:space="preserve"> Incluída</v>
      </c>
    </row>
    <row r="60" spans="1:9" x14ac:dyDescent="0.3">
      <c r="A60" s="406"/>
      <c r="B60" s="70" t="s">
        <v>258</v>
      </c>
      <c r="C60" s="265" t="str">
        <f t="shared" ref="C60:I60" si="2">TEXT($I$446,"#.##0,00€")</f>
        <v>0,00€</v>
      </c>
      <c r="D60" s="90" t="str">
        <f t="shared" si="2"/>
        <v>0,00€</v>
      </c>
      <c r="E60" s="90" t="str">
        <f t="shared" si="2"/>
        <v>0,00€</v>
      </c>
      <c r="F60" s="90" t="str">
        <f t="shared" si="2"/>
        <v>0,00€</v>
      </c>
      <c r="G60" s="90" t="str">
        <f t="shared" si="2"/>
        <v>0,00€</v>
      </c>
      <c r="H60" s="90" t="str">
        <f t="shared" si="2"/>
        <v>0,00€</v>
      </c>
      <c r="I60" s="90" t="str">
        <f t="shared" si="2"/>
        <v>0,00€</v>
      </c>
    </row>
    <row r="61" spans="1:9" x14ac:dyDescent="0.3">
      <c r="A61" s="406"/>
      <c r="B61" s="92" t="s">
        <v>260</v>
      </c>
      <c r="C61" s="264" t="s">
        <v>251</v>
      </c>
      <c r="D61" s="93" t="s">
        <v>251</v>
      </c>
      <c r="E61" s="93" t="s">
        <v>251</v>
      </c>
      <c r="F61" s="93" t="s">
        <v>251</v>
      </c>
      <c r="G61" s="93" t="s">
        <v>251</v>
      </c>
      <c r="H61" s="93" t="s">
        <v>251</v>
      </c>
      <c r="I61" s="93" t="s">
        <v>251</v>
      </c>
    </row>
    <row r="62" spans="1:9" x14ac:dyDescent="0.3">
      <c r="A62" s="406"/>
      <c r="B62" s="70" t="s">
        <v>261</v>
      </c>
      <c r="C62" s="259" t="str">
        <f t="shared" ref="C62:I62" si="3">IF($H$448,"No Incluída",$G$436&amp;CHOOSE( $G$436," Año"," Años"))</f>
        <v>1 Año</v>
      </c>
      <c r="D62" s="85" t="str">
        <f t="shared" si="3"/>
        <v>1 Año</v>
      </c>
      <c r="E62" s="85" t="str">
        <f t="shared" si="3"/>
        <v>1 Año</v>
      </c>
      <c r="F62" s="85" t="str">
        <f t="shared" si="3"/>
        <v>1 Año</v>
      </c>
      <c r="G62" s="85" t="str">
        <f t="shared" si="3"/>
        <v>1 Año</v>
      </c>
      <c r="H62" s="85" t="str">
        <f t="shared" si="3"/>
        <v>1 Año</v>
      </c>
      <c r="I62" s="85" t="str">
        <f t="shared" si="3"/>
        <v>1 Año</v>
      </c>
    </row>
    <row r="63" spans="1:9" x14ac:dyDescent="0.3">
      <c r="A63" s="406"/>
      <c r="B63" s="92" t="s">
        <v>259</v>
      </c>
      <c r="C63" s="266" t="str">
        <f t="shared" ref="C63:I63" si="4">TEXT($I$450+$I$449,"#.###0,00€")</f>
        <v>0,00€</v>
      </c>
      <c r="D63" s="94" t="str">
        <f t="shared" si="4"/>
        <v>0,00€</v>
      </c>
      <c r="E63" s="94" t="str">
        <f t="shared" si="4"/>
        <v>0,00€</v>
      </c>
      <c r="F63" s="94" t="str">
        <f t="shared" si="4"/>
        <v>0,00€</v>
      </c>
      <c r="G63" s="94" t="str">
        <f t="shared" si="4"/>
        <v>0,00€</v>
      </c>
      <c r="H63" s="94" t="str">
        <f t="shared" si="4"/>
        <v>0,00€</v>
      </c>
      <c r="I63" s="94" t="str">
        <f t="shared" si="4"/>
        <v>0,00€</v>
      </c>
    </row>
    <row r="64" spans="1:9" x14ac:dyDescent="0.3">
      <c r="A64" s="406"/>
      <c r="B64" s="70" t="s">
        <v>68</v>
      </c>
      <c r="C64" s="259" t="str">
        <f>IF(PRINCIPAL!E159&gt;0,"","No ")&amp;"Incluída"</f>
        <v>No Incluída</v>
      </c>
      <c r="D64" s="85" t="str">
        <f>C64</f>
        <v>No Incluída</v>
      </c>
      <c r="E64" s="85" t="str">
        <f>C64</f>
        <v>No Incluída</v>
      </c>
      <c r="F64" s="85" t="str">
        <f>C64</f>
        <v>No Incluída</v>
      </c>
      <c r="G64" s="85" t="str">
        <f>C64</f>
        <v>No Incluída</v>
      </c>
      <c r="H64" s="85" t="str">
        <f>C64</f>
        <v>No Incluída</v>
      </c>
      <c r="I64" s="85" t="str">
        <f>D64</f>
        <v>No Incluída</v>
      </c>
    </row>
    <row r="65" spans="1:9" x14ac:dyDescent="0.3">
      <c r="A65" s="406"/>
      <c r="B65" s="92" t="s">
        <v>262</v>
      </c>
      <c r="C65" s="266" t="str">
        <f t="shared" ref="C65:I65" si="5">TEXT($I$451,"#.#0,00€")</f>
        <v>0,00€</v>
      </c>
      <c r="D65" s="94" t="str">
        <f t="shared" si="5"/>
        <v>0,00€</v>
      </c>
      <c r="E65" s="94" t="str">
        <f t="shared" si="5"/>
        <v>0,00€</v>
      </c>
      <c r="F65" s="94" t="str">
        <f t="shared" si="5"/>
        <v>0,00€</v>
      </c>
      <c r="G65" s="94" t="str">
        <f t="shared" si="5"/>
        <v>0,00€</v>
      </c>
      <c r="H65" s="94" t="str">
        <f t="shared" si="5"/>
        <v>0,00€</v>
      </c>
      <c r="I65" s="94" t="str">
        <f t="shared" si="5"/>
        <v>0,00€</v>
      </c>
    </row>
    <row r="66" spans="1:9" x14ac:dyDescent="0.3">
      <c r="A66" s="406"/>
      <c r="B66" s="70" t="s">
        <v>69</v>
      </c>
      <c r="C66" s="259" t="str">
        <f>IF(PRINCIPAL!E162&gt;0,"","No ")&amp;"Incluída"</f>
        <v>No Incluída</v>
      </c>
      <c r="D66" s="85" t="str">
        <f>C66</f>
        <v>No Incluída</v>
      </c>
      <c r="E66" s="85" t="str">
        <f>C66</f>
        <v>No Incluída</v>
      </c>
      <c r="F66" s="85" t="str">
        <f>C66</f>
        <v>No Incluída</v>
      </c>
      <c r="G66" s="85" t="str">
        <f>C66</f>
        <v>No Incluída</v>
      </c>
      <c r="H66" s="85" t="str">
        <f>C66</f>
        <v>No Incluída</v>
      </c>
      <c r="I66" s="85" t="str">
        <f>D66</f>
        <v>No Incluída</v>
      </c>
    </row>
    <row r="67" spans="1:9" x14ac:dyDescent="0.3">
      <c r="A67" s="174"/>
      <c r="B67" s="92" t="s">
        <v>263</v>
      </c>
      <c r="C67" s="266" t="str">
        <f t="shared" ref="C67:I67" si="6">TEXT($I$452,"#.#0,00€")</f>
        <v>0,00€</v>
      </c>
      <c r="D67" s="94" t="str">
        <f t="shared" si="6"/>
        <v>0,00€</v>
      </c>
      <c r="E67" s="94" t="str">
        <f t="shared" si="6"/>
        <v>0,00€</v>
      </c>
      <c r="F67" s="94" t="str">
        <f t="shared" si="6"/>
        <v>0,00€</v>
      </c>
      <c r="G67" s="94" t="str">
        <f t="shared" si="6"/>
        <v>0,00€</v>
      </c>
      <c r="H67" s="94" t="str">
        <f t="shared" si="6"/>
        <v>0,00€</v>
      </c>
      <c r="I67" s="94" t="str">
        <f t="shared" si="6"/>
        <v>0,00€</v>
      </c>
    </row>
    <row r="68" spans="1:9" ht="18.75" x14ac:dyDescent="0.3">
      <c r="B68" s="91"/>
      <c r="C68" s="263"/>
      <c r="D68" s="90"/>
      <c r="E68" s="90"/>
      <c r="F68" s="90"/>
      <c r="G68" s="90"/>
      <c r="H68" s="90"/>
      <c r="I68" s="90"/>
    </row>
    <row r="69" spans="1:9" ht="18.75" x14ac:dyDescent="0.3">
      <c r="A69" s="388" t="s">
        <v>391</v>
      </c>
      <c r="B69" s="81" t="str">
        <f>"Incluyendo la Tarifa Plana Llamadas "&amp;PRINCIPAL!E227&amp;" de FIBRA a Internet"</f>
        <v>Incluyendo la Tarifa Plana Llamadas Sin Conexión de FIBRA a Internet</v>
      </c>
      <c r="C69" s="259"/>
      <c r="D69" s="85"/>
      <c r="E69" s="85"/>
      <c r="F69" s="85"/>
      <c r="G69" s="85"/>
      <c r="H69" s="85"/>
      <c r="I69" s="85"/>
    </row>
    <row r="70" spans="1:9" x14ac:dyDescent="0.3">
      <c r="A70" s="388"/>
      <c r="B70" s="70" t="s">
        <v>225</v>
      </c>
      <c r="C70" s="259">
        <v>2</v>
      </c>
      <c r="D70" s="85">
        <v>3</v>
      </c>
      <c r="E70" s="85">
        <v>4</v>
      </c>
      <c r="F70" s="85">
        <v>6</v>
      </c>
      <c r="G70" s="85">
        <v>8</v>
      </c>
      <c r="H70" s="85">
        <v>12</v>
      </c>
      <c r="I70" s="85">
        <f>I46</f>
        <v>0</v>
      </c>
    </row>
    <row r="71" spans="1:9" ht="16.5" customHeight="1" x14ac:dyDescent="0.3">
      <c r="A71" s="388"/>
      <c r="B71" s="95" t="s">
        <v>212</v>
      </c>
      <c r="C71" s="267">
        <v>1</v>
      </c>
      <c r="D71" s="96">
        <v>1</v>
      </c>
      <c r="E71" s="96">
        <v>1</v>
      </c>
      <c r="F71" s="96">
        <v>1</v>
      </c>
      <c r="G71" s="96">
        <v>1</v>
      </c>
      <c r="H71" s="96">
        <v>2</v>
      </c>
      <c r="I71" s="96">
        <v>2</v>
      </c>
    </row>
    <row r="72" spans="1:9" x14ac:dyDescent="0.3">
      <c r="A72" s="388"/>
      <c r="B72" s="70" t="s">
        <v>25</v>
      </c>
      <c r="C72" s="259" t="s">
        <v>26</v>
      </c>
      <c r="D72" s="85" t="s">
        <v>26</v>
      </c>
      <c r="E72" s="85" t="s">
        <v>26</v>
      </c>
      <c r="F72" s="85" t="s">
        <v>26</v>
      </c>
      <c r="G72" s="85" t="s">
        <v>26</v>
      </c>
      <c r="H72" s="85" t="s">
        <v>26</v>
      </c>
      <c r="I72" s="85" t="s">
        <v>26</v>
      </c>
    </row>
    <row r="73" spans="1:9" x14ac:dyDescent="0.3">
      <c r="A73" s="388"/>
      <c r="B73" s="95" t="s">
        <v>27</v>
      </c>
      <c r="C73" s="267" t="s">
        <v>28</v>
      </c>
      <c r="D73" s="96" t="s">
        <v>28</v>
      </c>
      <c r="E73" s="96" t="s">
        <v>28</v>
      </c>
      <c r="F73" s="96" t="s">
        <v>28</v>
      </c>
      <c r="G73" s="96" t="s">
        <v>28</v>
      </c>
      <c r="H73" s="96" t="s">
        <v>28</v>
      </c>
      <c r="I73" s="96" t="s">
        <v>28</v>
      </c>
    </row>
    <row r="74" spans="1:9" x14ac:dyDescent="0.3">
      <c r="A74" s="388"/>
      <c r="B74" s="70" t="s">
        <v>252</v>
      </c>
      <c r="C74" s="259" t="s">
        <v>28</v>
      </c>
      <c r="D74" s="85" t="s">
        <v>28</v>
      </c>
      <c r="E74" s="85" t="s">
        <v>28</v>
      </c>
      <c r="F74" s="85" t="s">
        <v>28</v>
      </c>
      <c r="G74" s="85" t="s">
        <v>28</v>
      </c>
      <c r="H74" s="85" t="s">
        <v>28</v>
      </c>
      <c r="I74" s="85" t="s">
        <v>28</v>
      </c>
    </row>
    <row r="75" spans="1:9" x14ac:dyDescent="0.3">
      <c r="A75" s="388"/>
      <c r="B75" s="95" t="s">
        <v>29</v>
      </c>
      <c r="C75" s="268">
        <f>IF(PRINCIPAL!$E$227=PRINCIPAL!B291,0,D471)</f>
        <v>0</v>
      </c>
      <c r="D75" s="97">
        <f>C75</f>
        <v>0</v>
      </c>
      <c r="E75" s="97">
        <f>C75</f>
        <v>0</v>
      </c>
      <c r="F75" s="97">
        <f>C75</f>
        <v>0</v>
      </c>
      <c r="G75" s="97">
        <f>C75</f>
        <v>0</v>
      </c>
      <c r="H75" s="97">
        <f>C75</f>
        <v>0</v>
      </c>
      <c r="I75" s="97">
        <f>D75</f>
        <v>0</v>
      </c>
    </row>
    <row r="76" spans="1:9" x14ac:dyDescent="0.3">
      <c r="A76" s="388"/>
      <c r="B76" s="70" t="s">
        <v>30</v>
      </c>
      <c r="C76" s="259" t="str">
        <f>IF(PRINCIPAL!$E$227=PRINCIPAL!B291,"No Incluída","FIBRA 300MB")</f>
        <v>No Incluída</v>
      </c>
      <c r="D76" s="85" t="str">
        <f>C76</f>
        <v>No Incluída</v>
      </c>
      <c r="E76" s="85" t="str">
        <f>C76</f>
        <v>No Incluída</v>
      </c>
      <c r="F76" s="85" t="str">
        <f>C76</f>
        <v>No Incluída</v>
      </c>
      <c r="G76" s="85" t="str">
        <f>C76</f>
        <v>No Incluída</v>
      </c>
      <c r="H76" s="85" t="str">
        <f>C76</f>
        <v>No Incluída</v>
      </c>
      <c r="I76" s="85" t="str">
        <f>D76</f>
        <v>No Incluída</v>
      </c>
    </row>
    <row r="77" spans="1:9" x14ac:dyDescent="0.3">
      <c r="C77" s="85"/>
      <c r="D77" s="85"/>
      <c r="E77" s="85"/>
      <c r="F77" s="85"/>
      <c r="G77" s="85"/>
      <c r="H77" s="85"/>
    </row>
    <row r="78" spans="1:9" ht="16.5" customHeight="1" x14ac:dyDescent="0.3"/>
    <row r="79" spans="1:9" ht="16.5" customHeight="1" x14ac:dyDescent="0.3"/>
    <row r="80" spans="1:9" ht="25.5" x14ac:dyDescent="0.35">
      <c r="A80" s="44" t="s">
        <v>148</v>
      </c>
      <c r="B80" s="72" t="s">
        <v>31</v>
      </c>
    </row>
    <row r="81" spans="1:12" ht="16.5" customHeight="1" x14ac:dyDescent="0.3">
      <c r="K81" s="159"/>
      <c r="L81" s="159"/>
    </row>
    <row r="82" spans="1:12" ht="18" customHeight="1" x14ac:dyDescent="0.3">
      <c r="A82" t="s">
        <v>477</v>
      </c>
      <c r="B82" s="400" t="s">
        <v>32</v>
      </c>
      <c r="C82" s="411" t="s">
        <v>334</v>
      </c>
      <c r="D82" s="411"/>
      <c r="E82" s="411"/>
      <c r="F82" s="412"/>
      <c r="G82" s="394" t="s">
        <v>322</v>
      </c>
      <c r="H82" s="395"/>
      <c r="I82" s="395"/>
      <c r="J82" s="396"/>
      <c r="K82" s="161" t="s">
        <v>337</v>
      </c>
      <c r="L82" s="160"/>
    </row>
    <row r="83" spans="1:12" ht="120" customHeight="1" x14ac:dyDescent="0.3">
      <c r="B83" s="400"/>
      <c r="I83" s="18"/>
      <c r="L83" s="159"/>
    </row>
    <row r="84" spans="1:12" ht="20.25" x14ac:dyDescent="0.3">
      <c r="C84" s="98" t="s">
        <v>33</v>
      </c>
      <c r="D84" s="98" t="s">
        <v>34</v>
      </c>
      <c r="E84" s="98" t="s">
        <v>308</v>
      </c>
      <c r="F84" s="98" t="s">
        <v>35</v>
      </c>
      <c r="G84" s="98" t="s">
        <v>286</v>
      </c>
      <c r="H84" s="98" t="s">
        <v>312</v>
      </c>
      <c r="I84" s="98" t="s">
        <v>315</v>
      </c>
      <c r="J84" s="98" t="s">
        <v>348</v>
      </c>
      <c r="K84" s="98" t="s">
        <v>335</v>
      </c>
    </row>
    <row r="85" spans="1:12" x14ac:dyDescent="0.3">
      <c r="B85" s="70" t="s">
        <v>36</v>
      </c>
      <c r="C85" s="270" t="s">
        <v>37</v>
      </c>
      <c r="D85" s="270" t="s">
        <v>37</v>
      </c>
      <c r="E85" s="270" t="s">
        <v>37</v>
      </c>
      <c r="F85" s="99" t="s">
        <v>38</v>
      </c>
      <c r="G85" s="271" t="s">
        <v>313</v>
      </c>
      <c r="H85" s="272" t="s">
        <v>314</v>
      </c>
      <c r="I85" s="272" t="s">
        <v>314</v>
      </c>
      <c r="J85" s="272" t="s">
        <v>314</v>
      </c>
      <c r="K85" s="273" t="s">
        <v>336</v>
      </c>
    </row>
    <row r="86" spans="1:12" x14ac:dyDescent="0.3">
      <c r="B86" s="100" t="s">
        <v>39</v>
      </c>
      <c r="C86" s="101" t="s">
        <v>40</v>
      </c>
      <c r="D86" s="101" t="s">
        <v>41</v>
      </c>
      <c r="E86" s="101" t="s">
        <v>42</v>
      </c>
      <c r="F86" s="101" t="s">
        <v>43</v>
      </c>
      <c r="G86" s="101" t="s">
        <v>283</v>
      </c>
      <c r="H86" s="101" t="s">
        <v>283</v>
      </c>
      <c r="I86" s="101" t="s">
        <v>283</v>
      </c>
      <c r="J86" s="101" t="s">
        <v>349</v>
      </c>
      <c r="K86" s="101" t="s">
        <v>338</v>
      </c>
    </row>
    <row r="87" spans="1:12" x14ac:dyDescent="0.3">
      <c r="B87" s="70" t="s">
        <v>44</v>
      </c>
      <c r="C87" s="99" t="s">
        <v>45</v>
      </c>
      <c r="D87" s="99" t="s">
        <v>43</v>
      </c>
      <c r="E87" s="99" t="s">
        <v>45</v>
      </c>
      <c r="F87" s="99" t="s">
        <v>45</v>
      </c>
      <c r="G87" s="99" t="s">
        <v>45</v>
      </c>
      <c r="H87" s="99" t="s">
        <v>45</v>
      </c>
      <c r="I87" s="99" t="s">
        <v>45</v>
      </c>
      <c r="J87" s="99" t="s">
        <v>45</v>
      </c>
      <c r="K87" s="99" t="s">
        <v>338</v>
      </c>
    </row>
    <row r="88" spans="1:12" x14ac:dyDescent="0.3">
      <c r="B88" s="100" t="s">
        <v>46</v>
      </c>
      <c r="C88" s="101" t="s">
        <v>45</v>
      </c>
      <c r="D88" s="101" t="s">
        <v>45</v>
      </c>
      <c r="E88" s="101" t="s">
        <v>47</v>
      </c>
      <c r="F88" s="101" t="s">
        <v>47</v>
      </c>
      <c r="G88" s="101" t="s">
        <v>45</v>
      </c>
      <c r="H88" s="101" t="s">
        <v>45</v>
      </c>
      <c r="I88" s="101" t="s">
        <v>45</v>
      </c>
      <c r="J88" s="101" t="s">
        <v>45</v>
      </c>
      <c r="K88" s="101" t="s">
        <v>338</v>
      </c>
    </row>
    <row r="89" spans="1:12" x14ac:dyDescent="0.3">
      <c r="B89" s="70" t="s">
        <v>48</v>
      </c>
      <c r="C89" s="99" t="s">
        <v>45</v>
      </c>
      <c r="D89" s="99" t="s">
        <v>45</v>
      </c>
      <c r="E89" s="99" t="s">
        <v>47</v>
      </c>
      <c r="F89" s="99" t="s">
        <v>45</v>
      </c>
      <c r="G89" s="99" t="s">
        <v>284</v>
      </c>
      <c r="H89" s="99" t="s">
        <v>284</v>
      </c>
      <c r="I89" s="99" t="s">
        <v>284</v>
      </c>
      <c r="J89" s="99" t="s">
        <v>284</v>
      </c>
      <c r="K89" s="99" t="s">
        <v>338</v>
      </c>
    </row>
    <row r="90" spans="1:12" x14ac:dyDescent="0.3">
      <c r="B90" s="100" t="s">
        <v>49</v>
      </c>
      <c r="C90" s="101" t="s">
        <v>45</v>
      </c>
      <c r="D90" s="101" t="s">
        <v>45</v>
      </c>
      <c r="E90" s="101" t="s">
        <v>45</v>
      </c>
      <c r="F90" s="101" t="s">
        <v>45</v>
      </c>
      <c r="G90" s="101" t="s">
        <v>45</v>
      </c>
      <c r="H90" s="101" t="s">
        <v>45</v>
      </c>
      <c r="I90" s="101" t="s">
        <v>45</v>
      </c>
      <c r="J90" s="101" t="s">
        <v>45</v>
      </c>
      <c r="K90" s="101" t="s">
        <v>338</v>
      </c>
    </row>
    <row r="91" spans="1:12" x14ac:dyDescent="0.3">
      <c r="B91" s="70" t="s">
        <v>50</v>
      </c>
      <c r="C91" s="99">
        <v>1</v>
      </c>
      <c r="D91" s="99">
        <v>1</v>
      </c>
      <c r="E91" s="99">
        <v>1</v>
      </c>
      <c r="F91" s="99">
        <v>0</v>
      </c>
      <c r="G91" s="99">
        <v>0</v>
      </c>
      <c r="H91" s="99">
        <v>0</v>
      </c>
      <c r="I91" s="99">
        <v>0</v>
      </c>
      <c r="J91" s="99">
        <v>0</v>
      </c>
      <c r="K91" s="99" t="s">
        <v>338</v>
      </c>
    </row>
    <row r="92" spans="1:12" x14ac:dyDescent="0.3">
      <c r="B92" s="100" t="s">
        <v>51</v>
      </c>
      <c r="C92" s="101">
        <v>2</v>
      </c>
      <c r="D92" s="101">
        <v>6</v>
      </c>
      <c r="E92" s="101">
        <v>4</v>
      </c>
      <c r="F92" s="101">
        <v>0</v>
      </c>
      <c r="G92" s="101">
        <v>8</v>
      </c>
      <c r="H92" s="101">
        <v>0</v>
      </c>
      <c r="I92" s="101">
        <v>0</v>
      </c>
      <c r="J92" s="101">
        <v>0</v>
      </c>
      <c r="K92" s="101">
        <v>1</v>
      </c>
    </row>
    <row r="93" spans="1:12" x14ac:dyDescent="0.3">
      <c r="B93" s="70" t="s">
        <v>52</v>
      </c>
      <c r="C93" s="99">
        <v>2</v>
      </c>
      <c r="D93" s="99">
        <v>0</v>
      </c>
      <c r="E93" s="99">
        <v>0</v>
      </c>
      <c r="F93" s="99">
        <v>0</v>
      </c>
      <c r="G93" s="99">
        <v>1</v>
      </c>
      <c r="H93" s="99">
        <v>0</v>
      </c>
      <c r="I93" s="99">
        <v>0</v>
      </c>
      <c r="J93" s="99">
        <v>0</v>
      </c>
      <c r="K93" s="99">
        <v>0</v>
      </c>
    </row>
    <row r="94" spans="1:12" x14ac:dyDescent="0.3">
      <c r="B94" s="100" t="s">
        <v>53</v>
      </c>
      <c r="C94" s="101">
        <v>0</v>
      </c>
      <c r="D94" s="101">
        <v>2</v>
      </c>
      <c r="E94" s="101">
        <v>2</v>
      </c>
      <c r="F94" s="101">
        <v>0</v>
      </c>
      <c r="G94" s="101">
        <v>0</v>
      </c>
      <c r="H94" s="101">
        <v>0</v>
      </c>
      <c r="I94" s="101">
        <v>0</v>
      </c>
      <c r="J94" s="101">
        <v>0</v>
      </c>
      <c r="K94" s="101">
        <v>0</v>
      </c>
    </row>
    <row r="95" spans="1:12" x14ac:dyDescent="0.3">
      <c r="B95" s="70" t="s">
        <v>54</v>
      </c>
      <c r="C95" s="99">
        <v>1</v>
      </c>
      <c r="D95" s="99">
        <v>1</v>
      </c>
      <c r="E95" s="99">
        <v>1</v>
      </c>
      <c r="F95" s="99">
        <v>0</v>
      </c>
      <c r="G95" s="99">
        <v>0</v>
      </c>
      <c r="H95" s="99">
        <v>0</v>
      </c>
      <c r="I95" s="99">
        <v>0</v>
      </c>
      <c r="J95" s="99">
        <v>0</v>
      </c>
      <c r="K95" s="99">
        <v>0</v>
      </c>
    </row>
    <row r="96" spans="1:12" x14ac:dyDescent="0.3">
      <c r="B96" s="100" t="s">
        <v>285</v>
      </c>
      <c r="C96" s="101">
        <v>0</v>
      </c>
      <c r="D96" s="101">
        <v>0</v>
      </c>
      <c r="E96" s="101">
        <v>0</v>
      </c>
      <c r="F96" s="101">
        <v>0</v>
      </c>
      <c r="G96" s="101">
        <v>1</v>
      </c>
      <c r="H96" s="101">
        <v>1</v>
      </c>
      <c r="I96" s="101">
        <v>1</v>
      </c>
      <c r="J96" s="101">
        <v>1</v>
      </c>
      <c r="K96" s="101" t="s">
        <v>338</v>
      </c>
    </row>
    <row r="97" spans="1:11" hidden="1" x14ac:dyDescent="0.3">
      <c r="B97" s="100" t="s">
        <v>309</v>
      </c>
      <c r="C97" s="101" t="s">
        <v>45</v>
      </c>
      <c r="D97" s="101" t="s">
        <v>45</v>
      </c>
      <c r="E97" s="101" t="s">
        <v>45</v>
      </c>
      <c r="F97" s="101" t="s">
        <v>45</v>
      </c>
      <c r="G97" s="101" t="s">
        <v>45</v>
      </c>
      <c r="H97" s="101" t="s">
        <v>45</v>
      </c>
      <c r="I97" s="101" t="s">
        <v>45</v>
      </c>
      <c r="J97" s="101" t="s">
        <v>45</v>
      </c>
    </row>
    <row r="98" spans="1:11" x14ac:dyDescent="0.3">
      <c r="B98" s="70" t="s">
        <v>55</v>
      </c>
      <c r="C98" s="99">
        <v>3</v>
      </c>
      <c r="D98" s="99">
        <v>3</v>
      </c>
      <c r="E98" s="99">
        <v>0</v>
      </c>
      <c r="F98" s="99">
        <v>0</v>
      </c>
      <c r="G98" s="99">
        <v>3</v>
      </c>
      <c r="H98" s="99">
        <v>3</v>
      </c>
      <c r="I98" s="99">
        <v>3</v>
      </c>
      <c r="J98" s="99">
        <v>3</v>
      </c>
      <c r="K98" s="99">
        <v>4</v>
      </c>
    </row>
    <row r="99" spans="1:11" x14ac:dyDescent="0.3">
      <c r="B99" s="100" t="s">
        <v>56</v>
      </c>
      <c r="C99" s="101">
        <v>2</v>
      </c>
      <c r="D99" s="101">
        <v>24</v>
      </c>
      <c r="E99" s="101">
        <v>24</v>
      </c>
      <c r="F99" s="101">
        <v>40</v>
      </c>
      <c r="G99" s="101">
        <v>0</v>
      </c>
      <c r="H99" s="101">
        <v>0</v>
      </c>
      <c r="I99" s="101">
        <v>0</v>
      </c>
      <c r="J99" s="101">
        <v>18</v>
      </c>
      <c r="K99" s="101">
        <v>0</v>
      </c>
    </row>
    <row r="100" spans="1:11" x14ac:dyDescent="0.3">
      <c r="B100" s="70" t="s">
        <v>57</v>
      </c>
      <c r="C100" s="99" t="s">
        <v>45</v>
      </c>
      <c r="D100" s="99" t="s">
        <v>45</v>
      </c>
      <c r="E100" s="99" t="s">
        <v>47</v>
      </c>
      <c r="F100" s="99" t="s">
        <v>45</v>
      </c>
      <c r="G100" s="99" t="s">
        <v>45</v>
      </c>
      <c r="H100" s="99" t="s">
        <v>45</v>
      </c>
      <c r="I100" s="99" t="s">
        <v>45</v>
      </c>
      <c r="J100" s="99" t="s">
        <v>45</v>
      </c>
      <c r="K100" s="99" t="s">
        <v>223</v>
      </c>
    </row>
    <row r="101" spans="1:11" x14ac:dyDescent="0.3">
      <c r="B101" s="100" t="s">
        <v>58</v>
      </c>
      <c r="C101" s="101" t="s">
        <v>45</v>
      </c>
      <c r="D101" s="101" t="s">
        <v>47</v>
      </c>
      <c r="E101" s="101" t="s">
        <v>47</v>
      </c>
      <c r="F101" s="101" t="s">
        <v>45</v>
      </c>
      <c r="G101" s="101" t="s">
        <v>45</v>
      </c>
      <c r="H101" s="101" t="s">
        <v>45</v>
      </c>
      <c r="I101" s="101" t="s">
        <v>45</v>
      </c>
      <c r="J101" s="101" t="s">
        <v>45</v>
      </c>
      <c r="K101" s="101" t="s">
        <v>223</v>
      </c>
    </row>
    <row r="102" spans="1:11" x14ac:dyDescent="0.3">
      <c r="B102" s="70" t="s">
        <v>59</v>
      </c>
      <c r="C102" s="99" t="s">
        <v>60</v>
      </c>
      <c r="D102" s="99">
        <v>5</v>
      </c>
      <c r="E102" s="99">
        <v>5</v>
      </c>
      <c r="F102" s="99" t="s">
        <v>60</v>
      </c>
      <c r="G102" s="99" t="s">
        <v>60</v>
      </c>
      <c r="H102" s="99" t="s">
        <v>60</v>
      </c>
      <c r="I102" s="99" t="s">
        <v>60</v>
      </c>
      <c r="J102" s="99" t="s">
        <v>60</v>
      </c>
      <c r="K102" s="99" t="s">
        <v>60</v>
      </c>
    </row>
    <row r="103" spans="1:11" x14ac:dyDescent="0.3">
      <c r="B103" s="100" t="s">
        <v>61</v>
      </c>
      <c r="C103" s="101" t="s">
        <v>47</v>
      </c>
      <c r="D103" s="101" t="s">
        <v>47</v>
      </c>
      <c r="E103" s="101" t="s">
        <v>47</v>
      </c>
      <c r="F103" s="101" t="s">
        <v>45</v>
      </c>
      <c r="G103" s="101" t="s">
        <v>47</v>
      </c>
      <c r="H103" s="101" t="s">
        <v>47</v>
      </c>
      <c r="I103" s="101" t="s">
        <v>47</v>
      </c>
      <c r="J103" s="101" t="s">
        <v>47</v>
      </c>
      <c r="K103" s="101" t="s">
        <v>338</v>
      </c>
    </row>
    <row r="104" spans="1:11" x14ac:dyDescent="0.3">
      <c r="B104" s="70" t="s">
        <v>62</v>
      </c>
      <c r="C104" s="99" t="s">
        <v>47</v>
      </c>
      <c r="D104" s="99" t="s">
        <v>47</v>
      </c>
      <c r="E104" s="99" t="s">
        <v>47</v>
      </c>
      <c r="F104" s="99" t="s">
        <v>45</v>
      </c>
      <c r="G104" s="99" t="s">
        <v>47</v>
      </c>
      <c r="H104" s="99" t="s">
        <v>223</v>
      </c>
      <c r="I104" s="99" t="s">
        <v>223</v>
      </c>
      <c r="J104" s="99" t="s">
        <v>223</v>
      </c>
      <c r="K104" s="99" t="s">
        <v>223</v>
      </c>
    </row>
    <row r="105" spans="1:11" x14ac:dyDescent="0.3">
      <c r="B105" s="100" t="s">
        <v>63</v>
      </c>
      <c r="C105" s="145" t="s">
        <v>64</v>
      </c>
      <c r="D105" s="145" t="s">
        <v>64</v>
      </c>
      <c r="E105" s="145" t="s">
        <v>64</v>
      </c>
      <c r="F105" s="146" t="s">
        <v>65</v>
      </c>
      <c r="G105" s="146" t="s">
        <v>327</v>
      </c>
      <c r="H105" s="146" t="s">
        <v>327</v>
      </c>
      <c r="I105" s="146" t="s">
        <v>327</v>
      </c>
      <c r="J105" s="146" t="s">
        <v>327</v>
      </c>
      <c r="K105" s="101" t="s">
        <v>338</v>
      </c>
    </row>
    <row r="106" spans="1:11" x14ac:dyDescent="0.3">
      <c r="B106" s="137" t="s">
        <v>66</v>
      </c>
      <c r="C106" s="147" t="s">
        <v>7</v>
      </c>
      <c r="D106" s="147" t="s">
        <v>7</v>
      </c>
      <c r="E106" s="147" t="s">
        <v>7</v>
      </c>
      <c r="F106" s="147" t="s">
        <v>7</v>
      </c>
      <c r="G106" s="152" t="s">
        <v>319</v>
      </c>
      <c r="H106" s="152" t="s">
        <v>319</v>
      </c>
      <c r="I106" s="147" t="s">
        <v>7</v>
      </c>
      <c r="J106" t="s">
        <v>319</v>
      </c>
      <c r="K106" s="99" t="s">
        <v>338</v>
      </c>
    </row>
    <row r="107" spans="1:11" ht="33" hidden="1" x14ac:dyDescent="0.3">
      <c r="B107" s="102" t="s">
        <v>135</v>
      </c>
      <c r="C107" s="103">
        <v>0</v>
      </c>
      <c r="D107" s="103">
        <v>0</v>
      </c>
      <c r="E107" s="103">
        <v>0</v>
      </c>
      <c r="F107" s="103">
        <v>0</v>
      </c>
      <c r="G107" s="103"/>
      <c r="H107" s="103"/>
      <c r="I107" s="103"/>
    </row>
    <row r="108" spans="1:11" ht="17.25" thickBot="1" x14ac:dyDescent="0.35">
      <c r="C108" s="99"/>
      <c r="D108" s="99"/>
      <c r="E108" s="99"/>
      <c r="F108" s="99"/>
      <c r="G108" s="99"/>
      <c r="H108" s="99"/>
      <c r="I108" s="99"/>
    </row>
    <row r="109" spans="1:11" ht="27" thickBot="1" x14ac:dyDescent="0.4">
      <c r="A109" s="1" t="s">
        <v>477</v>
      </c>
      <c r="B109" s="70" t="s">
        <v>67</v>
      </c>
      <c r="C109" s="283">
        <v>0</v>
      </c>
      <c r="D109" s="283">
        <v>0</v>
      </c>
      <c r="E109" s="283">
        <v>0</v>
      </c>
      <c r="F109" s="283">
        <v>0</v>
      </c>
      <c r="G109" s="283">
        <v>0</v>
      </c>
      <c r="H109" s="283">
        <v>0</v>
      </c>
      <c r="I109" s="283">
        <v>0</v>
      </c>
      <c r="J109" s="283">
        <v>0</v>
      </c>
      <c r="K109" s="283">
        <v>0</v>
      </c>
    </row>
    <row r="110" spans="1:11" ht="16.5" customHeight="1" x14ac:dyDescent="0.3">
      <c r="C110" s="153" t="str">
        <f>C84</f>
        <v>KX-HDV130</v>
      </c>
      <c r="D110" s="153" t="str">
        <f t="shared" ref="D110:J110" si="7">D84</f>
        <v>KX-HDV230</v>
      </c>
      <c r="E110" s="153" t="str">
        <f t="shared" si="7"/>
        <v>KX-HDV340</v>
      </c>
      <c r="F110" s="153" t="str">
        <f t="shared" si="7"/>
        <v>KX-HDV20</v>
      </c>
      <c r="G110" s="153" t="str">
        <f t="shared" si="7"/>
        <v>KX-TGP600</v>
      </c>
      <c r="H110" s="153" t="str">
        <f t="shared" si="7"/>
        <v>KX-TPA60</v>
      </c>
      <c r="I110" s="153" t="str">
        <f t="shared" si="7"/>
        <v>KX-TPA65</v>
      </c>
      <c r="J110" s="153" t="str">
        <f t="shared" si="7"/>
        <v>KX-TPA68</v>
      </c>
      <c r="K110" s="153" t="str">
        <f>K84</f>
        <v>KX-UCMA</v>
      </c>
    </row>
    <row r="111" spans="1:11" x14ac:dyDescent="0.3">
      <c r="B111" s="413" t="str">
        <f>IF(OR(D369,D368),"AVISO: HA SELECCIONADO MAS TERMINALES  QUE EXTENSIONES DISPONIBLES EN LA PBX","")</f>
        <v/>
      </c>
      <c r="C111" s="413"/>
      <c r="D111" s="413"/>
      <c r="E111" s="413"/>
      <c r="F111" s="413"/>
      <c r="G111" s="398" t="str">
        <f>IF(G109*7&gt;=(H109+I109+J109),"","HA SELECCIONADO MAS TERMINALES QUE ANTENAS SIPDECT")</f>
        <v/>
      </c>
      <c r="H111" s="398"/>
      <c r="I111" s="398"/>
      <c r="J111" s="398"/>
    </row>
    <row r="112" spans="1:11" ht="16.5" customHeight="1" x14ac:dyDescent="0.3"/>
    <row r="113" spans="1:12" ht="18" customHeight="1" x14ac:dyDescent="0.3">
      <c r="A113" t="s">
        <v>478</v>
      </c>
      <c r="B113" s="70" t="s">
        <v>32</v>
      </c>
      <c r="C113" s="411" t="s">
        <v>334</v>
      </c>
      <c r="D113" s="411"/>
      <c r="E113" s="411"/>
      <c r="F113" s="411"/>
      <c r="G113" s="412"/>
      <c r="H113" s="394" t="s">
        <v>322</v>
      </c>
      <c r="I113" s="397"/>
      <c r="J113" s="397"/>
      <c r="K113" s="396"/>
      <c r="L113" s="160"/>
    </row>
    <row r="114" spans="1:12" ht="120" customHeight="1" x14ac:dyDescent="0.3">
      <c r="I114" s="18"/>
      <c r="L114" s="159"/>
    </row>
    <row r="115" spans="1:12" ht="20.25" x14ac:dyDescent="0.3">
      <c r="C115" s="98" t="s">
        <v>393</v>
      </c>
      <c r="D115" s="98" t="s">
        <v>394</v>
      </c>
      <c r="E115" s="98" t="s">
        <v>395</v>
      </c>
      <c r="F115" s="274" t="s">
        <v>422</v>
      </c>
      <c r="G115" s="274" t="s">
        <v>423</v>
      </c>
      <c r="H115" s="98" t="s">
        <v>424</v>
      </c>
      <c r="I115" s="98" t="s">
        <v>425</v>
      </c>
      <c r="J115" s="98" t="s">
        <v>426</v>
      </c>
      <c r="K115" s="98" t="s">
        <v>427</v>
      </c>
    </row>
    <row r="116" spans="1:12" x14ac:dyDescent="0.3">
      <c r="B116" s="70" t="s">
        <v>36</v>
      </c>
      <c r="C116" s="269" t="s">
        <v>392</v>
      </c>
      <c r="D116" s="269" t="s">
        <v>392</v>
      </c>
      <c r="E116" s="269" t="s">
        <v>392</v>
      </c>
      <c r="F116" s="269" t="s">
        <v>392</v>
      </c>
      <c r="G116" s="270" t="s">
        <v>37</v>
      </c>
      <c r="H116" s="272" t="s">
        <v>314</v>
      </c>
      <c r="I116" s="272" t="s">
        <v>314</v>
      </c>
      <c r="J116" s="271" t="s">
        <v>313</v>
      </c>
      <c r="K116" s="272" t="s">
        <v>314</v>
      </c>
    </row>
    <row r="117" spans="1:12" x14ac:dyDescent="0.3">
      <c r="B117" s="100" t="s">
        <v>39</v>
      </c>
      <c r="C117" s="101" t="s">
        <v>45</v>
      </c>
      <c r="D117" s="101" t="s">
        <v>45</v>
      </c>
      <c r="E117" s="101" t="s">
        <v>45</v>
      </c>
      <c r="F117" s="101" t="s">
        <v>449</v>
      </c>
      <c r="G117" s="101" t="s">
        <v>450</v>
      </c>
      <c r="H117" s="101" t="s">
        <v>453</v>
      </c>
      <c r="I117" s="101" t="s">
        <v>452</v>
      </c>
      <c r="J117" s="101" t="s">
        <v>283</v>
      </c>
      <c r="K117" s="101" t="s">
        <v>283</v>
      </c>
    </row>
    <row r="118" spans="1:12" x14ac:dyDescent="0.3">
      <c r="B118" s="70" t="s">
        <v>44</v>
      </c>
      <c r="C118" s="99" t="s">
        <v>45</v>
      </c>
      <c r="D118" s="99" t="s">
        <v>45</v>
      </c>
      <c r="E118" s="99" t="s">
        <v>45</v>
      </c>
      <c r="F118" s="99" t="s">
        <v>45</v>
      </c>
      <c r="G118" s="99" t="s">
        <v>45</v>
      </c>
      <c r="H118" s="99" t="s">
        <v>45</v>
      </c>
      <c r="I118" s="99" t="s">
        <v>45</v>
      </c>
      <c r="J118" s="99" t="s">
        <v>45</v>
      </c>
      <c r="K118" s="99" t="s">
        <v>45</v>
      </c>
    </row>
    <row r="119" spans="1:12" x14ac:dyDescent="0.3">
      <c r="B119" s="100" t="s">
        <v>46</v>
      </c>
      <c r="C119" s="101" t="s">
        <v>45</v>
      </c>
      <c r="D119" s="101" t="s">
        <v>45</v>
      </c>
      <c r="E119" s="101" t="s">
        <v>45</v>
      </c>
      <c r="F119" s="101" t="s">
        <v>45</v>
      </c>
      <c r="G119" s="101" t="s">
        <v>45</v>
      </c>
      <c r="H119" s="101" t="s">
        <v>45</v>
      </c>
      <c r="I119" s="101" t="s">
        <v>45</v>
      </c>
      <c r="J119" s="101" t="s">
        <v>45</v>
      </c>
      <c r="K119" s="101" t="s">
        <v>45</v>
      </c>
    </row>
    <row r="120" spans="1:12" x14ac:dyDescent="0.3">
      <c r="B120" s="70" t="s">
        <v>48</v>
      </c>
      <c r="C120" s="99" t="s">
        <v>45</v>
      </c>
      <c r="D120" s="99" t="s">
        <v>45</v>
      </c>
      <c r="E120" s="99" t="s">
        <v>45</v>
      </c>
      <c r="F120" s="99" t="s">
        <v>45</v>
      </c>
      <c r="G120" s="99" t="s">
        <v>45</v>
      </c>
      <c r="H120" s="99" t="s">
        <v>45</v>
      </c>
      <c r="I120" s="99" t="s">
        <v>284</v>
      </c>
      <c r="J120" s="99" t="s">
        <v>284</v>
      </c>
      <c r="K120" s="99" t="s">
        <v>47</v>
      </c>
    </row>
    <row r="121" spans="1:12" x14ac:dyDescent="0.3">
      <c r="B121" s="100" t="s">
        <v>49</v>
      </c>
      <c r="C121" s="101" t="s">
        <v>45</v>
      </c>
      <c r="D121" s="101" t="s">
        <v>45</v>
      </c>
      <c r="E121" s="101" t="s">
        <v>45</v>
      </c>
      <c r="F121" s="101" t="s">
        <v>45</v>
      </c>
      <c r="G121" s="101" t="s">
        <v>45</v>
      </c>
      <c r="H121" s="101" t="s">
        <v>45</v>
      </c>
      <c r="I121" s="101" t="s">
        <v>45</v>
      </c>
      <c r="J121" s="101" t="s">
        <v>45</v>
      </c>
      <c r="K121" s="101" t="s">
        <v>45</v>
      </c>
    </row>
    <row r="122" spans="1:12" x14ac:dyDescent="0.3">
      <c r="B122" s="70" t="s">
        <v>50</v>
      </c>
      <c r="C122" s="99">
        <v>0</v>
      </c>
      <c r="D122" s="99">
        <v>0</v>
      </c>
      <c r="E122" s="99">
        <v>0</v>
      </c>
      <c r="F122" s="99" t="s">
        <v>45</v>
      </c>
      <c r="G122" s="99">
        <v>0</v>
      </c>
      <c r="H122" s="99">
        <v>0</v>
      </c>
      <c r="I122" s="99">
        <v>0</v>
      </c>
      <c r="J122" s="99">
        <v>0</v>
      </c>
      <c r="K122" s="99">
        <v>0</v>
      </c>
    </row>
    <row r="123" spans="1:12" x14ac:dyDescent="0.3">
      <c r="B123" s="100" t="s">
        <v>51</v>
      </c>
      <c r="C123" s="101">
        <v>0</v>
      </c>
      <c r="D123" s="101">
        <v>0</v>
      </c>
      <c r="E123" s="101">
        <v>0</v>
      </c>
      <c r="F123" s="101">
        <v>0</v>
      </c>
      <c r="G123" s="101">
        <v>3</v>
      </c>
      <c r="H123" s="101">
        <v>0</v>
      </c>
      <c r="I123" s="101">
        <v>6</v>
      </c>
      <c r="J123" s="101">
        <v>0</v>
      </c>
      <c r="K123" s="101">
        <v>0</v>
      </c>
    </row>
    <row r="124" spans="1:12" x14ac:dyDescent="0.3">
      <c r="B124" s="70" t="s">
        <v>52</v>
      </c>
      <c r="C124" s="99">
        <v>0</v>
      </c>
      <c r="D124" s="99">
        <v>0</v>
      </c>
      <c r="E124" s="99">
        <v>0</v>
      </c>
      <c r="F124" s="99">
        <v>0</v>
      </c>
      <c r="G124" s="99">
        <v>1</v>
      </c>
      <c r="H124" s="99">
        <v>0</v>
      </c>
      <c r="I124" s="99">
        <v>0</v>
      </c>
      <c r="J124" s="99">
        <v>1</v>
      </c>
      <c r="K124" s="99">
        <v>0</v>
      </c>
    </row>
    <row r="125" spans="1:12" x14ac:dyDescent="0.3">
      <c r="B125" s="100" t="s">
        <v>53</v>
      </c>
      <c r="C125" s="101">
        <v>0</v>
      </c>
      <c r="D125" s="101">
        <v>0</v>
      </c>
      <c r="E125" s="101">
        <v>0</v>
      </c>
      <c r="F125" s="101">
        <v>0</v>
      </c>
      <c r="G125" s="101">
        <v>0</v>
      </c>
      <c r="H125" s="101">
        <v>0</v>
      </c>
      <c r="I125" s="101">
        <v>0</v>
      </c>
      <c r="J125" s="101">
        <v>0</v>
      </c>
      <c r="K125" s="101">
        <v>0</v>
      </c>
    </row>
    <row r="126" spans="1:12" x14ac:dyDescent="0.3">
      <c r="B126" s="100" t="s">
        <v>454</v>
      </c>
      <c r="C126" s="101">
        <v>1</v>
      </c>
      <c r="D126" s="101">
        <v>1</v>
      </c>
      <c r="E126" s="101">
        <v>1</v>
      </c>
      <c r="F126" s="101">
        <v>1</v>
      </c>
      <c r="G126" s="101">
        <v>0</v>
      </c>
      <c r="H126" s="101">
        <v>1</v>
      </c>
      <c r="I126" s="101">
        <v>1</v>
      </c>
      <c r="J126" s="101">
        <v>1</v>
      </c>
      <c r="K126" s="101">
        <v>0</v>
      </c>
    </row>
    <row r="127" spans="1:12" x14ac:dyDescent="0.3">
      <c r="B127" s="70" t="s">
        <v>54</v>
      </c>
      <c r="C127" s="99">
        <v>0</v>
      </c>
      <c r="D127" s="99">
        <v>0</v>
      </c>
      <c r="E127" s="99">
        <v>1</v>
      </c>
      <c r="F127" s="99">
        <v>0</v>
      </c>
      <c r="G127" s="99">
        <v>0</v>
      </c>
      <c r="H127" s="99">
        <v>0</v>
      </c>
      <c r="I127" s="99">
        <v>0</v>
      </c>
      <c r="J127" s="99">
        <v>0</v>
      </c>
      <c r="K127" s="99">
        <v>0</v>
      </c>
    </row>
    <row r="128" spans="1:12" x14ac:dyDescent="0.3">
      <c r="B128" s="100" t="s">
        <v>285</v>
      </c>
      <c r="C128" s="101">
        <v>0</v>
      </c>
      <c r="D128" s="101">
        <v>0</v>
      </c>
      <c r="E128" s="101">
        <v>0</v>
      </c>
      <c r="F128" s="101">
        <v>0</v>
      </c>
      <c r="G128" s="101">
        <v>0</v>
      </c>
      <c r="H128" s="101">
        <v>0</v>
      </c>
      <c r="I128" s="101">
        <v>1</v>
      </c>
      <c r="J128" s="101">
        <v>1</v>
      </c>
      <c r="K128" s="101">
        <v>1</v>
      </c>
    </row>
    <row r="129" spans="1:11" hidden="1" x14ac:dyDescent="0.3">
      <c r="B129" s="100" t="s">
        <v>309</v>
      </c>
      <c r="C129" s="101" t="s">
        <v>45</v>
      </c>
      <c r="D129" s="101" t="s">
        <v>45</v>
      </c>
      <c r="E129" s="101" t="s">
        <v>45</v>
      </c>
      <c r="F129" s="101"/>
      <c r="G129" s="101" t="s">
        <v>45</v>
      </c>
      <c r="H129" s="101" t="s">
        <v>45</v>
      </c>
      <c r="I129" s="101" t="s">
        <v>45</v>
      </c>
      <c r="J129" s="101" t="s">
        <v>45</v>
      </c>
    </row>
    <row r="130" spans="1:11" x14ac:dyDescent="0.3">
      <c r="B130" s="70" t="s">
        <v>55</v>
      </c>
      <c r="C130" s="99">
        <v>0</v>
      </c>
      <c r="D130" s="99">
        <v>4</v>
      </c>
      <c r="E130" s="99">
        <v>4</v>
      </c>
      <c r="F130" s="99">
        <v>4</v>
      </c>
      <c r="G130" s="99">
        <v>4</v>
      </c>
      <c r="H130" s="99">
        <v>2</v>
      </c>
      <c r="I130" s="99">
        <v>2</v>
      </c>
      <c r="J130" s="99">
        <v>2</v>
      </c>
      <c r="K130" s="99">
        <v>2</v>
      </c>
    </row>
    <row r="131" spans="1:11" x14ac:dyDescent="0.3">
      <c r="B131" s="100" t="s">
        <v>56</v>
      </c>
      <c r="C131" s="101">
        <v>0</v>
      </c>
      <c r="D131" s="101">
        <v>0</v>
      </c>
      <c r="E131" s="101">
        <v>0</v>
      </c>
      <c r="F131" s="101">
        <v>0</v>
      </c>
      <c r="G131" s="101">
        <v>0</v>
      </c>
      <c r="H131" s="101">
        <v>0</v>
      </c>
      <c r="I131" s="101">
        <v>0</v>
      </c>
      <c r="J131" s="101">
        <v>0</v>
      </c>
      <c r="K131" s="101">
        <v>0</v>
      </c>
    </row>
    <row r="132" spans="1:11" x14ac:dyDescent="0.3">
      <c r="B132" s="70" t="s">
        <v>57</v>
      </c>
      <c r="C132" s="99" t="s">
        <v>45</v>
      </c>
      <c r="D132" s="99" t="s">
        <v>45</v>
      </c>
      <c r="E132" s="99" t="s">
        <v>45</v>
      </c>
      <c r="F132" s="99" t="s">
        <v>45</v>
      </c>
      <c r="G132" s="99" t="s">
        <v>47</v>
      </c>
      <c r="H132" s="99" t="s">
        <v>45</v>
      </c>
      <c r="I132" s="99" t="s">
        <v>47</v>
      </c>
      <c r="J132" s="99" t="s">
        <v>45</v>
      </c>
      <c r="K132" s="99" t="s">
        <v>45</v>
      </c>
    </row>
    <row r="133" spans="1:11" x14ac:dyDescent="0.3">
      <c r="B133" s="100" t="s">
        <v>58</v>
      </c>
      <c r="C133" s="101" t="s">
        <v>45</v>
      </c>
      <c r="D133" s="101" t="s">
        <v>45</v>
      </c>
      <c r="E133" s="101" t="s">
        <v>45</v>
      </c>
      <c r="F133" s="101" t="s">
        <v>45</v>
      </c>
      <c r="G133" s="101" t="s">
        <v>45</v>
      </c>
      <c r="H133" s="101" t="s">
        <v>45</v>
      </c>
      <c r="I133" s="101" t="s">
        <v>45</v>
      </c>
      <c r="J133" s="101" t="s">
        <v>45</v>
      </c>
      <c r="K133" s="101" t="s">
        <v>45</v>
      </c>
    </row>
    <row r="134" spans="1:11" x14ac:dyDescent="0.3">
      <c r="B134" s="70" t="s">
        <v>502</v>
      </c>
      <c r="C134" s="99" t="s">
        <v>60</v>
      </c>
      <c r="D134" s="99" t="s">
        <v>60</v>
      </c>
      <c r="E134" s="99" t="s">
        <v>60</v>
      </c>
      <c r="F134" s="99" t="s">
        <v>60</v>
      </c>
      <c r="G134" s="99" t="s">
        <v>60</v>
      </c>
      <c r="H134" s="99" t="s">
        <v>60</v>
      </c>
      <c r="I134" s="99" t="s">
        <v>60</v>
      </c>
      <c r="J134" s="99" t="s">
        <v>60</v>
      </c>
      <c r="K134" s="288" t="s">
        <v>60</v>
      </c>
    </row>
    <row r="135" spans="1:11" x14ac:dyDescent="0.3">
      <c r="B135" s="100" t="s">
        <v>61</v>
      </c>
      <c r="C135" s="101" t="s">
        <v>45</v>
      </c>
      <c r="D135" s="101" t="s">
        <v>45</v>
      </c>
      <c r="E135" s="101" t="s">
        <v>396</v>
      </c>
      <c r="F135" s="101" t="s">
        <v>47</v>
      </c>
      <c r="G135" s="101" t="s">
        <v>47</v>
      </c>
      <c r="H135" s="101" t="s">
        <v>47</v>
      </c>
      <c r="I135" s="101" t="s">
        <v>47</v>
      </c>
      <c r="J135" s="101" t="s">
        <v>47</v>
      </c>
      <c r="K135" s="101" t="s">
        <v>47</v>
      </c>
    </row>
    <row r="136" spans="1:11" x14ac:dyDescent="0.3">
      <c r="B136" s="70" t="s">
        <v>62</v>
      </c>
      <c r="C136" s="99" t="s">
        <v>45</v>
      </c>
      <c r="D136" s="99" t="s">
        <v>45</v>
      </c>
      <c r="E136" s="99" t="s">
        <v>45</v>
      </c>
      <c r="F136" s="99" t="s">
        <v>45</v>
      </c>
      <c r="G136" s="99" t="s">
        <v>47</v>
      </c>
      <c r="H136" s="99" t="s">
        <v>223</v>
      </c>
      <c r="I136" s="99" t="s">
        <v>223</v>
      </c>
      <c r="J136" s="99" t="s">
        <v>223</v>
      </c>
      <c r="K136" s="288" t="s">
        <v>223</v>
      </c>
    </row>
    <row r="137" spans="1:11" x14ac:dyDescent="0.3">
      <c r="B137" s="100" t="s">
        <v>63</v>
      </c>
      <c r="C137" s="145" t="s">
        <v>64</v>
      </c>
      <c r="D137" s="145" t="s">
        <v>64</v>
      </c>
      <c r="E137" s="145" t="s">
        <v>64</v>
      </c>
      <c r="F137" s="146" t="s">
        <v>327</v>
      </c>
      <c r="G137" s="146" t="s">
        <v>327</v>
      </c>
      <c r="H137" s="146" t="s">
        <v>327</v>
      </c>
      <c r="I137" s="146" t="s">
        <v>327</v>
      </c>
      <c r="J137" s="146" t="s">
        <v>327</v>
      </c>
      <c r="K137" s="101" t="s">
        <v>455</v>
      </c>
    </row>
    <row r="138" spans="1:11" x14ac:dyDescent="0.3">
      <c r="B138" s="137" t="s">
        <v>66</v>
      </c>
      <c r="C138" s="147" t="s">
        <v>7</v>
      </c>
      <c r="D138" s="147" t="s">
        <v>7</v>
      </c>
      <c r="E138" s="147" t="s">
        <v>7</v>
      </c>
      <c r="F138" s="152" t="s">
        <v>319</v>
      </c>
      <c r="G138" s="152" t="s">
        <v>319</v>
      </c>
      <c r="H138" s="152" t="s">
        <v>319</v>
      </c>
      <c r="I138" s="152" t="s">
        <v>319</v>
      </c>
      <c r="J138" t="s">
        <v>319</v>
      </c>
      <c r="K138" s="288" t="s">
        <v>319</v>
      </c>
    </row>
    <row r="139" spans="1:11" x14ac:dyDescent="0.3">
      <c r="B139" s="137" t="s">
        <v>451</v>
      </c>
      <c r="C139" s="99" t="s">
        <v>45</v>
      </c>
      <c r="D139" s="99" t="s">
        <v>45</v>
      </c>
      <c r="E139" s="99" t="s">
        <v>45</v>
      </c>
      <c r="F139" s="99" t="s">
        <v>45</v>
      </c>
      <c r="G139" s="99" t="s">
        <v>45</v>
      </c>
      <c r="H139" s="152" t="s">
        <v>47</v>
      </c>
      <c r="I139" s="152" t="s">
        <v>47</v>
      </c>
      <c r="J139" s="152" t="s">
        <v>47</v>
      </c>
      <c r="K139" s="288" t="s">
        <v>47</v>
      </c>
    </row>
    <row r="140" spans="1:11" ht="33" hidden="1" x14ac:dyDescent="0.3">
      <c r="B140" s="102" t="s">
        <v>135</v>
      </c>
      <c r="C140" s="103">
        <v>0</v>
      </c>
      <c r="D140" s="103">
        <v>0</v>
      </c>
      <c r="E140" s="103">
        <v>0</v>
      </c>
      <c r="F140" s="103">
        <v>0</v>
      </c>
      <c r="G140" s="103"/>
      <c r="H140" s="103"/>
      <c r="I140" s="103"/>
    </row>
    <row r="141" spans="1:11" ht="17.25" thickBot="1" x14ac:dyDescent="0.35">
      <c r="C141" s="99"/>
      <c r="D141" s="99"/>
      <c r="E141" s="99"/>
      <c r="F141" s="99"/>
      <c r="G141" s="99"/>
      <c r="H141" s="99"/>
      <c r="I141" s="99"/>
    </row>
    <row r="142" spans="1:11" ht="27" thickBot="1" x14ac:dyDescent="0.4">
      <c r="A142" s="1" t="s">
        <v>478</v>
      </c>
      <c r="B142" s="70" t="s">
        <v>67</v>
      </c>
      <c r="C142" s="283">
        <v>0</v>
      </c>
      <c r="D142" s="283">
        <v>0</v>
      </c>
      <c r="E142" s="283">
        <v>0</v>
      </c>
      <c r="F142" s="283">
        <v>0</v>
      </c>
      <c r="G142" s="283">
        <v>0</v>
      </c>
      <c r="H142" s="283">
        <v>0</v>
      </c>
      <c r="I142" s="283">
        <v>0</v>
      </c>
      <c r="J142" s="283">
        <v>0</v>
      </c>
      <c r="K142" s="283">
        <v>0</v>
      </c>
    </row>
    <row r="143" spans="1:11" ht="16.5" customHeight="1" x14ac:dyDescent="0.3">
      <c r="C143" s="153" t="str">
        <f>C115</f>
        <v>DA210</v>
      </c>
      <c r="D143" s="153" t="str">
        <f t="shared" ref="D143:K143" si="8">D115</f>
        <v>DA310</v>
      </c>
      <c r="E143" s="153" t="str">
        <f t="shared" si="8"/>
        <v>DA410</v>
      </c>
      <c r="F143" s="153" t="str">
        <f t="shared" si="8"/>
        <v>CONFERENCE1500</v>
      </c>
      <c r="G143" s="153" t="str">
        <f t="shared" si="8"/>
        <v>CONFERENCE1550</v>
      </c>
      <c r="H143" s="153" t="str">
        <f t="shared" si="8"/>
        <v>A220</v>
      </c>
      <c r="I143" s="153" t="str">
        <f t="shared" si="8"/>
        <v>SL450</v>
      </c>
      <c r="J143" s="153" t="str">
        <f t="shared" si="8"/>
        <v>C530IP</v>
      </c>
      <c r="K143" s="153" t="str">
        <f t="shared" si="8"/>
        <v>C530H</v>
      </c>
    </row>
    <row r="144" spans="1:11" x14ac:dyDescent="0.3">
      <c r="B144" s="413" t="str">
        <f>IF(OR(D369,D368),"AVISO: HA SELECCIONADO MAS TERMINALES  QUE EXTENSIONES DISPONIBLES EN LA PBX","")</f>
        <v/>
      </c>
      <c r="C144" s="413"/>
      <c r="D144" s="413"/>
      <c r="E144" s="413"/>
      <c r="F144" s="413"/>
      <c r="H144" s="281"/>
      <c r="I144" s="281"/>
      <c r="J144" s="399" t="str">
        <f>IF(J142*5&gt;=(K142),"","HA SELECCIONADO MAS TERMINALES QUE ANTENAS SIPDECT")</f>
        <v/>
      </c>
      <c r="K144" s="399"/>
    </row>
    <row r="145" spans="1:16" ht="16.5" customHeight="1" x14ac:dyDescent="0.3"/>
    <row r="146" spans="1:16" ht="16.5" customHeight="1" x14ac:dyDescent="0.3"/>
    <row r="147" spans="1:16" ht="24.95" customHeight="1" x14ac:dyDescent="0.35">
      <c r="A147" s="19">
        <v>3</v>
      </c>
      <c r="B147" s="105" t="s">
        <v>479</v>
      </c>
      <c r="C147" s="106"/>
    </row>
    <row r="148" spans="1:16" ht="16.5" customHeight="1" x14ac:dyDescent="0.3">
      <c r="P148" t="b">
        <v>1</v>
      </c>
    </row>
    <row r="149" spans="1:16" ht="24.95" customHeight="1" x14ac:dyDescent="0.3">
      <c r="A149" s="20" t="s">
        <v>240</v>
      </c>
      <c r="B149" s="282" t="s">
        <v>445</v>
      </c>
      <c r="P149" t="b">
        <v>1</v>
      </c>
    </row>
    <row r="150" spans="1:16" ht="15" customHeight="1" x14ac:dyDescent="0.3">
      <c r="A150" s="20"/>
      <c r="B150" s="282"/>
    </row>
    <row r="151" spans="1:16" ht="24.95" customHeight="1" thickBot="1" x14ac:dyDescent="0.35">
      <c r="A151" s="299"/>
      <c r="B151" s="377" t="s">
        <v>559</v>
      </c>
      <c r="E151" s="295" t="s">
        <v>528</v>
      </c>
      <c r="P151" s="5" t="b">
        <v>0</v>
      </c>
    </row>
    <row r="152" spans="1:16" ht="20.100000000000001" customHeight="1" thickBot="1" x14ac:dyDescent="0.35">
      <c r="A152" s="299"/>
      <c r="B152" s="378" t="s">
        <v>560</v>
      </c>
      <c r="E152" s="284">
        <v>0</v>
      </c>
    </row>
    <row r="153" spans="1:16" ht="24.95" customHeight="1" x14ac:dyDescent="0.3">
      <c r="A153" s="20" t="s">
        <v>149</v>
      </c>
      <c r="B153" s="282" t="s">
        <v>447</v>
      </c>
      <c r="P153" t="b">
        <v>1</v>
      </c>
    </row>
    <row r="154" spans="1:16" ht="15" customHeight="1" x14ac:dyDescent="0.3">
      <c r="A154" s="20"/>
      <c r="B154" s="282"/>
    </row>
    <row r="155" spans="1:16" ht="24.95" customHeight="1" thickBot="1" x14ac:dyDescent="0.35">
      <c r="A155" s="299"/>
      <c r="B155" s="377" t="s">
        <v>561</v>
      </c>
      <c r="E155" s="295" t="s">
        <v>528</v>
      </c>
      <c r="F155" s="70"/>
      <c r="P155" s="5" t="b">
        <v>0</v>
      </c>
    </row>
    <row r="156" spans="1:16" ht="20.100000000000001" customHeight="1" thickBot="1" x14ac:dyDescent="0.35">
      <c r="A156" s="299"/>
      <c r="B156" s="378" t="s">
        <v>560</v>
      </c>
      <c r="E156" s="284">
        <v>0</v>
      </c>
      <c r="F156" s="70"/>
    </row>
    <row r="157" spans="1:16" ht="24.95" customHeight="1" x14ac:dyDescent="0.3">
      <c r="A157" s="20" t="s">
        <v>150</v>
      </c>
      <c r="B157" s="282" t="s">
        <v>68</v>
      </c>
    </row>
    <row r="158" spans="1:16" ht="15" customHeight="1" thickBot="1" x14ac:dyDescent="0.35">
      <c r="A158" s="20"/>
      <c r="B158" s="282"/>
    </row>
    <row r="159" spans="1:16" ht="20.100000000000001" customHeight="1" thickBot="1" x14ac:dyDescent="0.35">
      <c r="A159" s="299"/>
      <c r="B159" s="378" t="s">
        <v>562</v>
      </c>
      <c r="E159" s="284">
        <v>0</v>
      </c>
      <c r="F159" s="70"/>
      <c r="G159" s="108"/>
    </row>
    <row r="160" spans="1:16" ht="24.95" customHeight="1" x14ac:dyDescent="0.3">
      <c r="A160" s="20" t="s">
        <v>151</v>
      </c>
      <c r="B160" s="282" t="s">
        <v>69</v>
      </c>
    </row>
    <row r="161" spans="1:16" ht="15" customHeight="1" thickBot="1" x14ac:dyDescent="0.35">
      <c r="A161" s="20"/>
      <c r="B161" s="282"/>
    </row>
    <row r="162" spans="1:16" ht="20.100000000000001" customHeight="1" thickBot="1" x14ac:dyDescent="0.35">
      <c r="A162" s="299"/>
      <c r="B162" s="378" t="s">
        <v>563</v>
      </c>
      <c r="E162" s="284">
        <v>0</v>
      </c>
      <c r="F162" s="70"/>
      <c r="G162" s="108"/>
    </row>
    <row r="163" spans="1:16" ht="16.5" customHeight="1" x14ac:dyDescent="0.3"/>
    <row r="164" spans="1:16" ht="16.5" customHeight="1" x14ac:dyDescent="0.3"/>
    <row r="165" spans="1:16" ht="25.5" x14ac:dyDescent="0.35">
      <c r="A165" s="21">
        <v>4</v>
      </c>
      <c r="B165" s="109" t="s">
        <v>564</v>
      </c>
      <c r="D165" s="110"/>
    </row>
    <row r="166" spans="1:16" ht="25.5" x14ac:dyDescent="0.35">
      <c r="A166" s="21"/>
      <c r="B166" s="70" t="s">
        <v>565</v>
      </c>
      <c r="D166" s="110"/>
    </row>
    <row r="167" spans="1:16" ht="25.5" x14ac:dyDescent="0.35">
      <c r="A167" s="21"/>
      <c r="D167" s="110"/>
    </row>
    <row r="168" spans="1:16" ht="21" thickBot="1" x14ac:dyDescent="0.35">
      <c r="A168" s="20" t="s">
        <v>241</v>
      </c>
      <c r="B168" s="348" t="s">
        <v>475</v>
      </c>
      <c r="C168" s="344">
        <f>IF(E168=D291,I477+I469,I489)</f>
        <v>0</v>
      </c>
      <c r="D168" s="346" t="s">
        <v>358</v>
      </c>
      <c r="E168" s="295" t="s">
        <v>473</v>
      </c>
      <c r="F168" s="382" t="str">
        <f>IF(E168=D291,""," &lt;-- Recuerde que debe seleccionar los Canales (4.b  y/o  4.c) y la Tarifa (4.d)!!!")</f>
        <v/>
      </c>
      <c r="P168" t="b">
        <f>E168=$D$291</f>
        <v>1</v>
      </c>
    </row>
    <row r="169" spans="1:16" ht="25.5" x14ac:dyDescent="0.35">
      <c r="A169" s="21"/>
      <c r="B169" s="70" t="s">
        <v>518</v>
      </c>
      <c r="D169" s="110"/>
      <c r="F169" s="368" t="str">
        <f>IF(E169=D292,""," &lt;-- Recuerde que las Tarifas a medida, solo se comisiona por el tráfico!!!")</f>
        <v xml:space="preserve"> &lt;-- Recuerde que las Tarifas a medida, solo se comisiona por el tráfico!!!</v>
      </c>
    </row>
    <row r="170" spans="1:16" ht="15" customHeight="1" x14ac:dyDescent="0.35">
      <c r="A170" s="21"/>
      <c r="C170" s="70" t="s">
        <v>566</v>
      </c>
      <c r="D170" s="110"/>
    </row>
    <row r="171" spans="1:16" ht="15" customHeight="1" x14ac:dyDescent="0.35">
      <c r="A171" s="21"/>
      <c r="C171" s="70" t="s">
        <v>519</v>
      </c>
      <c r="D171" s="110"/>
    </row>
    <row r="172" spans="1:16" ht="15" customHeight="1" x14ac:dyDescent="0.35">
      <c r="A172" s="21"/>
      <c r="C172" s="70" t="s">
        <v>520</v>
      </c>
      <c r="D172" s="110"/>
    </row>
    <row r="173" spans="1:16" ht="15" customHeight="1" x14ac:dyDescent="0.35">
      <c r="A173" s="21"/>
      <c r="C173" s="70" t="s">
        <v>521</v>
      </c>
      <c r="D173" s="110"/>
    </row>
    <row r="174" spans="1:16" ht="25.5" x14ac:dyDescent="0.35">
      <c r="A174" s="21"/>
      <c r="C174" s="367" t="s">
        <v>536</v>
      </c>
      <c r="D174" s="110"/>
    </row>
    <row r="175" spans="1:16" ht="25.5" x14ac:dyDescent="0.35">
      <c r="A175" s="21"/>
      <c r="B175" s="352" t="s">
        <v>585</v>
      </c>
      <c r="D175" s="110"/>
    </row>
    <row r="176" spans="1:16" ht="25.5" x14ac:dyDescent="0.35">
      <c r="A176" s="20" t="s">
        <v>244</v>
      </c>
      <c r="B176" s="109" t="s">
        <v>476</v>
      </c>
      <c r="D176" s="110"/>
    </row>
    <row r="177" spans="1:6" ht="15" customHeight="1" x14ac:dyDescent="0.35">
      <c r="A177" s="20"/>
      <c r="B177" s="109"/>
      <c r="D177" s="110"/>
    </row>
    <row r="178" spans="1:6" ht="21" thickBot="1" x14ac:dyDescent="0.35">
      <c r="A178" s="299"/>
      <c r="B178" s="349" t="s">
        <v>512</v>
      </c>
      <c r="C178" s="344">
        <f>I480</f>
        <v>0</v>
      </c>
      <c r="D178" s="346" t="s">
        <v>507</v>
      </c>
      <c r="E178" s="295" t="s">
        <v>446</v>
      </c>
      <c r="F178" s="381" t="str">
        <f>IF(E178=$H$291,"&lt;--Recuerde seleccionar la tarifa en Minutos en 4.d","")</f>
        <v/>
      </c>
    </row>
    <row r="179" spans="1:6" ht="20.25" x14ac:dyDescent="0.3">
      <c r="A179" s="299"/>
      <c r="B179" s="70" t="s">
        <v>586</v>
      </c>
      <c r="C179" s="344"/>
      <c r="D179" s="346"/>
      <c r="E179" s="346"/>
    </row>
    <row r="180" spans="1:6" ht="16.5" customHeight="1" x14ac:dyDescent="0.3">
      <c r="C180" s="70" t="s">
        <v>480</v>
      </c>
      <c r="D180" s="346"/>
    </row>
    <row r="181" spans="1:6" ht="16.5" customHeight="1" x14ac:dyDescent="0.3">
      <c r="C181" s="70" t="s">
        <v>481</v>
      </c>
      <c r="D181" s="346"/>
    </row>
    <row r="182" spans="1:6" ht="15" customHeight="1" x14ac:dyDescent="0.3">
      <c r="C182" s="77" t="s">
        <v>537</v>
      </c>
      <c r="D182" s="346"/>
    </row>
    <row r="183" spans="1:6" ht="30" customHeight="1" x14ac:dyDescent="0.3">
      <c r="C183" s="77" t="s">
        <v>567</v>
      </c>
      <c r="D183" s="346"/>
    </row>
    <row r="184" spans="1:6" ht="25.5" x14ac:dyDescent="0.35">
      <c r="A184" s="20" t="s">
        <v>246</v>
      </c>
      <c r="B184" s="109" t="s">
        <v>459</v>
      </c>
      <c r="C184" s="110"/>
      <c r="D184" s="346"/>
    </row>
    <row r="185" spans="1:6" ht="15" customHeight="1" thickBot="1" x14ac:dyDescent="0.4">
      <c r="A185" s="20"/>
      <c r="B185" s="109"/>
      <c r="C185" s="110"/>
      <c r="D185" s="346"/>
    </row>
    <row r="186" spans="1:6" ht="20.100000000000001" customHeight="1" thickBot="1" x14ac:dyDescent="0.35">
      <c r="A186" s="299"/>
      <c r="B186" s="349" t="s">
        <v>511</v>
      </c>
      <c r="C186" s="344">
        <f>IF(OR(E186=0,E168=D291),0,I481)</f>
        <v>0</v>
      </c>
      <c r="D186" s="346" t="s">
        <v>508</v>
      </c>
      <c r="E186" s="294">
        <v>0</v>
      </c>
      <c r="F186" s="381" t="str">
        <f>IF(E186&gt;0,"&lt;--Recuerde seleccionar la tarifa en Minutos en 4.d","")</f>
        <v/>
      </c>
    </row>
    <row r="187" spans="1:6" ht="20.100000000000001" customHeight="1" x14ac:dyDescent="0.3">
      <c r="A187" s="299"/>
      <c r="B187" s="345" t="s">
        <v>568</v>
      </c>
      <c r="C187" s="344"/>
      <c r="D187" s="346"/>
      <c r="E187" s="346"/>
    </row>
    <row r="188" spans="1:6" ht="20.100000000000001" customHeight="1" x14ac:dyDescent="0.3">
      <c r="A188" s="299"/>
      <c r="B188" s="345"/>
      <c r="C188" s="70" t="s">
        <v>571</v>
      </c>
      <c r="D188" s="346"/>
      <c r="E188" s="346"/>
    </row>
    <row r="189" spans="1:6" ht="16.5" customHeight="1" x14ac:dyDescent="0.3">
      <c r="C189" s="345" t="s">
        <v>546</v>
      </c>
      <c r="D189" s="346"/>
    </row>
    <row r="190" spans="1:6" ht="16.5" customHeight="1" x14ac:dyDescent="0.3">
      <c r="C190" s="345" t="s">
        <v>499</v>
      </c>
      <c r="D190" s="346"/>
    </row>
    <row r="191" spans="1:6" ht="15" customHeight="1" x14ac:dyDescent="0.35">
      <c r="A191" s="21"/>
      <c r="C191" s="369" t="s">
        <v>538</v>
      </c>
      <c r="D191" s="346"/>
      <c r="E191" s="289"/>
    </row>
    <row r="192" spans="1:6" ht="30" customHeight="1" x14ac:dyDescent="0.35">
      <c r="A192" s="21"/>
      <c r="C192" s="77" t="s">
        <v>567</v>
      </c>
      <c r="D192" s="346"/>
      <c r="E192" s="289"/>
    </row>
    <row r="193" spans="1:16" ht="25.5" x14ac:dyDescent="0.35">
      <c r="A193" s="20" t="s">
        <v>247</v>
      </c>
      <c r="B193" s="109" t="s">
        <v>587</v>
      </c>
      <c r="C193" s="110"/>
      <c r="D193" s="346"/>
    </row>
    <row r="194" spans="1:16" ht="30" customHeight="1" x14ac:dyDescent="0.3">
      <c r="A194" s="20"/>
      <c r="B194" s="345" t="s">
        <v>570</v>
      </c>
      <c r="C194" s="110"/>
      <c r="D194" s="346"/>
    </row>
    <row r="195" spans="1:16" ht="26.25" thickBot="1" x14ac:dyDescent="0.4">
      <c r="A195" s="20"/>
      <c r="B195" s="109"/>
      <c r="C195" s="110"/>
      <c r="D195" s="346"/>
    </row>
    <row r="196" spans="1:16" ht="20.100000000000001" customHeight="1" thickBot="1" x14ac:dyDescent="0.35">
      <c r="A196" s="299"/>
      <c r="B196" s="349" t="s">
        <v>572</v>
      </c>
      <c r="C196" s="344">
        <f>IF(P168,0,INDEX(J289:K292,MATCH(E196,J289:J292,0),2))</f>
        <v>0</v>
      </c>
      <c r="D196" s="346" t="s">
        <v>358</v>
      </c>
      <c r="E196" s="293" t="s">
        <v>464</v>
      </c>
    </row>
    <row r="197" spans="1:16" ht="24.95" customHeight="1" x14ac:dyDescent="0.3">
      <c r="B197" s="379" t="s">
        <v>575</v>
      </c>
      <c r="C197" s="380"/>
      <c r="D197" s="346"/>
    </row>
    <row r="198" spans="1:16" ht="15" customHeight="1" x14ac:dyDescent="0.3">
      <c r="B198" s="379"/>
      <c r="C198" s="70" t="s">
        <v>576</v>
      </c>
      <c r="D198" s="346"/>
    </row>
    <row r="199" spans="1:16" ht="24.95" customHeight="1" x14ac:dyDescent="0.3">
      <c r="C199" s="369" t="s">
        <v>569</v>
      </c>
      <c r="D199" s="346"/>
    </row>
    <row r="200" spans="1:16" ht="16.5" customHeight="1" x14ac:dyDescent="0.3">
      <c r="B200" s="369"/>
      <c r="D200" s="346"/>
    </row>
    <row r="201" spans="1:16" ht="24.95" customHeight="1" x14ac:dyDescent="0.35">
      <c r="A201" s="20" t="s">
        <v>248</v>
      </c>
      <c r="B201" s="109" t="s">
        <v>500</v>
      </c>
      <c r="D201" s="346"/>
    </row>
    <row r="202" spans="1:16" ht="15" customHeight="1" thickBot="1" x14ac:dyDescent="0.4">
      <c r="A202" s="20"/>
      <c r="B202" s="109"/>
      <c r="D202" s="346"/>
    </row>
    <row r="203" spans="1:16" ht="20.100000000000001" customHeight="1" thickBot="1" x14ac:dyDescent="0.4">
      <c r="A203" s="21"/>
      <c r="B203" s="349" t="s">
        <v>275</v>
      </c>
      <c r="C203" s="344">
        <f>G482*E203</f>
        <v>0</v>
      </c>
      <c r="D203" s="346" t="s">
        <v>509</v>
      </c>
      <c r="E203" s="294">
        <v>0</v>
      </c>
    </row>
    <row r="204" spans="1:16" ht="20.100000000000001" customHeight="1" x14ac:dyDescent="0.35">
      <c r="A204" s="21"/>
      <c r="B204" s="296" t="s">
        <v>573</v>
      </c>
      <c r="C204" s="344"/>
      <c r="D204" s="346"/>
      <c r="E204" s="346"/>
    </row>
    <row r="205" spans="1:16" ht="20.100000000000001" customHeight="1" x14ac:dyDescent="0.35">
      <c r="A205" s="21"/>
      <c r="B205" s="349"/>
      <c r="C205" s="345" t="s">
        <v>574</v>
      </c>
      <c r="D205" s="346"/>
      <c r="E205" s="346"/>
    </row>
    <row r="206" spans="1:16" ht="16.5" customHeight="1" x14ac:dyDescent="0.3">
      <c r="C206" s="345" t="s">
        <v>488</v>
      </c>
      <c r="D206" s="346"/>
    </row>
    <row r="207" spans="1:16" ht="30" customHeight="1" x14ac:dyDescent="0.3">
      <c r="C207" s="369" t="s">
        <v>538</v>
      </c>
      <c r="D207" s="346"/>
    </row>
    <row r="208" spans="1:16" ht="25.5" x14ac:dyDescent="0.35">
      <c r="A208" s="22" t="s">
        <v>482</v>
      </c>
      <c r="B208" s="109" t="s">
        <v>487</v>
      </c>
      <c r="D208" s="346"/>
      <c r="P208" t="b">
        <v>0</v>
      </c>
    </row>
    <row r="209" spans="1:16" ht="16.5" customHeight="1" x14ac:dyDescent="0.3">
      <c r="D209" s="346"/>
    </row>
    <row r="210" spans="1:16" ht="20.100000000000001" customHeight="1" thickBot="1" x14ac:dyDescent="0.35">
      <c r="B210" s="350" t="s">
        <v>513</v>
      </c>
      <c r="C210" s="344">
        <f>I487</f>
        <v>0</v>
      </c>
      <c r="D210" s="346" t="s">
        <v>506</v>
      </c>
      <c r="E210" s="295" t="s">
        <v>446</v>
      </c>
      <c r="P210" s="5" t="b">
        <f>E210=$H$291</f>
        <v>0</v>
      </c>
    </row>
    <row r="211" spans="1:16" ht="20.100000000000001" customHeight="1" x14ac:dyDescent="0.3">
      <c r="B211" s="70" t="s">
        <v>577</v>
      </c>
      <c r="D211" s="346"/>
      <c r="E211" s="354">
        <v>1</v>
      </c>
      <c r="P211" s="5"/>
    </row>
    <row r="212" spans="1:16" ht="20.100000000000001" customHeight="1" x14ac:dyDescent="0.3">
      <c r="B212" s="296" t="s">
        <v>578</v>
      </c>
      <c r="C212" s="380"/>
      <c r="D212" s="346"/>
      <c r="E212" s="354"/>
      <c r="P212" s="5"/>
    </row>
    <row r="213" spans="1:16" ht="20.100000000000001" customHeight="1" x14ac:dyDescent="0.3">
      <c r="B213" s="369"/>
      <c r="C213" s="113" t="s">
        <v>215</v>
      </c>
      <c r="D213" s="346"/>
      <c r="E213" s="354"/>
      <c r="P213" s="5"/>
    </row>
    <row r="214" spans="1:16" ht="30" customHeight="1" x14ac:dyDescent="0.3">
      <c r="B214" s="369"/>
      <c r="C214" s="369" t="s">
        <v>538</v>
      </c>
      <c r="D214" s="346"/>
      <c r="P214" s="5"/>
    </row>
    <row r="215" spans="1:16" ht="20.100000000000001" customHeight="1" x14ac:dyDescent="0.35">
      <c r="A215" s="20" t="s">
        <v>486</v>
      </c>
      <c r="B215" s="109" t="s">
        <v>484</v>
      </c>
      <c r="D215" s="346"/>
      <c r="P215" s="5"/>
    </row>
    <row r="216" spans="1:16" ht="20.100000000000001" customHeight="1" x14ac:dyDescent="0.3">
      <c r="B216" s="63"/>
      <c r="D216" s="346"/>
      <c r="P216" s="5"/>
    </row>
    <row r="217" spans="1:16" ht="20.100000000000001" customHeight="1" thickBot="1" x14ac:dyDescent="0.35">
      <c r="B217" s="350" t="s">
        <v>514</v>
      </c>
      <c r="C217" s="344">
        <f>I488</f>
        <v>0</v>
      </c>
      <c r="D217" s="346" t="str">
        <f>D210</f>
        <v>Mensual/Servicio</v>
      </c>
      <c r="E217" s="295" t="s">
        <v>446</v>
      </c>
      <c r="P217" s="5" t="b">
        <f>E217=$H$291</f>
        <v>0</v>
      </c>
    </row>
    <row r="218" spans="1:16" ht="20.100000000000001" customHeight="1" x14ac:dyDescent="0.3">
      <c r="B218" s="70" t="s">
        <v>577</v>
      </c>
      <c r="E218" s="354">
        <v>1</v>
      </c>
      <c r="F218" s="155" t="str">
        <f>IF(E218&gt;E186+1,"Hay mas Nº de RED que Troncales","")</f>
        <v/>
      </c>
      <c r="P218" s="5"/>
    </row>
    <row r="219" spans="1:16" ht="20.100000000000001" customHeight="1" x14ac:dyDescent="0.3">
      <c r="B219" s="296" t="s">
        <v>578</v>
      </c>
      <c r="P219" s="5"/>
    </row>
    <row r="220" spans="1:16" ht="20.100000000000001" customHeight="1" x14ac:dyDescent="0.3">
      <c r="C220" s="63" t="s">
        <v>485</v>
      </c>
      <c r="P220" s="5"/>
    </row>
    <row r="221" spans="1:16" ht="20.100000000000001" customHeight="1" x14ac:dyDescent="0.3">
      <c r="B221" s="369"/>
      <c r="C221" s="369" t="s">
        <v>538</v>
      </c>
      <c r="P221" s="5"/>
    </row>
    <row r="222" spans="1:16" ht="20.100000000000001" customHeight="1" x14ac:dyDescent="0.3">
      <c r="B222" s="63"/>
      <c r="P222" s="5"/>
    </row>
    <row r="223" spans="1:16" ht="20.100000000000001" customHeight="1" x14ac:dyDescent="0.3">
      <c r="B223" s="112" t="s">
        <v>515</v>
      </c>
    </row>
    <row r="224" spans="1:16" ht="16.5" customHeight="1" x14ac:dyDescent="0.3"/>
    <row r="225" spans="1:16" ht="24.95" customHeight="1" x14ac:dyDescent="0.35">
      <c r="A225" s="20" t="s">
        <v>517</v>
      </c>
      <c r="B225" s="109" t="s">
        <v>489</v>
      </c>
    </row>
    <row r="226" spans="1:16" ht="15" customHeight="1" thickBot="1" x14ac:dyDescent="0.4">
      <c r="A226" s="20"/>
      <c r="B226" s="109"/>
    </row>
    <row r="227" spans="1:16" ht="21" thickBot="1" x14ac:dyDescent="0.35">
      <c r="A227" s="299"/>
      <c r="B227" s="350" t="s">
        <v>516</v>
      </c>
      <c r="C227" s="344">
        <f>I490</f>
        <v>0</v>
      </c>
      <c r="D227" s="346" t="s">
        <v>505</v>
      </c>
      <c r="E227" s="347" t="s">
        <v>525</v>
      </c>
      <c r="F227" s="63" t="str">
        <f>IF(AND(E168=D291,E227=B292),"Incluida en la Tarifa Plana","")</f>
        <v/>
      </c>
      <c r="P227" s="5" t="b">
        <f>E227=B292</f>
        <v>0</v>
      </c>
    </row>
    <row r="228" spans="1:16" ht="16.5" customHeight="1" x14ac:dyDescent="0.3">
      <c r="D228" s="346"/>
    </row>
    <row r="229" spans="1:16" ht="20.100000000000001" customHeight="1" x14ac:dyDescent="0.3">
      <c r="A229" s="299"/>
      <c r="B229" s="297" t="s">
        <v>504</v>
      </c>
      <c r="C229" s="344">
        <f>IF(P229,G491,0)</f>
        <v>6</v>
      </c>
      <c r="D229" s="346" t="str">
        <f>D227</f>
        <v>Mensual/FIBRA</v>
      </c>
      <c r="E229" s="355" t="s">
        <v>528</v>
      </c>
      <c r="P229" s="5" t="b">
        <f>E229=$H$291</f>
        <v>1</v>
      </c>
    </row>
    <row r="230" spans="1:16" ht="15" customHeight="1" x14ac:dyDescent="0.3">
      <c r="A230" s="299"/>
      <c r="D230" s="346"/>
      <c r="P230" s="5"/>
    </row>
    <row r="231" spans="1:16" ht="20.100000000000001" customHeight="1" thickBot="1" x14ac:dyDescent="0.35">
      <c r="A231" s="299"/>
      <c r="B231" s="297" t="s">
        <v>503</v>
      </c>
      <c r="C231" s="344">
        <f>IF(P231,G492,0)</f>
        <v>0</v>
      </c>
      <c r="D231" s="346" t="str">
        <f>D229</f>
        <v>Mensual/FIBRA</v>
      </c>
      <c r="E231" s="295" t="s">
        <v>446</v>
      </c>
      <c r="P231" s="5" t="b">
        <f>E231=$H$291</f>
        <v>0</v>
      </c>
    </row>
    <row r="232" spans="1:16" ht="15" customHeight="1" thickBot="1" x14ac:dyDescent="0.35">
      <c r="A232" s="299"/>
      <c r="B232" s="297"/>
    </row>
    <row r="233" spans="1:16" ht="20.100000000000001" customHeight="1" thickBot="1" x14ac:dyDescent="0.35">
      <c r="A233" s="299"/>
      <c r="B233" s="297" t="s">
        <v>469</v>
      </c>
      <c r="C233" s="344">
        <f>IF(E233=H349,0,IF(E233=H350,I453,I454))</f>
        <v>0</v>
      </c>
      <c r="D233" s="346" t="str">
        <f>IF(E233=H349,"","1 Solo pago")</f>
        <v/>
      </c>
      <c r="E233" s="293" t="s">
        <v>470</v>
      </c>
    </row>
    <row r="234" spans="1:16" ht="20.100000000000001" customHeight="1" x14ac:dyDescent="0.3">
      <c r="B234" s="297"/>
    </row>
    <row r="235" spans="1:16" ht="16.5" customHeight="1" x14ac:dyDescent="0.3"/>
    <row r="236" spans="1:16" ht="25.5" x14ac:dyDescent="0.35">
      <c r="A236" s="21">
        <v>5</v>
      </c>
      <c r="B236" s="109" t="s">
        <v>579</v>
      </c>
      <c r="D236" s="110"/>
    </row>
    <row r="237" spans="1:16" ht="25.5" x14ac:dyDescent="0.35">
      <c r="A237" s="21"/>
      <c r="B237" s="109"/>
      <c r="D237" s="110"/>
    </row>
    <row r="238" spans="1:16" ht="25.5" x14ac:dyDescent="0.35">
      <c r="A238" s="22" t="s">
        <v>580</v>
      </c>
      <c r="B238" s="109" t="s">
        <v>490</v>
      </c>
      <c r="C238" s="150"/>
    </row>
    <row r="239" spans="1:16" ht="17.25" thickBot="1" x14ac:dyDescent="0.35">
      <c r="B239" s="63" t="s">
        <v>269</v>
      </c>
    </row>
    <row r="240" spans="1:16" ht="27" thickBot="1" x14ac:dyDescent="0.4">
      <c r="C240" s="344">
        <f>G500</f>
        <v>14</v>
      </c>
      <c r="D240" s="346" t="s">
        <v>547</v>
      </c>
      <c r="E240" s="104">
        <v>0</v>
      </c>
    </row>
    <row r="241" spans="1:3" ht="16.5" customHeight="1" x14ac:dyDescent="0.3"/>
    <row r="242" spans="1:3" ht="16.5" customHeight="1" x14ac:dyDescent="0.3"/>
    <row r="243" spans="1:3" ht="16.5" customHeight="1" x14ac:dyDescent="0.3">
      <c r="C243" s="63" t="s">
        <v>553</v>
      </c>
    </row>
    <row r="244" spans="1:3" ht="16.5" customHeight="1" x14ac:dyDescent="0.3">
      <c r="C244" s="63" t="s">
        <v>328</v>
      </c>
    </row>
    <row r="245" spans="1:3" ht="16.5" customHeight="1" x14ac:dyDescent="0.3"/>
    <row r="246" spans="1:3" ht="16.5" customHeight="1" x14ac:dyDescent="0.3"/>
    <row r="247" spans="1:3" ht="18.75" hidden="1" x14ac:dyDescent="0.3">
      <c r="A247" s="22"/>
      <c r="B247" s="107"/>
    </row>
    <row r="248" spans="1:3" ht="16.5" hidden="1" customHeight="1" x14ac:dyDescent="0.3"/>
    <row r="249" spans="1:3" ht="16.5" hidden="1" customHeight="1" x14ac:dyDescent="0.3"/>
    <row r="250" spans="1:3" ht="16.5" hidden="1" customHeight="1" x14ac:dyDescent="0.3"/>
    <row r="251" spans="1:3" ht="16.5" hidden="1" customHeight="1" x14ac:dyDescent="0.3"/>
    <row r="252" spans="1:3" ht="16.5" hidden="1" customHeight="1" x14ac:dyDescent="0.3"/>
    <row r="253" spans="1:3" ht="16.5" hidden="1" customHeight="1" x14ac:dyDescent="0.3"/>
    <row r="254" spans="1:3" ht="16.5" hidden="1" customHeight="1" x14ac:dyDescent="0.3"/>
    <row r="255" spans="1:3" ht="16.5" hidden="1" customHeight="1" x14ac:dyDescent="0.3"/>
    <row r="256" spans="1:3" ht="16.5" hidden="1" customHeight="1" x14ac:dyDescent="0.3"/>
    <row r="257" spans="1:10" ht="16.5" hidden="1" customHeight="1" x14ac:dyDescent="0.3"/>
    <row r="258" spans="1:10" ht="16.5" hidden="1" customHeight="1" x14ac:dyDescent="0.3"/>
    <row r="259" spans="1:10" ht="16.5" hidden="1" customHeight="1" x14ac:dyDescent="0.3">
      <c r="F259" s="313"/>
      <c r="G259" s="313"/>
      <c r="I259" s="45"/>
      <c r="J259" s="45"/>
    </row>
    <row r="260" spans="1:10" ht="16.5" hidden="1" customHeight="1" x14ac:dyDescent="0.3">
      <c r="E260" s="313"/>
      <c r="F260" s="313"/>
      <c r="G260" s="313"/>
      <c r="I260" s="45"/>
      <c r="J260" s="45"/>
    </row>
    <row r="261" spans="1:10" hidden="1" x14ac:dyDescent="0.3">
      <c r="E261" s="313"/>
      <c r="F261" s="313"/>
      <c r="G261" s="313"/>
      <c r="I261" s="45"/>
      <c r="J261" s="45"/>
    </row>
    <row r="262" spans="1:10" hidden="1" x14ac:dyDescent="0.3">
      <c r="E262" s="313"/>
      <c r="F262" s="313"/>
      <c r="G262" s="313"/>
      <c r="I262" s="45"/>
      <c r="J262" s="45"/>
    </row>
    <row r="263" spans="1:10" hidden="1" x14ac:dyDescent="0.3">
      <c r="E263" s="313"/>
      <c r="F263" s="313"/>
      <c r="G263" s="313"/>
      <c r="I263" s="45"/>
      <c r="J263" s="45"/>
    </row>
    <row r="264" spans="1:10" ht="16.5" hidden="1" customHeight="1" x14ac:dyDescent="0.3"/>
    <row r="265" spans="1:10" ht="24.95" customHeight="1" x14ac:dyDescent="0.35">
      <c r="B265" s="109" t="s">
        <v>527</v>
      </c>
    </row>
    <row r="266" spans="1:10" ht="16.5" customHeight="1" x14ac:dyDescent="0.3"/>
    <row r="267" spans="1:10" ht="16.5" customHeight="1" x14ac:dyDescent="0.3">
      <c r="A267" t="s">
        <v>206</v>
      </c>
      <c r="B267" s="70" t="s">
        <v>548</v>
      </c>
    </row>
    <row r="268" spans="1:10" ht="16.5" customHeight="1" x14ac:dyDescent="0.3">
      <c r="A268" t="s">
        <v>207</v>
      </c>
      <c r="B268" s="70" t="s">
        <v>549</v>
      </c>
    </row>
    <row r="269" spans="1:10" ht="16.5" customHeight="1" x14ac:dyDescent="0.3">
      <c r="A269" t="s">
        <v>373</v>
      </c>
      <c r="B269" s="70" t="s">
        <v>550</v>
      </c>
    </row>
    <row r="270" spans="1:10" ht="16.5" customHeight="1" x14ac:dyDescent="0.3">
      <c r="A270" t="s">
        <v>209</v>
      </c>
      <c r="B270" s="70" t="s">
        <v>448</v>
      </c>
    </row>
    <row r="271" spans="1:10" ht="16.5" customHeight="1" x14ac:dyDescent="0.3"/>
    <row r="272" spans="1:10" ht="16.5" hidden="1" customHeight="1" x14ac:dyDescent="0.3">
      <c r="F272" s="63" t="b">
        <v>0</v>
      </c>
    </row>
    <row r="273" spans="1:11" ht="16.5" hidden="1" customHeight="1" x14ac:dyDescent="0.3"/>
    <row r="274" spans="1:11" ht="16.5" hidden="1" customHeight="1" x14ac:dyDescent="0.3"/>
    <row r="275" spans="1:11" ht="16.5" hidden="1" customHeight="1" x14ac:dyDescent="0.3"/>
    <row r="276" spans="1:11" ht="16.5" hidden="1" customHeight="1" x14ac:dyDescent="0.3"/>
    <row r="277" spans="1:11" ht="16.5" customHeight="1" x14ac:dyDescent="0.3">
      <c r="B277" s="70" t="s">
        <v>539</v>
      </c>
    </row>
    <row r="278" spans="1:11" ht="16.5" customHeight="1" x14ac:dyDescent="0.3">
      <c r="A278" s="70" t="s">
        <v>486</v>
      </c>
      <c r="B278" s="70" t="s">
        <v>440</v>
      </c>
    </row>
    <row r="279" spans="1:11" ht="16.5" customHeight="1" x14ac:dyDescent="0.3">
      <c r="B279" s="402" t="s">
        <v>441</v>
      </c>
      <c r="C279" s="402"/>
      <c r="D279" s="402"/>
      <c r="E279" s="402"/>
      <c r="F279" s="402"/>
      <c r="G279" s="402"/>
      <c r="H279" s="402"/>
      <c r="I279" s="402"/>
      <c r="J279" s="402"/>
      <c r="K279" s="402"/>
    </row>
    <row r="280" spans="1:11" ht="16.5" customHeight="1" x14ac:dyDescent="0.3">
      <c r="B280" s="402"/>
      <c r="C280" s="402"/>
      <c r="D280" s="402"/>
      <c r="E280" s="402"/>
      <c r="F280" s="402"/>
      <c r="G280" s="402"/>
      <c r="H280" s="402"/>
      <c r="I280" s="402"/>
      <c r="J280" s="402"/>
      <c r="K280" s="402"/>
    </row>
    <row r="281" spans="1:11" ht="16.5" customHeight="1" x14ac:dyDescent="0.3">
      <c r="B281" s="402"/>
      <c r="C281" s="402"/>
      <c r="D281" s="402"/>
      <c r="E281" s="402"/>
      <c r="F281" s="402"/>
      <c r="G281" s="402"/>
      <c r="H281" s="402"/>
      <c r="I281" s="402"/>
      <c r="J281" s="402"/>
      <c r="K281" s="402"/>
    </row>
    <row r="282" spans="1:11" ht="16.5" customHeight="1" x14ac:dyDescent="0.3">
      <c r="A282" t="s">
        <v>526</v>
      </c>
      <c r="B282" s="70" t="s">
        <v>522</v>
      </c>
      <c r="D282" s="401" t="s">
        <v>216</v>
      </c>
      <c r="E282" s="401"/>
      <c r="F282" s="401"/>
      <c r="G282" s="401"/>
      <c r="H282" s="401"/>
      <c r="I282" s="401"/>
      <c r="J282" s="401"/>
      <c r="K282" s="401"/>
    </row>
    <row r="283" spans="1:11" ht="16.5" customHeight="1" x14ac:dyDescent="0.3">
      <c r="B283" s="63"/>
      <c r="D283" s="401"/>
      <c r="E283" s="401"/>
      <c r="F283" s="401"/>
      <c r="G283" s="401"/>
      <c r="H283" s="401"/>
      <c r="I283" s="401"/>
      <c r="J283" s="401"/>
      <c r="K283" s="401"/>
    </row>
    <row r="284" spans="1:11" ht="16.5" customHeight="1" x14ac:dyDescent="0.3">
      <c r="A284" t="s">
        <v>555</v>
      </c>
      <c r="B284" s="63" t="s">
        <v>556</v>
      </c>
      <c r="C284" s="313"/>
      <c r="D284" s="351"/>
      <c r="E284" s="351"/>
      <c r="F284" s="351"/>
      <c r="G284" s="351"/>
      <c r="H284" s="351"/>
      <c r="I284" s="351"/>
      <c r="J284" s="351"/>
      <c r="K284" s="351"/>
    </row>
    <row r="285" spans="1:11" ht="16.5" customHeight="1" x14ac:dyDescent="0.3">
      <c r="A285" s="54"/>
      <c r="B285" s="64"/>
      <c r="C285" s="64" t="s">
        <v>270</v>
      </c>
      <c r="D285" s="64"/>
      <c r="E285" s="114" t="str">
        <f>"Marzo-2020"</f>
        <v>Marzo-2020</v>
      </c>
      <c r="F285" s="64"/>
      <c r="G285" s="64"/>
      <c r="H285" s="64"/>
      <c r="I285" s="64"/>
      <c r="J285" s="64"/>
      <c r="K285" s="64"/>
    </row>
    <row r="286" spans="1:11" ht="16.5" customHeight="1" x14ac:dyDescent="0.3"/>
    <row r="287" spans="1:11" ht="16.5" hidden="1" customHeight="1" x14ac:dyDescent="0.3"/>
    <row r="288" spans="1:11" ht="16.5" hidden="1" customHeight="1" x14ac:dyDescent="0.3">
      <c r="J288" s="298" t="s">
        <v>442</v>
      </c>
      <c r="K288" s="298" t="s">
        <v>443</v>
      </c>
    </row>
    <row r="289" spans="2:11" ht="16.5" hidden="1" customHeight="1" x14ac:dyDescent="0.3">
      <c r="J289" s="298" t="s">
        <v>464</v>
      </c>
      <c r="K289" s="298">
        <f>E483</f>
        <v>34.9</v>
      </c>
    </row>
    <row r="290" spans="2:11" ht="16.5" hidden="1" customHeight="1" x14ac:dyDescent="0.3">
      <c r="H290" s="63" t="s">
        <v>257</v>
      </c>
      <c r="J290" s="298" t="s">
        <v>465</v>
      </c>
      <c r="K290" s="298">
        <f t="shared" ref="K290:K292" si="9">E484</f>
        <v>69.900000000000006</v>
      </c>
    </row>
    <row r="291" spans="2:11" hidden="1" x14ac:dyDescent="0.3">
      <c r="B291" s="115" t="s">
        <v>525</v>
      </c>
      <c r="D291" s="117" t="s">
        <v>473</v>
      </c>
      <c r="F291" s="275" t="b">
        <v>1</v>
      </c>
      <c r="H291" s="117" t="s">
        <v>528</v>
      </c>
      <c r="J291" s="298" t="s">
        <v>466</v>
      </c>
      <c r="K291" s="298">
        <f t="shared" si="9"/>
        <v>94.9</v>
      </c>
    </row>
    <row r="292" spans="2:11" hidden="1" x14ac:dyDescent="0.3">
      <c r="B292" s="116" t="s">
        <v>510</v>
      </c>
      <c r="D292" s="119" t="s">
        <v>474</v>
      </c>
      <c r="H292" s="119" t="s">
        <v>446</v>
      </c>
      <c r="J292" s="298" t="s">
        <v>467</v>
      </c>
      <c r="K292" s="298">
        <f t="shared" si="9"/>
        <v>144.9</v>
      </c>
    </row>
    <row r="293" spans="2:11" ht="16.5" hidden="1" customHeight="1" x14ac:dyDescent="0.3"/>
    <row r="294" spans="2:11" ht="16.5" hidden="1" customHeight="1" x14ac:dyDescent="0.3">
      <c r="J294" s="3"/>
      <c r="K294" s="3"/>
    </row>
    <row r="295" spans="2:11" ht="16.5" hidden="1" customHeight="1" x14ac:dyDescent="0.3">
      <c r="J295" s="3"/>
      <c r="K295" s="3"/>
    </row>
    <row r="296" spans="2:11" hidden="1" x14ac:dyDescent="0.3">
      <c r="B296" s="70" t="s">
        <v>191</v>
      </c>
      <c r="C296" s="63" t="s">
        <v>192</v>
      </c>
      <c r="D296" s="117" t="s">
        <v>193</v>
      </c>
      <c r="J296" s="3"/>
      <c r="K296" s="3"/>
    </row>
    <row r="297" spans="2:11" hidden="1" x14ac:dyDescent="0.3">
      <c r="B297" s="70" t="s">
        <v>198</v>
      </c>
      <c r="C297" s="63" t="s">
        <v>194</v>
      </c>
      <c r="D297" s="118" t="s">
        <v>198</v>
      </c>
      <c r="J297" s="3"/>
      <c r="K297" s="3"/>
    </row>
    <row r="298" spans="2:11" hidden="1" x14ac:dyDescent="0.3">
      <c r="B298" s="70" t="s">
        <v>168</v>
      </c>
      <c r="C298" s="63" t="s">
        <v>153</v>
      </c>
      <c r="D298" s="118" t="s">
        <v>194</v>
      </c>
    </row>
    <row r="299" spans="2:11" hidden="1" x14ac:dyDescent="0.3">
      <c r="B299" s="70" t="s">
        <v>169</v>
      </c>
      <c r="C299" s="63" t="s">
        <v>154</v>
      </c>
      <c r="D299" s="118" t="s">
        <v>168</v>
      </c>
    </row>
    <row r="300" spans="2:11" hidden="1" x14ac:dyDescent="0.3">
      <c r="B300" s="70" t="s">
        <v>170</v>
      </c>
      <c r="C300" s="63" t="s">
        <v>155</v>
      </c>
      <c r="D300" s="118" t="s">
        <v>153</v>
      </c>
    </row>
    <row r="301" spans="2:11" hidden="1" x14ac:dyDescent="0.3">
      <c r="B301" s="70" t="s">
        <v>199</v>
      </c>
      <c r="C301" s="63" t="s">
        <v>195</v>
      </c>
      <c r="D301" s="118" t="s">
        <v>169</v>
      </c>
    </row>
    <row r="302" spans="2:11" hidden="1" x14ac:dyDescent="0.3">
      <c r="B302" s="70" t="s">
        <v>171</v>
      </c>
      <c r="C302" s="63" t="s">
        <v>156</v>
      </c>
      <c r="D302" s="118" t="s">
        <v>170</v>
      </c>
    </row>
    <row r="303" spans="2:11" hidden="1" x14ac:dyDescent="0.3">
      <c r="B303" s="70" t="s">
        <v>172</v>
      </c>
      <c r="C303" s="63" t="s">
        <v>157</v>
      </c>
      <c r="D303" s="118" t="s">
        <v>154</v>
      </c>
    </row>
    <row r="304" spans="2:11" hidden="1" x14ac:dyDescent="0.3">
      <c r="B304" s="70" t="s">
        <v>173</v>
      </c>
      <c r="C304" s="63" t="s">
        <v>158</v>
      </c>
      <c r="D304" s="118" t="s">
        <v>199</v>
      </c>
    </row>
    <row r="305" spans="2:4" hidden="1" x14ac:dyDescent="0.3">
      <c r="B305" s="70" t="s">
        <v>200</v>
      </c>
      <c r="C305" s="63" t="s">
        <v>196</v>
      </c>
      <c r="D305" s="118" t="s">
        <v>171</v>
      </c>
    </row>
    <row r="306" spans="2:4" hidden="1" x14ac:dyDescent="0.3">
      <c r="B306" s="70" t="s">
        <v>174</v>
      </c>
      <c r="C306" s="63" t="s">
        <v>159</v>
      </c>
      <c r="D306" s="118" t="s">
        <v>172</v>
      </c>
    </row>
    <row r="307" spans="2:4" hidden="1" x14ac:dyDescent="0.3">
      <c r="B307" s="70" t="s">
        <v>175</v>
      </c>
      <c r="C307" s="63" t="s">
        <v>160</v>
      </c>
      <c r="D307" s="118" t="s">
        <v>155</v>
      </c>
    </row>
    <row r="308" spans="2:4" hidden="1" x14ac:dyDescent="0.3">
      <c r="B308" s="70" t="s">
        <v>253</v>
      </c>
      <c r="C308" s="63" t="s">
        <v>161</v>
      </c>
      <c r="D308" s="118" t="s">
        <v>173</v>
      </c>
    </row>
    <row r="309" spans="2:4" hidden="1" x14ac:dyDescent="0.3">
      <c r="B309" s="70" t="s">
        <v>176</v>
      </c>
      <c r="C309" s="63" t="s">
        <v>197</v>
      </c>
      <c r="D309" s="118" t="s">
        <v>200</v>
      </c>
    </row>
    <row r="310" spans="2:4" hidden="1" x14ac:dyDescent="0.3">
      <c r="B310" s="70" t="s">
        <v>177</v>
      </c>
      <c r="C310" s="63" t="s">
        <v>162</v>
      </c>
      <c r="D310" s="118" t="s">
        <v>195</v>
      </c>
    </row>
    <row r="311" spans="2:4" hidden="1" x14ac:dyDescent="0.3">
      <c r="B311" s="70" t="s">
        <v>190</v>
      </c>
      <c r="C311" s="63" t="s">
        <v>163</v>
      </c>
      <c r="D311" s="118" t="s">
        <v>174</v>
      </c>
    </row>
    <row r="312" spans="2:4" hidden="1" x14ac:dyDescent="0.3">
      <c r="B312" s="70" t="s">
        <v>178</v>
      </c>
      <c r="C312" s="63" t="s">
        <v>164</v>
      </c>
      <c r="D312" s="118" t="s">
        <v>156</v>
      </c>
    </row>
    <row r="313" spans="2:4" hidden="1" x14ac:dyDescent="0.3">
      <c r="B313" s="70" t="s">
        <v>179</v>
      </c>
      <c r="C313" s="63" t="s">
        <v>184</v>
      </c>
      <c r="D313" s="118" t="s">
        <v>157</v>
      </c>
    </row>
    <row r="314" spans="2:4" hidden="1" x14ac:dyDescent="0.3">
      <c r="B314" s="70" t="s">
        <v>180</v>
      </c>
      <c r="C314" s="63" t="s">
        <v>165</v>
      </c>
      <c r="D314" s="118" t="s">
        <v>175</v>
      </c>
    </row>
    <row r="315" spans="2:4" hidden="1" x14ac:dyDescent="0.3">
      <c r="B315" s="70" t="s">
        <v>201</v>
      </c>
      <c r="C315" s="63" t="s">
        <v>166</v>
      </c>
      <c r="D315" s="118" t="s">
        <v>158</v>
      </c>
    </row>
    <row r="316" spans="2:4" hidden="1" x14ac:dyDescent="0.3">
      <c r="B316" s="70" t="s">
        <v>181</v>
      </c>
      <c r="C316" s="63" t="s">
        <v>167</v>
      </c>
      <c r="D316" s="118" t="s">
        <v>196</v>
      </c>
    </row>
    <row r="317" spans="2:4" hidden="1" x14ac:dyDescent="0.3">
      <c r="B317" s="70" t="s">
        <v>182</v>
      </c>
      <c r="D317" s="118" t="s">
        <v>253</v>
      </c>
    </row>
    <row r="318" spans="2:4" hidden="1" x14ac:dyDescent="0.3">
      <c r="B318" s="70" t="s">
        <v>183</v>
      </c>
      <c r="D318" s="118" t="s">
        <v>159</v>
      </c>
    </row>
    <row r="319" spans="2:4" hidden="1" x14ac:dyDescent="0.3">
      <c r="B319" s="70" t="s">
        <v>202</v>
      </c>
      <c r="D319" s="118" t="s">
        <v>160</v>
      </c>
    </row>
    <row r="320" spans="2:4" hidden="1" x14ac:dyDescent="0.3">
      <c r="B320" s="70" t="s">
        <v>184</v>
      </c>
      <c r="D320" s="118" t="s">
        <v>161</v>
      </c>
    </row>
    <row r="321" spans="2:4" hidden="1" x14ac:dyDescent="0.3">
      <c r="B321" s="70" t="s">
        <v>185</v>
      </c>
      <c r="D321" s="118" t="s">
        <v>176</v>
      </c>
    </row>
    <row r="322" spans="2:4" hidden="1" x14ac:dyDescent="0.3">
      <c r="B322" s="70" t="s">
        <v>203</v>
      </c>
      <c r="D322" s="118" t="s">
        <v>177</v>
      </c>
    </row>
    <row r="323" spans="2:4" hidden="1" x14ac:dyDescent="0.3">
      <c r="B323" s="70" t="s">
        <v>186</v>
      </c>
      <c r="D323" s="118" t="s">
        <v>190</v>
      </c>
    </row>
    <row r="324" spans="2:4" hidden="1" x14ac:dyDescent="0.3">
      <c r="B324" s="70" t="s">
        <v>187</v>
      </c>
      <c r="D324" s="118" t="s">
        <v>197</v>
      </c>
    </row>
    <row r="325" spans="2:4" hidden="1" x14ac:dyDescent="0.3">
      <c r="B325" s="70" t="s">
        <v>188</v>
      </c>
      <c r="D325" s="118" t="s">
        <v>178</v>
      </c>
    </row>
    <row r="326" spans="2:4" hidden="1" x14ac:dyDescent="0.3">
      <c r="B326" s="70" t="s">
        <v>204</v>
      </c>
      <c r="D326" s="118" t="s">
        <v>179</v>
      </c>
    </row>
    <row r="327" spans="2:4" hidden="1" x14ac:dyDescent="0.3">
      <c r="B327" s="70" t="s">
        <v>189</v>
      </c>
      <c r="D327" s="118" t="s">
        <v>180</v>
      </c>
    </row>
    <row r="328" spans="2:4" hidden="1" x14ac:dyDescent="0.3">
      <c r="D328" s="118" t="s">
        <v>201</v>
      </c>
    </row>
    <row r="329" spans="2:4" hidden="1" x14ac:dyDescent="0.3">
      <c r="D329" s="118" t="s">
        <v>181</v>
      </c>
    </row>
    <row r="330" spans="2:4" hidden="1" x14ac:dyDescent="0.3">
      <c r="D330" s="118" t="s">
        <v>182</v>
      </c>
    </row>
    <row r="331" spans="2:4" hidden="1" x14ac:dyDescent="0.3">
      <c r="D331" s="118" t="s">
        <v>183</v>
      </c>
    </row>
    <row r="332" spans="2:4" hidden="1" x14ac:dyDescent="0.3">
      <c r="D332" s="118" t="s">
        <v>162</v>
      </c>
    </row>
    <row r="333" spans="2:4" hidden="1" x14ac:dyDescent="0.3">
      <c r="D333" s="118" t="s">
        <v>202</v>
      </c>
    </row>
    <row r="334" spans="2:4" hidden="1" x14ac:dyDescent="0.3">
      <c r="D334" s="118" t="s">
        <v>163</v>
      </c>
    </row>
    <row r="335" spans="2:4" hidden="1" x14ac:dyDescent="0.3">
      <c r="D335" s="118" t="s">
        <v>164</v>
      </c>
    </row>
    <row r="336" spans="2:4" hidden="1" x14ac:dyDescent="0.3">
      <c r="D336" s="118" t="s">
        <v>184</v>
      </c>
    </row>
    <row r="337" spans="2:10" hidden="1" x14ac:dyDescent="0.3">
      <c r="D337" s="118" t="s">
        <v>184</v>
      </c>
    </row>
    <row r="338" spans="2:10" hidden="1" x14ac:dyDescent="0.3">
      <c r="D338" s="118" t="s">
        <v>165</v>
      </c>
    </row>
    <row r="339" spans="2:10" hidden="1" x14ac:dyDescent="0.3">
      <c r="D339" s="118" t="s">
        <v>185</v>
      </c>
    </row>
    <row r="340" spans="2:10" hidden="1" x14ac:dyDescent="0.3">
      <c r="D340" s="118" t="s">
        <v>203</v>
      </c>
    </row>
    <row r="341" spans="2:10" hidden="1" x14ac:dyDescent="0.3">
      <c r="D341" s="118" t="s">
        <v>166</v>
      </c>
    </row>
    <row r="342" spans="2:10" hidden="1" x14ac:dyDescent="0.3">
      <c r="D342" s="118" t="s">
        <v>186</v>
      </c>
    </row>
    <row r="343" spans="2:10" hidden="1" x14ac:dyDescent="0.3">
      <c r="D343" s="118" t="s">
        <v>187</v>
      </c>
    </row>
    <row r="344" spans="2:10" hidden="1" x14ac:dyDescent="0.3">
      <c r="D344" s="118" t="s">
        <v>188</v>
      </c>
    </row>
    <row r="345" spans="2:10" hidden="1" x14ac:dyDescent="0.3">
      <c r="D345" s="118" t="s">
        <v>204</v>
      </c>
    </row>
    <row r="346" spans="2:10" hidden="1" x14ac:dyDescent="0.3">
      <c r="D346" s="118" t="s">
        <v>167</v>
      </c>
    </row>
    <row r="347" spans="2:10" hidden="1" x14ac:dyDescent="0.3">
      <c r="D347" s="119" t="s">
        <v>189</v>
      </c>
    </row>
    <row r="348" spans="2:10" ht="16.5" hidden="1" customHeight="1" x14ac:dyDescent="0.3"/>
    <row r="349" spans="2:10" ht="16.5" hidden="1" customHeight="1" x14ac:dyDescent="0.3">
      <c r="H349" s="117" t="s">
        <v>470</v>
      </c>
      <c r="J349" s="149"/>
    </row>
    <row r="350" spans="2:10" ht="16.5" hidden="1" customHeight="1" x14ac:dyDescent="0.3">
      <c r="H350" s="118" t="s">
        <v>471</v>
      </c>
    </row>
    <row r="351" spans="2:10" ht="16.5" hidden="1" customHeight="1" x14ac:dyDescent="0.3">
      <c r="H351" s="119" t="s">
        <v>472</v>
      </c>
    </row>
    <row r="352" spans="2:10" ht="16.5" hidden="1" customHeight="1" x14ac:dyDescent="0.3">
      <c r="B352" s="117" t="s">
        <v>1</v>
      </c>
    </row>
    <row r="353" spans="2:11" hidden="1" x14ac:dyDescent="0.3">
      <c r="B353" s="119" t="s">
        <v>70</v>
      </c>
      <c r="C353" s="276" t="s">
        <v>433</v>
      </c>
      <c r="D353" s="276" t="s">
        <v>432</v>
      </c>
      <c r="E353" s="276" t="s">
        <v>436</v>
      </c>
      <c r="F353" s="99" t="s">
        <v>434</v>
      </c>
      <c r="G353" s="99" t="s">
        <v>435</v>
      </c>
      <c r="I353" s="63"/>
    </row>
    <row r="354" spans="2:11" ht="16.5" hidden="1" customHeight="1" x14ac:dyDescent="0.3">
      <c r="C354" s="63">
        <v>0</v>
      </c>
      <c r="D354" s="63">
        <v>0</v>
      </c>
      <c r="E354" s="63">
        <v>0</v>
      </c>
      <c r="F354" s="63" t="b">
        <f t="shared" ref="F354:F360" si="10">$D$35=C354</f>
        <v>1</v>
      </c>
      <c r="G354" s="63" t="b">
        <f t="shared" ref="G354:G360" si="11">$D$37=D354</f>
        <v>1</v>
      </c>
      <c r="H354" s="63" t="s">
        <v>223</v>
      </c>
      <c r="I354" s="63"/>
    </row>
    <row r="355" spans="2:11" hidden="1" x14ac:dyDescent="0.3">
      <c r="B355" s="117" t="s">
        <v>71</v>
      </c>
      <c r="C355" s="63">
        <v>2</v>
      </c>
      <c r="D355" s="63">
        <f t="shared" ref="D355:D360" si="12">C355*4</f>
        <v>8</v>
      </c>
      <c r="E355" s="63">
        <v>8</v>
      </c>
      <c r="F355" s="63" t="b">
        <f t="shared" si="10"/>
        <v>0</v>
      </c>
      <c r="G355" s="63" t="b">
        <f t="shared" si="11"/>
        <v>0</v>
      </c>
      <c r="H355" s="63" t="s">
        <v>9</v>
      </c>
      <c r="I355" s="63">
        <f>IF($D$39=$B$358,0,IF(G355,1,0))</f>
        <v>0</v>
      </c>
    </row>
    <row r="356" spans="2:11" hidden="1" x14ac:dyDescent="0.3">
      <c r="B356" s="119" t="s">
        <v>64</v>
      </c>
      <c r="C356" s="63">
        <v>3</v>
      </c>
      <c r="D356" s="63">
        <f t="shared" si="12"/>
        <v>12</v>
      </c>
      <c r="E356" s="63">
        <v>8</v>
      </c>
      <c r="F356" s="63" t="b">
        <f t="shared" si="10"/>
        <v>0</v>
      </c>
      <c r="G356" s="63" t="b">
        <f t="shared" si="11"/>
        <v>0</v>
      </c>
      <c r="H356" s="63" t="s">
        <v>10</v>
      </c>
      <c r="I356" s="63">
        <f>IF($D$39=$B$358,0,IF(G356,1,0))</f>
        <v>0</v>
      </c>
    </row>
    <row r="357" spans="2:11" hidden="1" x14ac:dyDescent="0.3">
      <c r="C357" s="63">
        <v>4</v>
      </c>
      <c r="D357" s="63">
        <f t="shared" si="12"/>
        <v>16</v>
      </c>
      <c r="E357" s="63">
        <v>16</v>
      </c>
      <c r="F357" s="63" t="b">
        <f t="shared" si="10"/>
        <v>0</v>
      </c>
      <c r="G357" s="63" t="b">
        <f t="shared" si="11"/>
        <v>0</v>
      </c>
      <c r="H357" s="63" t="s">
        <v>11</v>
      </c>
      <c r="I357" s="63"/>
    </row>
    <row r="358" spans="2:11" hidden="1" x14ac:dyDescent="0.3">
      <c r="B358" s="149" t="s">
        <v>72</v>
      </c>
      <c r="C358" s="63">
        <v>6</v>
      </c>
      <c r="D358" s="63">
        <f t="shared" si="12"/>
        <v>24</v>
      </c>
      <c r="E358" s="63">
        <v>16</v>
      </c>
      <c r="F358" s="63" t="b">
        <f t="shared" si="10"/>
        <v>0</v>
      </c>
      <c r="G358" s="63" t="b">
        <f t="shared" si="11"/>
        <v>0</v>
      </c>
      <c r="H358" s="63" t="s">
        <v>12</v>
      </c>
      <c r="I358" s="63"/>
    </row>
    <row r="359" spans="2:11" hidden="1" x14ac:dyDescent="0.3">
      <c r="B359" s="117" t="s">
        <v>73</v>
      </c>
      <c r="C359" s="63">
        <v>8</v>
      </c>
      <c r="D359" s="63">
        <f t="shared" si="12"/>
        <v>32</v>
      </c>
      <c r="E359" s="63">
        <v>16</v>
      </c>
      <c r="F359" s="63" t="b">
        <f t="shared" si="10"/>
        <v>0</v>
      </c>
      <c r="G359" s="63" t="b">
        <f t="shared" si="11"/>
        <v>0</v>
      </c>
      <c r="H359" s="63" t="s">
        <v>13</v>
      </c>
      <c r="I359" s="63"/>
    </row>
    <row r="360" spans="2:11" hidden="1" x14ac:dyDescent="0.3">
      <c r="B360" s="119" t="s">
        <v>7</v>
      </c>
      <c r="C360" s="63">
        <v>12</v>
      </c>
      <c r="D360" s="63">
        <f t="shared" si="12"/>
        <v>48</v>
      </c>
      <c r="E360" s="63">
        <v>16</v>
      </c>
      <c r="F360" s="63" t="b">
        <f t="shared" si="10"/>
        <v>0</v>
      </c>
      <c r="G360" s="63" t="b">
        <f t="shared" si="11"/>
        <v>0</v>
      </c>
      <c r="H360" s="63" t="s">
        <v>14</v>
      </c>
      <c r="I360" s="63"/>
    </row>
    <row r="361" spans="2:11" ht="16.5" hidden="1" customHeight="1" x14ac:dyDescent="0.3"/>
    <row r="362" spans="2:11" hidden="1" x14ac:dyDescent="0.3">
      <c r="B362" s="70" t="s">
        <v>74</v>
      </c>
      <c r="C362" s="63">
        <f>D35</f>
        <v>0</v>
      </c>
      <c r="D362" s="63">
        <f>VLOOKUP(C362,C354:D360,2)</f>
        <v>0</v>
      </c>
    </row>
    <row r="363" spans="2:11" hidden="1" x14ac:dyDescent="0.3">
      <c r="B363" s="70" t="s">
        <v>75</v>
      </c>
      <c r="D363" s="79">
        <f>D37</f>
        <v>0</v>
      </c>
    </row>
    <row r="364" spans="2:11" hidden="1" x14ac:dyDescent="0.3">
      <c r="B364" s="70" t="s">
        <v>76</v>
      </c>
      <c r="D364" s="111" t="b">
        <f>D362&gt;=D363</f>
        <v>1</v>
      </c>
      <c r="I364" s="379" t="s">
        <v>588</v>
      </c>
      <c r="J364" t="b">
        <f>(D35=0)</f>
        <v>1</v>
      </c>
      <c r="K364">
        <f>IF(D366=1,0,INDEX($C$70:$I$76,1,$D$366-1))</f>
        <v>0</v>
      </c>
    </row>
    <row r="365" spans="2:11" hidden="1" x14ac:dyDescent="0.3">
      <c r="B365" s="70" t="s">
        <v>77</v>
      </c>
      <c r="C365" s="63">
        <f>IF(D364,D35,INDEX(C354:D360,MATCH(D37,D354:D360,0),1))</f>
        <v>0</v>
      </c>
      <c r="I365" t="s">
        <v>581</v>
      </c>
      <c r="J365" t="b">
        <f>E186&gt;0</f>
        <v>0</v>
      </c>
      <c r="K365">
        <f>IF(D291=E168,0,E186)</f>
        <v>0</v>
      </c>
    </row>
    <row r="366" spans="2:11" hidden="1" x14ac:dyDescent="0.3">
      <c r="B366" s="70" t="s">
        <v>430</v>
      </c>
      <c r="C366" s="63">
        <f>IF(D364,INDEX(C354:H360,MATCH(D35,C354:C360,0),2),D37)</f>
        <v>0</v>
      </c>
      <c r="D366" s="63">
        <f>MATCH(C366,D354:D360,0)</f>
        <v>1</v>
      </c>
      <c r="E366" s="63" t="str">
        <f>IF(VALIDADOR_INIMBUSESP,B428,INDEX(H354:H360,MATCH(C366,D354:D360,0),1))</f>
        <v>No Aplica</v>
      </c>
      <c r="I366" t="s">
        <v>582</v>
      </c>
      <c r="J366" t="b">
        <f>E178=B356</f>
        <v>0</v>
      </c>
      <c r="K366">
        <f>IF(J366,3,0)</f>
        <v>0</v>
      </c>
    </row>
    <row r="367" spans="2:11" ht="16.5" hidden="1" customHeight="1" x14ac:dyDescent="0.3">
      <c r="B367" s="70" t="s">
        <v>431</v>
      </c>
      <c r="C367" s="63">
        <f>INDEX(E354:E360,D366,1)</f>
        <v>0</v>
      </c>
      <c r="D367" s="63">
        <f>IF(C369&gt;0,C367+C366,C366)</f>
        <v>0</v>
      </c>
      <c r="I367" t="s">
        <v>583</v>
      </c>
      <c r="K367">
        <f>MAX(K364:K366)</f>
        <v>0</v>
      </c>
    </row>
    <row r="368" spans="2:11" hidden="1" x14ac:dyDescent="0.3">
      <c r="B368" s="70" t="s">
        <v>437</v>
      </c>
      <c r="C368" s="63">
        <f>SUM(C109:E109,G109:K109,G142,J142,K142)</f>
        <v>0</v>
      </c>
      <c r="D368" s="63" t="b">
        <f>C368&gt;C366</f>
        <v>0</v>
      </c>
      <c r="E368" s="63" t="b">
        <f>I53&lt;&gt;0</f>
        <v>0</v>
      </c>
    </row>
    <row r="369" spans="2:14" ht="16.5" hidden="1" customHeight="1" x14ac:dyDescent="0.3">
      <c r="B369" s="70" t="s">
        <v>438</v>
      </c>
      <c r="C369" s="63">
        <f>SUM(C142:F142,H142:I142)</f>
        <v>0</v>
      </c>
      <c r="D369" s="63" t="b">
        <f>C369&gt;C367</f>
        <v>0</v>
      </c>
    </row>
    <row r="370" spans="2:14" ht="16.5" hidden="1" customHeight="1" x14ac:dyDescent="0.3">
      <c r="E370" s="358" t="s">
        <v>530</v>
      </c>
      <c r="F370" s="359">
        <f>B17</f>
        <v>0.45</v>
      </c>
      <c r="K370" t="b">
        <f>EXT_FINALE=0</f>
        <v>1</v>
      </c>
    </row>
    <row r="371" spans="2:14" hidden="1" x14ac:dyDescent="0.3">
      <c r="B371" s="79" t="s">
        <v>78</v>
      </c>
      <c r="C371" s="79" t="s">
        <v>8</v>
      </c>
      <c r="D371" s="79" t="s">
        <v>551</v>
      </c>
      <c r="E371" s="79" t="s">
        <v>331</v>
      </c>
      <c r="F371" s="179" t="s">
        <v>368</v>
      </c>
      <c r="G371" s="179" t="s">
        <v>329</v>
      </c>
      <c r="H371" s="205" t="s">
        <v>222</v>
      </c>
      <c r="I371" s="179" t="s">
        <v>330</v>
      </c>
      <c r="J371" s="197" t="s">
        <v>361</v>
      </c>
      <c r="K371" s="197" t="s">
        <v>362</v>
      </c>
      <c r="L371" s="179"/>
      <c r="M371" s="2"/>
    </row>
    <row r="372" spans="2:14" ht="16.5" hidden="1" customHeight="1" x14ac:dyDescent="0.3">
      <c r="B372" s="70" t="s">
        <v>99</v>
      </c>
      <c r="C372" s="63" t="s">
        <v>369</v>
      </c>
      <c r="D372" s="130">
        <v>0.45</v>
      </c>
      <c r="E372">
        <v>207</v>
      </c>
      <c r="F372" s="196">
        <f>((1-D372)/(1-$F$370))</f>
        <v>1</v>
      </c>
      <c r="G372" s="120">
        <f t="shared" ref="G372:G392" si="13">F372*E372</f>
        <v>207</v>
      </c>
      <c r="H372" s="99">
        <f>IF($D$39=$B$358,0,IF(AND($D$39=B359,C431),1,0))</f>
        <v>0</v>
      </c>
      <c r="I372" s="120">
        <f>H372*G372</f>
        <v>0</v>
      </c>
      <c r="J372" s="198">
        <f t="shared" ref="J372:J392" si="14">I372*COHEFICIEN</f>
        <v>0</v>
      </c>
      <c r="K372" s="198">
        <f t="shared" ref="K372:K392" si="15">IF($K$370,0,J372/EXT_FINALE)</f>
        <v>0</v>
      </c>
      <c r="L372" s="6">
        <f t="shared" ref="L372:L392" si="16">$H$435*G372</f>
        <v>9.5633999999999997</v>
      </c>
    </row>
    <row r="373" spans="2:14" hidden="1" x14ac:dyDescent="0.3">
      <c r="B373" s="70" t="s">
        <v>100</v>
      </c>
      <c r="C373" s="63" t="s">
        <v>101</v>
      </c>
      <c r="D373" s="130">
        <v>0.45</v>
      </c>
      <c r="E373">
        <v>207</v>
      </c>
      <c r="F373" s="196">
        <f t="shared" ref="F373:F417" si="17">((1-D373)/(1-$F$370))</f>
        <v>1</v>
      </c>
      <c r="G373" s="120">
        <f t="shared" si="13"/>
        <v>207</v>
      </c>
      <c r="H373" s="99">
        <f>IF($D$39=$B$358,0,IF(AND($D$39=B360,C431),1,0))</f>
        <v>0</v>
      </c>
      <c r="I373" s="120">
        <f>H373*G373</f>
        <v>0</v>
      </c>
      <c r="J373" s="198">
        <f t="shared" si="14"/>
        <v>0</v>
      </c>
      <c r="K373" s="198">
        <f t="shared" si="15"/>
        <v>0</v>
      </c>
      <c r="L373" s="6">
        <f t="shared" si="16"/>
        <v>9.5633999999999997</v>
      </c>
    </row>
    <row r="374" spans="2:14" hidden="1" x14ac:dyDescent="0.3">
      <c r="B374" s="70" t="s">
        <v>97</v>
      </c>
      <c r="C374" s="63" t="s">
        <v>98</v>
      </c>
      <c r="D374" s="130">
        <v>0.45</v>
      </c>
      <c r="E374">
        <v>30</v>
      </c>
      <c r="F374" s="196">
        <f t="shared" si="17"/>
        <v>1</v>
      </c>
      <c r="G374" s="120">
        <f t="shared" si="13"/>
        <v>30</v>
      </c>
      <c r="H374" s="99">
        <f>H372+H373</f>
        <v>0</v>
      </c>
      <c r="I374" s="120">
        <f>H374*G374</f>
        <v>0</v>
      </c>
      <c r="J374" s="198">
        <f t="shared" si="14"/>
        <v>0</v>
      </c>
      <c r="K374" s="198">
        <f t="shared" si="15"/>
        <v>0</v>
      </c>
      <c r="L374" s="6">
        <f t="shared" si="16"/>
        <v>1.3859999999999999</v>
      </c>
      <c r="N374" s="151" t="str">
        <f>IF(SUM(C109:I109)=0,"No se ha seleccionado ninguno",CONCATENATE(N375,N376,N377,N378,N379,N380,N381,N382,N385,N386,N387,N388,N394,N395,N396,N397,N398,N399,N400,N401,N402,N405))</f>
        <v>No se ha seleccionado ninguno</v>
      </c>
    </row>
    <row r="375" spans="2:14" hidden="1" x14ac:dyDescent="0.3">
      <c r="B375" s="70" t="s">
        <v>83</v>
      </c>
      <c r="C375" s="63" t="s">
        <v>84</v>
      </c>
      <c r="D375" s="130">
        <v>0.36399999999999999</v>
      </c>
      <c r="E375">
        <v>58</v>
      </c>
      <c r="F375" s="196">
        <f t="shared" si="17"/>
        <v>1.1563636363636363</v>
      </c>
      <c r="G375" s="120">
        <f t="shared" si="13"/>
        <v>67.069090909090903</v>
      </c>
      <c r="H375" s="99">
        <f>IF(C$106=$B359,C$109,0)</f>
        <v>0</v>
      </c>
      <c r="I375" s="120">
        <f t="shared" ref="I375:I382" si="18">H375*G375</f>
        <v>0</v>
      </c>
      <c r="J375" s="198">
        <f t="shared" si="14"/>
        <v>0</v>
      </c>
      <c r="K375" s="198">
        <f t="shared" si="15"/>
        <v>0</v>
      </c>
      <c r="L375" s="6">
        <f t="shared" si="16"/>
        <v>3.0985919999999996</v>
      </c>
      <c r="M375" t="str">
        <f>H375&amp;" x "&amp;B375</f>
        <v>0 x KX-HDV130NE</v>
      </c>
      <c r="N375" s="50" t="str">
        <f>IF(H375=0,"","; "&amp;M375)</f>
        <v/>
      </c>
    </row>
    <row r="376" spans="2:14" hidden="1" x14ac:dyDescent="0.3">
      <c r="B376" s="70" t="s">
        <v>85</v>
      </c>
      <c r="C376" s="63" t="s">
        <v>86</v>
      </c>
      <c r="D376" s="130">
        <v>0.36399999999999999</v>
      </c>
      <c r="E376">
        <v>135</v>
      </c>
      <c r="F376" s="196">
        <f t="shared" si="17"/>
        <v>1.1563636363636363</v>
      </c>
      <c r="G376" s="120">
        <f t="shared" si="13"/>
        <v>156.1090909090909</v>
      </c>
      <c r="H376" s="99">
        <f>IF(D$106=$B359,D$109,0)+IF($D$39=$B$358,0,IF(AND(C366&gt;0,$D$39=B359,C432),1,0))</f>
        <v>0</v>
      </c>
      <c r="I376" s="120">
        <f t="shared" si="18"/>
        <v>0</v>
      </c>
      <c r="J376" s="198">
        <f t="shared" si="14"/>
        <v>0</v>
      </c>
      <c r="K376" s="198">
        <f t="shared" si="15"/>
        <v>0</v>
      </c>
      <c r="L376" s="6">
        <f t="shared" si="16"/>
        <v>7.2122399999999987</v>
      </c>
      <c r="M376" t="str">
        <f>H376-I355-I356&amp;" x "&amp;B376</f>
        <v>0 x KX-HDV230NE</v>
      </c>
      <c r="N376" s="50" t="str">
        <f>IF(OR(H376=0,H376-I355-I356&lt;=0),"","; "&amp;M376)</f>
        <v/>
      </c>
    </row>
    <row r="377" spans="2:14" hidden="1" x14ac:dyDescent="0.3">
      <c r="B377" s="70" t="s">
        <v>310</v>
      </c>
      <c r="C377" s="63" t="s">
        <v>323</v>
      </c>
      <c r="D377" s="130">
        <v>0.36399999999999999</v>
      </c>
      <c r="E377">
        <v>205</v>
      </c>
      <c r="F377" s="196">
        <f t="shared" si="17"/>
        <v>1.1563636363636363</v>
      </c>
      <c r="G377" s="120">
        <f t="shared" si="13"/>
        <v>237.05454545454543</v>
      </c>
      <c r="H377" s="99">
        <f>IF(E$106=$B359,E$109,0)</f>
        <v>0</v>
      </c>
      <c r="I377" s="120">
        <f>H377*G377</f>
        <v>0</v>
      </c>
      <c r="J377" s="198">
        <f t="shared" si="14"/>
        <v>0</v>
      </c>
      <c r="K377" s="198">
        <f t="shared" si="15"/>
        <v>0</v>
      </c>
      <c r="L377" s="6">
        <f t="shared" si="16"/>
        <v>10.951919999999999</v>
      </c>
      <c r="M377" t="str">
        <f>H377&amp;" x "&amp;B377</f>
        <v>0 x KX-HDV340NE</v>
      </c>
      <c r="N377" s="50" t="str">
        <f t="shared" ref="N377:N382" si="19">IF(H377=0,"","; "&amp;M377)</f>
        <v/>
      </c>
    </row>
    <row r="378" spans="2:14" hidden="1" x14ac:dyDescent="0.3">
      <c r="B378" s="70" t="s">
        <v>88</v>
      </c>
      <c r="C378" s="63" t="s">
        <v>89</v>
      </c>
      <c r="D378" s="130">
        <v>0.36399999999999999</v>
      </c>
      <c r="E378">
        <v>102</v>
      </c>
      <c r="F378" s="196">
        <f t="shared" si="17"/>
        <v>1.1563636363636363</v>
      </c>
      <c r="G378" s="120">
        <f t="shared" si="13"/>
        <v>117.9490909090909</v>
      </c>
      <c r="H378" s="99">
        <f>IF(F$106=$B359,F$109,0)</f>
        <v>0</v>
      </c>
      <c r="I378" s="120">
        <f t="shared" si="18"/>
        <v>0</v>
      </c>
      <c r="J378" s="198">
        <f t="shared" si="14"/>
        <v>0</v>
      </c>
      <c r="K378" s="198">
        <f t="shared" si="15"/>
        <v>0</v>
      </c>
      <c r="L378" s="6">
        <f t="shared" si="16"/>
        <v>5.449247999999999</v>
      </c>
      <c r="M378" t="str">
        <f>H378&amp;" x "&amp;B378</f>
        <v>0 x KX-HDV20NE</v>
      </c>
      <c r="N378" s="50" t="str">
        <f t="shared" si="19"/>
        <v/>
      </c>
    </row>
    <row r="379" spans="2:14" hidden="1" x14ac:dyDescent="0.3">
      <c r="B379" s="70" t="s">
        <v>90</v>
      </c>
      <c r="C379" s="63" t="s">
        <v>91</v>
      </c>
      <c r="D379" s="130">
        <v>0.36399999999999999</v>
      </c>
      <c r="E379">
        <v>58</v>
      </c>
      <c r="F379" s="196">
        <f t="shared" si="17"/>
        <v>1.1563636363636363</v>
      </c>
      <c r="G379" s="120">
        <f t="shared" si="13"/>
        <v>67.069090909090903</v>
      </c>
      <c r="H379" s="99">
        <f>IF($C$106=$B$360,$C$109,0)</f>
        <v>0</v>
      </c>
      <c r="I379" s="120">
        <f t="shared" si="18"/>
        <v>0</v>
      </c>
      <c r="J379" s="198">
        <f t="shared" si="14"/>
        <v>0</v>
      </c>
      <c r="K379" s="198">
        <f t="shared" si="15"/>
        <v>0</v>
      </c>
      <c r="L379" s="6">
        <f t="shared" si="16"/>
        <v>3.0985919999999996</v>
      </c>
      <c r="M379" t="str">
        <f>H379&amp;" x "&amp;B379</f>
        <v>0 x KX-HDV130NEB</v>
      </c>
      <c r="N379" s="50" t="str">
        <f t="shared" si="19"/>
        <v/>
      </c>
    </row>
    <row r="380" spans="2:14" hidden="1" x14ac:dyDescent="0.3">
      <c r="B380" s="70" t="s">
        <v>92</v>
      </c>
      <c r="C380" s="63" t="s">
        <v>93</v>
      </c>
      <c r="D380" s="130">
        <v>0.36399999999999999</v>
      </c>
      <c r="E380">
        <v>135</v>
      </c>
      <c r="F380" s="196">
        <f t="shared" si="17"/>
        <v>1.1563636363636363</v>
      </c>
      <c r="G380" s="120">
        <f t="shared" si="13"/>
        <v>156.1090909090909</v>
      </c>
      <c r="H380" s="99">
        <f>IF($D$106=$B$360,$D$109,0)+IF($D$39=$B$358,0,IF(AND(C366&gt;0,$D$39=B360,C432),1,0))</f>
        <v>0</v>
      </c>
      <c r="I380" s="120">
        <f t="shared" si="18"/>
        <v>0</v>
      </c>
      <c r="J380" s="198">
        <f t="shared" si="14"/>
        <v>0</v>
      </c>
      <c r="K380" s="198">
        <f t="shared" si="15"/>
        <v>0</v>
      </c>
      <c r="L380" s="6">
        <f t="shared" si="16"/>
        <v>7.2122399999999987</v>
      </c>
      <c r="M380" t="str">
        <f>H380-I355-I356&amp;" x "&amp;B380</f>
        <v>0 x KX-HDV230NEB</v>
      </c>
      <c r="N380" s="50" t="str">
        <f>IF(OR(H380=0,H380-I355-I356&lt;=0),"","; "&amp;M380)</f>
        <v/>
      </c>
    </row>
    <row r="381" spans="2:14" hidden="1" x14ac:dyDescent="0.3">
      <c r="B381" s="70" t="s">
        <v>311</v>
      </c>
      <c r="C381" s="63" t="s">
        <v>325</v>
      </c>
      <c r="D381" s="130">
        <v>0.36399999999999999</v>
      </c>
      <c r="E381">
        <v>205</v>
      </c>
      <c r="F381" s="196">
        <f t="shared" si="17"/>
        <v>1.1563636363636363</v>
      </c>
      <c r="G381" s="120">
        <f t="shared" si="13"/>
        <v>237.05454545454543</v>
      </c>
      <c r="H381" s="99">
        <f>IF($E$106=$B$360,$E$109,0)</f>
        <v>0</v>
      </c>
      <c r="I381" s="120">
        <f t="shared" si="18"/>
        <v>0</v>
      </c>
      <c r="J381" s="198">
        <f t="shared" si="14"/>
        <v>0</v>
      </c>
      <c r="K381" s="198">
        <f t="shared" si="15"/>
        <v>0</v>
      </c>
      <c r="L381" s="6">
        <f t="shared" si="16"/>
        <v>10.951919999999999</v>
      </c>
      <c r="M381" t="str">
        <f>H381&amp;" x "&amp;B381</f>
        <v>0 x KX-HDV340NEB</v>
      </c>
      <c r="N381" s="50" t="str">
        <f t="shared" si="19"/>
        <v/>
      </c>
    </row>
    <row r="382" spans="2:14" hidden="1" x14ac:dyDescent="0.3">
      <c r="B382" s="70" t="s">
        <v>95</v>
      </c>
      <c r="C382" s="63" t="s">
        <v>96</v>
      </c>
      <c r="D382" s="130">
        <v>0.36399999999999999</v>
      </c>
      <c r="E382">
        <v>102</v>
      </c>
      <c r="F382" s="196">
        <f t="shared" si="17"/>
        <v>1.1563636363636363</v>
      </c>
      <c r="G382" s="120">
        <f t="shared" si="13"/>
        <v>117.9490909090909</v>
      </c>
      <c r="H382" s="99">
        <f>IF($F$106=$B$360,$F$109,0)</f>
        <v>0</v>
      </c>
      <c r="I382" s="120">
        <f t="shared" si="18"/>
        <v>0</v>
      </c>
      <c r="J382" s="198">
        <f t="shared" si="14"/>
        <v>0</v>
      </c>
      <c r="K382" s="198">
        <f t="shared" si="15"/>
        <v>0</v>
      </c>
      <c r="L382" s="6">
        <f t="shared" si="16"/>
        <v>5.449247999999999</v>
      </c>
      <c r="M382" t="str">
        <f>H382&amp;" x "&amp;B382</f>
        <v>0 x KX-HDV20NEB</v>
      </c>
      <c r="N382" s="50" t="str">
        <f t="shared" si="19"/>
        <v/>
      </c>
    </row>
    <row r="383" spans="2:14" hidden="1" x14ac:dyDescent="0.3">
      <c r="B383" s="70" t="s">
        <v>79</v>
      </c>
      <c r="C383" s="63" t="s">
        <v>80</v>
      </c>
      <c r="D383" s="130">
        <v>0.36399999999999999</v>
      </c>
      <c r="E383">
        <v>5</v>
      </c>
      <c r="F383" s="196">
        <f t="shared" si="17"/>
        <v>1.1563636363636363</v>
      </c>
      <c r="G383" s="120">
        <f t="shared" si="13"/>
        <v>5.7818181818181813</v>
      </c>
      <c r="H383" s="99">
        <f>IF(C105=B356,H375+H379,0)</f>
        <v>0</v>
      </c>
      <c r="I383" s="120">
        <f>H383*G383</f>
        <v>0</v>
      </c>
      <c r="J383" s="198">
        <f t="shared" si="14"/>
        <v>0</v>
      </c>
      <c r="K383" s="198">
        <f t="shared" si="15"/>
        <v>0</v>
      </c>
      <c r="L383" s="6">
        <f t="shared" si="16"/>
        <v>0.26711999999999997</v>
      </c>
    </row>
    <row r="384" spans="2:14" ht="16.5" hidden="1" customHeight="1" x14ac:dyDescent="0.3">
      <c r="B384" s="70" t="s">
        <v>81</v>
      </c>
      <c r="C384" s="63" t="s">
        <v>82</v>
      </c>
      <c r="D384" s="130">
        <v>0.36399999999999999</v>
      </c>
      <c r="E384">
        <v>13</v>
      </c>
      <c r="F384" s="196">
        <f t="shared" si="17"/>
        <v>1.1563636363636363</v>
      </c>
      <c r="G384" s="120">
        <f t="shared" si="13"/>
        <v>15.032727272727271</v>
      </c>
      <c r="H384" s="99">
        <f>IF(D105=B356,H376+H380,0)+IF(E105=B356,H377+H381,0)</f>
        <v>0</v>
      </c>
      <c r="I384" s="120">
        <f>H384*G384</f>
        <v>0</v>
      </c>
      <c r="J384" s="198">
        <f t="shared" si="14"/>
        <v>0</v>
      </c>
      <c r="K384" s="198">
        <f t="shared" si="15"/>
        <v>0</v>
      </c>
      <c r="L384" s="6">
        <f t="shared" si="16"/>
        <v>0.69451199999999991</v>
      </c>
    </row>
    <row r="385" spans="2:14" hidden="1" x14ac:dyDescent="0.3">
      <c r="B385" s="70" t="s">
        <v>302</v>
      </c>
      <c r="C385" s="63" t="s">
        <v>305</v>
      </c>
      <c r="D385" s="130">
        <v>0.36399999999999999</v>
      </c>
      <c r="E385">
        <v>115</v>
      </c>
      <c r="F385" s="196">
        <f t="shared" si="17"/>
        <v>1.1563636363636363</v>
      </c>
      <c r="G385" s="120">
        <f t="shared" si="13"/>
        <v>132.98181818181817</v>
      </c>
      <c r="H385" s="99">
        <f>G$109</f>
        <v>0</v>
      </c>
      <c r="I385" s="120">
        <f t="shared" ref="I385:I399" si="20">H385*G385</f>
        <v>0</v>
      </c>
      <c r="J385" s="198">
        <f t="shared" si="14"/>
        <v>0</v>
      </c>
      <c r="K385" s="198">
        <f t="shared" si="15"/>
        <v>0</v>
      </c>
      <c r="L385" s="6">
        <f t="shared" si="16"/>
        <v>6.1437599999999994</v>
      </c>
      <c r="M385" t="str">
        <f>H385&amp;" x "&amp;B385</f>
        <v>0 x KX-TGP600CE</v>
      </c>
      <c r="N385" s="50" t="str">
        <f>IF(H385=0,"","; "&amp;M385)</f>
        <v/>
      </c>
    </row>
    <row r="386" spans="2:14" hidden="1" x14ac:dyDescent="0.3">
      <c r="B386" s="70" t="s">
        <v>317</v>
      </c>
      <c r="C386" s="63" t="s">
        <v>306</v>
      </c>
      <c r="D386" s="130">
        <v>0.36399999999999999</v>
      </c>
      <c r="E386">
        <v>82</v>
      </c>
      <c r="F386" s="196">
        <f t="shared" si="17"/>
        <v>1.1563636363636363</v>
      </c>
      <c r="G386" s="120">
        <f t="shared" si="13"/>
        <v>94.821818181818173</v>
      </c>
      <c r="H386" s="99">
        <f>H109</f>
        <v>0</v>
      </c>
      <c r="I386" s="120">
        <f t="shared" si="20"/>
        <v>0</v>
      </c>
      <c r="J386" s="198">
        <f t="shared" si="14"/>
        <v>0</v>
      </c>
      <c r="K386" s="198">
        <f t="shared" si="15"/>
        <v>0</v>
      </c>
      <c r="L386" s="6">
        <f t="shared" si="16"/>
        <v>4.3807679999999998</v>
      </c>
      <c r="M386" t="str">
        <f>H386&amp;" x "&amp;B386</f>
        <v>0 x KX-TPA60CEB</v>
      </c>
      <c r="N386" s="50" t="str">
        <f t="shared" ref="N386:N394" si="21">IF(H386=0,"","; "&amp;M386)</f>
        <v/>
      </c>
    </row>
    <row r="387" spans="2:14" hidden="1" x14ac:dyDescent="0.3">
      <c r="B387" s="70" t="s">
        <v>303</v>
      </c>
      <c r="C387" s="63" t="s">
        <v>307</v>
      </c>
      <c r="D387" s="130">
        <v>0.36399999999999999</v>
      </c>
      <c r="E387">
        <v>115</v>
      </c>
      <c r="F387" s="196">
        <f t="shared" si="17"/>
        <v>1.1563636363636363</v>
      </c>
      <c r="G387" s="120">
        <f t="shared" si="13"/>
        <v>132.98181818181817</v>
      </c>
      <c r="H387" s="99">
        <f>IF(I106=B359,I109,0)</f>
        <v>0</v>
      </c>
      <c r="I387" s="120">
        <f t="shared" si="20"/>
        <v>0</v>
      </c>
      <c r="J387" s="198">
        <f t="shared" si="14"/>
        <v>0</v>
      </c>
      <c r="K387" s="198">
        <f t="shared" si="15"/>
        <v>0</v>
      </c>
      <c r="L387" s="6">
        <f t="shared" si="16"/>
        <v>6.1437599999999994</v>
      </c>
      <c r="M387" t="str">
        <f>H387&amp;" x "&amp;B387</f>
        <v>0 x KX-TPA65CE</v>
      </c>
      <c r="N387" s="50" t="str">
        <f t="shared" si="21"/>
        <v/>
      </c>
    </row>
    <row r="388" spans="2:14" hidden="1" x14ac:dyDescent="0.3">
      <c r="B388" s="70" t="s">
        <v>316</v>
      </c>
      <c r="C388" s="63" t="s">
        <v>318</v>
      </c>
      <c r="D388" s="130">
        <v>0.36399999999999999</v>
      </c>
      <c r="E388">
        <v>115</v>
      </c>
      <c r="F388" s="196">
        <f t="shared" si="17"/>
        <v>1.1563636363636363</v>
      </c>
      <c r="G388" s="120">
        <f t="shared" si="13"/>
        <v>132.98181818181817</v>
      </c>
      <c r="H388" s="99">
        <f>IF(I106=B360,I109,0)</f>
        <v>0</v>
      </c>
      <c r="I388" s="120">
        <f t="shared" si="20"/>
        <v>0</v>
      </c>
      <c r="J388" s="198">
        <f t="shared" si="14"/>
        <v>0</v>
      </c>
      <c r="K388" s="198">
        <f t="shared" si="15"/>
        <v>0</v>
      </c>
      <c r="L388" s="6">
        <f t="shared" si="16"/>
        <v>6.1437599999999994</v>
      </c>
      <c r="M388" t="str">
        <f>H388&amp;" x "&amp;B388</f>
        <v>0 x KX-TPA65CEB</v>
      </c>
      <c r="N388" s="50" t="str">
        <f t="shared" si="21"/>
        <v/>
      </c>
    </row>
    <row r="389" spans="2:14" hidden="1" x14ac:dyDescent="0.3">
      <c r="B389" s="70" t="s">
        <v>350</v>
      </c>
      <c r="C389" s="63" t="s">
        <v>351</v>
      </c>
      <c r="D389" s="130">
        <v>0.36399999999999999</v>
      </c>
      <c r="E389">
        <v>185</v>
      </c>
      <c r="F389" s="196">
        <f t="shared" si="17"/>
        <v>1.1563636363636363</v>
      </c>
      <c r="G389" s="120">
        <f t="shared" si="13"/>
        <v>213.92727272727271</v>
      </c>
      <c r="H389" s="99">
        <f>J109</f>
        <v>0</v>
      </c>
      <c r="I389" s="120">
        <f t="shared" si="20"/>
        <v>0</v>
      </c>
      <c r="J389" s="198">
        <f t="shared" si="14"/>
        <v>0</v>
      </c>
      <c r="K389" s="198">
        <f t="shared" si="15"/>
        <v>0</v>
      </c>
      <c r="L389" s="6">
        <f t="shared" si="16"/>
        <v>9.8834399999999984</v>
      </c>
      <c r="N389" s="50"/>
    </row>
    <row r="390" spans="2:14" hidden="1" x14ac:dyDescent="0.3">
      <c r="B390" s="70" t="s">
        <v>87</v>
      </c>
      <c r="C390" s="63" t="s">
        <v>324</v>
      </c>
      <c r="D390" s="130">
        <v>0.36399999999999999</v>
      </c>
      <c r="E390">
        <v>340</v>
      </c>
      <c r="F390" s="196">
        <f t="shared" si="17"/>
        <v>1.1563636363636363</v>
      </c>
      <c r="G390" s="120">
        <f t="shared" si="13"/>
        <v>393.16363636363633</v>
      </c>
      <c r="H390" s="99"/>
      <c r="I390" s="120">
        <f>H390*G390</f>
        <v>0</v>
      </c>
      <c r="J390" s="198">
        <f t="shared" si="14"/>
        <v>0</v>
      </c>
      <c r="K390" s="198">
        <f t="shared" si="15"/>
        <v>0</v>
      </c>
      <c r="L390" s="6">
        <f t="shared" si="16"/>
        <v>18.164159999999999</v>
      </c>
      <c r="N390" s="50" t="str">
        <f>IF(H390=0,"","; "&amp;M390)</f>
        <v/>
      </c>
    </row>
    <row r="391" spans="2:14" hidden="1" x14ac:dyDescent="0.3">
      <c r="B391" s="70" t="s">
        <v>94</v>
      </c>
      <c r="C391" s="63" t="s">
        <v>326</v>
      </c>
      <c r="D391" s="130">
        <v>0.36399999999999999</v>
      </c>
      <c r="E391">
        <v>340</v>
      </c>
      <c r="F391" s="196">
        <f t="shared" si="17"/>
        <v>1.1563636363636363</v>
      </c>
      <c r="G391" s="120">
        <f t="shared" si="13"/>
        <v>393.16363636363633</v>
      </c>
      <c r="H391" s="99"/>
      <c r="I391" s="120">
        <f>H391*G391</f>
        <v>0</v>
      </c>
      <c r="J391" s="198">
        <f t="shared" si="14"/>
        <v>0</v>
      </c>
      <c r="K391" s="198">
        <f t="shared" si="15"/>
        <v>0</v>
      </c>
      <c r="L391" s="6">
        <f t="shared" si="16"/>
        <v>18.164159999999999</v>
      </c>
      <c r="N391" s="50" t="str">
        <f>IF(H391=0,"","; "&amp;M391)</f>
        <v/>
      </c>
    </row>
    <row r="392" spans="2:14" hidden="1" x14ac:dyDescent="0.3">
      <c r="B392" s="70" t="s">
        <v>304</v>
      </c>
      <c r="C392" s="63" t="s">
        <v>370</v>
      </c>
      <c r="D392" s="130">
        <v>0.45</v>
      </c>
      <c r="E392">
        <v>146</v>
      </c>
      <c r="F392" s="196">
        <f t="shared" si="17"/>
        <v>1</v>
      </c>
      <c r="G392" s="120">
        <f t="shared" si="13"/>
        <v>146</v>
      </c>
      <c r="H392" s="99">
        <v>0</v>
      </c>
      <c r="I392" s="120">
        <f t="shared" si="20"/>
        <v>0</v>
      </c>
      <c r="J392" s="198">
        <f t="shared" si="14"/>
        <v>0</v>
      </c>
      <c r="K392" s="198">
        <f t="shared" si="15"/>
        <v>0</v>
      </c>
      <c r="L392" s="6">
        <f t="shared" si="16"/>
        <v>6.7451999999999996</v>
      </c>
      <c r="M392" t="str">
        <f>H392&amp;" x "&amp;B392</f>
        <v>0 x KX-A406CE</v>
      </c>
      <c r="N392" s="50" t="str">
        <f t="shared" si="21"/>
        <v/>
      </c>
    </row>
    <row r="393" spans="2:14" hidden="1" x14ac:dyDescent="0.3">
      <c r="E393"/>
      <c r="F393" s="196"/>
      <c r="G393" s="120"/>
      <c r="H393" s="99"/>
      <c r="I393" s="120"/>
      <c r="J393" s="198"/>
      <c r="K393" s="198"/>
      <c r="L393" s="198"/>
      <c r="N393" s="50"/>
    </row>
    <row r="394" spans="2:14" hidden="1" x14ac:dyDescent="0.3">
      <c r="B394" s="70" t="s">
        <v>397</v>
      </c>
      <c r="C394" s="63" t="s">
        <v>403</v>
      </c>
      <c r="D394" s="130">
        <v>0.25</v>
      </c>
      <c r="E394">
        <v>11.01</v>
      </c>
      <c r="F394" s="196">
        <f t="shared" si="17"/>
        <v>1.3636363636363635</v>
      </c>
      <c r="G394" s="120">
        <f>F394*E394</f>
        <v>15.013636363636362</v>
      </c>
      <c r="H394" s="99">
        <f>IF($C$138=$B$360,0,$C$142)</f>
        <v>0</v>
      </c>
      <c r="I394" s="120">
        <f t="shared" si="20"/>
        <v>0</v>
      </c>
      <c r="J394" s="198">
        <f t="shared" ref="J394:J403" si="22">I394*COHEFICIEN</f>
        <v>0</v>
      </c>
      <c r="K394" s="198">
        <f t="shared" ref="K394:K403" si="23">IF($K$370,0,J394/EXT_FINALE)</f>
        <v>0</v>
      </c>
      <c r="L394" s="198"/>
      <c r="M394" t="str">
        <f>H394&amp;" x "&amp;B394</f>
        <v>0 x DA210-Blanco</v>
      </c>
      <c r="N394" s="50" t="str">
        <f t="shared" si="21"/>
        <v/>
      </c>
    </row>
    <row r="395" spans="2:14" hidden="1" x14ac:dyDescent="0.3">
      <c r="B395" s="70" t="s">
        <v>398</v>
      </c>
      <c r="C395" s="63" t="s">
        <v>404</v>
      </c>
      <c r="D395" s="130">
        <v>0.25</v>
      </c>
      <c r="E395">
        <v>16.809999999999999</v>
      </c>
      <c r="F395" s="196">
        <f t="shared" si="17"/>
        <v>1.3636363636363635</v>
      </c>
      <c r="G395" s="120">
        <f t="shared" ref="G395:G403" si="24">F395*E395</f>
        <v>22.922727272727268</v>
      </c>
      <c r="H395" s="99">
        <f>IF($D$138=$B$360,0,$D$142)</f>
        <v>0</v>
      </c>
      <c r="I395" s="120">
        <f t="shared" si="20"/>
        <v>0</v>
      </c>
      <c r="J395" s="198">
        <f t="shared" si="22"/>
        <v>0</v>
      </c>
      <c r="K395" s="198">
        <f t="shared" si="23"/>
        <v>0</v>
      </c>
      <c r="L395" s="198"/>
      <c r="M395" t="str">
        <f t="shared" ref="M395:M399" si="25">H395&amp;" x "&amp;B395</f>
        <v>0 x DA310-Blanco</v>
      </c>
      <c r="N395" s="50" t="str">
        <f t="shared" ref="N395:N399" si="26">IF(H395=0,"","; "&amp;M395)</f>
        <v/>
      </c>
    </row>
    <row r="396" spans="2:14" hidden="1" x14ac:dyDescent="0.3">
      <c r="B396" s="70" t="s">
        <v>399</v>
      </c>
      <c r="C396" s="63" t="s">
        <v>405</v>
      </c>
      <c r="D396" s="130">
        <v>0.25</v>
      </c>
      <c r="E396">
        <v>22.46</v>
      </c>
      <c r="F396" s="196">
        <f t="shared" si="17"/>
        <v>1.3636363636363635</v>
      </c>
      <c r="G396" s="120">
        <f t="shared" si="24"/>
        <v>30.627272727272725</v>
      </c>
      <c r="H396" s="99">
        <f>IF($E$138=$B$360,0,$E$142)</f>
        <v>0</v>
      </c>
      <c r="I396" s="120">
        <f t="shared" si="20"/>
        <v>0</v>
      </c>
      <c r="J396" s="198">
        <f t="shared" si="22"/>
        <v>0</v>
      </c>
      <c r="K396" s="198">
        <f t="shared" si="23"/>
        <v>0</v>
      </c>
      <c r="L396" s="198"/>
      <c r="M396" t="str">
        <f t="shared" si="25"/>
        <v>0 x DA410-Blanco</v>
      </c>
      <c r="N396" s="50" t="str">
        <f t="shared" si="26"/>
        <v/>
      </c>
    </row>
    <row r="397" spans="2:14" hidden="1" x14ac:dyDescent="0.3">
      <c r="B397" s="70" t="s">
        <v>400</v>
      </c>
      <c r="C397" s="63" t="s">
        <v>406</v>
      </c>
      <c r="D397" s="130">
        <v>0.25</v>
      </c>
      <c r="E397">
        <v>11.01</v>
      </c>
      <c r="F397" s="196">
        <f t="shared" si="17"/>
        <v>1.3636363636363635</v>
      </c>
      <c r="G397" s="120">
        <f t="shared" si="24"/>
        <v>15.013636363636362</v>
      </c>
      <c r="H397" s="99">
        <f>IF($C$138=$B$360,$C$142,0)</f>
        <v>0</v>
      </c>
      <c r="I397" s="120">
        <f t="shared" si="20"/>
        <v>0</v>
      </c>
      <c r="J397" s="198">
        <f t="shared" si="22"/>
        <v>0</v>
      </c>
      <c r="K397" s="198">
        <f t="shared" si="23"/>
        <v>0</v>
      </c>
      <c r="L397" s="198"/>
      <c r="M397" t="str">
        <f t="shared" si="25"/>
        <v>0 x DA210-Negro</v>
      </c>
      <c r="N397" s="50" t="str">
        <f t="shared" si="26"/>
        <v/>
      </c>
    </row>
    <row r="398" spans="2:14" hidden="1" x14ac:dyDescent="0.3">
      <c r="B398" s="70" t="s">
        <v>401</v>
      </c>
      <c r="C398" s="63" t="s">
        <v>407</v>
      </c>
      <c r="D398" s="130">
        <v>0.25</v>
      </c>
      <c r="E398">
        <v>16.809999999999999</v>
      </c>
      <c r="F398" s="196">
        <f t="shared" si="17"/>
        <v>1.3636363636363635</v>
      </c>
      <c r="G398" s="120">
        <f t="shared" si="24"/>
        <v>22.922727272727268</v>
      </c>
      <c r="H398" s="99">
        <f>IF($D$138=$B$360,$D$142,0)</f>
        <v>0</v>
      </c>
      <c r="I398" s="120">
        <f t="shared" si="20"/>
        <v>0</v>
      </c>
      <c r="J398" s="198">
        <f t="shared" si="22"/>
        <v>0</v>
      </c>
      <c r="K398" s="198">
        <f t="shared" si="23"/>
        <v>0</v>
      </c>
      <c r="L398" s="198"/>
      <c r="M398" t="str">
        <f t="shared" si="25"/>
        <v>0 x DA310-Negro</v>
      </c>
      <c r="N398" s="50" t="str">
        <f t="shared" si="26"/>
        <v/>
      </c>
    </row>
    <row r="399" spans="2:14" hidden="1" x14ac:dyDescent="0.3">
      <c r="B399" s="70" t="s">
        <v>402</v>
      </c>
      <c r="C399" s="63" t="s">
        <v>408</v>
      </c>
      <c r="D399" s="130">
        <v>0.25</v>
      </c>
      <c r="E399">
        <v>22.46</v>
      </c>
      <c r="F399" s="196">
        <f t="shared" si="17"/>
        <v>1.3636363636363635</v>
      </c>
      <c r="G399" s="120">
        <f t="shared" si="24"/>
        <v>30.627272727272725</v>
      </c>
      <c r="H399" s="99">
        <f>IF($E$138=$B$360,$E$142,0)</f>
        <v>0</v>
      </c>
      <c r="I399" s="120">
        <f t="shared" si="20"/>
        <v>0</v>
      </c>
      <c r="J399" s="198">
        <f t="shared" si="22"/>
        <v>0</v>
      </c>
      <c r="K399" s="198">
        <f t="shared" si="23"/>
        <v>0</v>
      </c>
      <c r="L399" s="198"/>
      <c r="M399" t="str">
        <f t="shared" si="25"/>
        <v>0 x DA410-Negro</v>
      </c>
      <c r="N399" s="50" t="str">
        <f t="shared" si="26"/>
        <v/>
      </c>
    </row>
    <row r="400" spans="2:14" hidden="1" x14ac:dyDescent="0.3">
      <c r="B400" s="70" t="s">
        <v>409</v>
      </c>
      <c r="C400" s="63" t="s">
        <v>540</v>
      </c>
      <c r="D400" s="130">
        <v>0.25</v>
      </c>
      <c r="E400">
        <v>22.84</v>
      </c>
      <c r="F400" s="196">
        <f t="shared" si="17"/>
        <v>1.3636363636363635</v>
      </c>
      <c r="G400" s="120">
        <f t="shared" si="24"/>
        <v>31.145454545454545</v>
      </c>
      <c r="H400" s="99">
        <f>H142</f>
        <v>0</v>
      </c>
      <c r="I400" s="120">
        <f t="shared" ref="I400:I405" si="27">H400*G400</f>
        <v>0</v>
      </c>
      <c r="J400" s="198">
        <f t="shared" si="22"/>
        <v>0</v>
      </c>
      <c r="K400" s="198">
        <f t="shared" si="23"/>
        <v>0</v>
      </c>
      <c r="L400" s="198"/>
      <c r="M400" t="str">
        <f t="shared" ref="M400:M403" si="28">H400&amp;" x "&amp;B400</f>
        <v>0 x GIG-A220 Negro</v>
      </c>
      <c r="N400" s="50" t="str">
        <f t="shared" ref="N400:N405" si="29">IF(H400=0,"","; "&amp;M400)</f>
        <v/>
      </c>
    </row>
    <row r="401" spans="2:15" hidden="1" x14ac:dyDescent="0.3">
      <c r="B401" s="70" t="s">
        <v>410</v>
      </c>
      <c r="C401" s="63" t="s">
        <v>411</v>
      </c>
      <c r="D401" s="130">
        <v>0.25</v>
      </c>
      <c r="E401">
        <v>115.67</v>
      </c>
      <c r="F401" s="196">
        <f t="shared" si="17"/>
        <v>1.3636363636363635</v>
      </c>
      <c r="G401" s="120">
        <f t="shared" si="24"/>
        <v>157.73181818181817</v>
      </c>
      <c r="H401" s="99">
        <f>I142</f>
        <v>0</v>
      </c>
      <c r="I401" s="120">
        <f t="shared" si="27"/>
        <v>0</v>
      </c>
      <c r="J401" s="198">
        <f t="shared" si="22"/>
        <v>0</v>
      </c>
      <c r="K401" s="198">
        <f t="shared" si="23"/>
        <v>0</v>
      </c>
      <c r="L401" s="198"/>
      <c r="M401" t="str">
        <f t="shared" si="28"/>
        <v>0 x GIG-SL450</v>
      </c>
      <c r="N401" s="50" t="str">
        <f t="shared" si="29"/>
        <v/>
      </c>
    </row>
    <row r="402" spans="2:15" hidden="1" x14ac:dyDescent="0.3">
      <c r="B402" s="70" t="s">
        <v>412</v>
      </c>
      <c r="C402" s="63" t="s">
        <v>541</v>
      </c>
      <c r="D402" s="130">
        <v>0.25</v>
      </c>
      <c r="E402">
        <v>94.2</v>
      </c>
      <c r="F402" s="196">
        <f t="shared" si="17"/>
        <v>1.3636363636363635</v>
      </c>
      <c r="G402" s="120">
        <f t="shared" si="24"/>
        <v>128.45454545454544</v>
      </c>
      <c r="H402" s="99">
        <f>J142</f>
        <v>0</v>
      </c>
      <c r="I402" s="120">
        <f t="shared" si="27"/>
        <v>0</v>
      </c>
      <c r="J402" s="198">
        <f t="shared" si="22"/>
        <v>0</v>
      </c>
      <c r="K402" s="198">
        <f t="shared" si="23"/>
        <v>0</v>
      </c>
      <c r="L402" s="198"/>
      <c r="M402" t="str">
        <f t="shared" si="28"/>
        <v>0 x GIG-C530IP</v>
      </c>
      <c r="N402" s="50" t="str">
        <f t="shared" si="29"/>
        <v/>
      </c>
    </row>
    <row r="403" spans="2:15" hidden="1" x14ac:dyDescent="0.3">
      <c r="B403" s="70" t="s">
        <v>427</v>
      </c>
      <c r="C403" s="63" t="s">
        <v>428</v>
      </c>
      <c r="D403" s="130">
        <v>0.25</v>
      </c>
      <c r="E403">
        <v>30.96</v>
      </c>
      <c r="F403" s="196">
        <f t="shared" si="17"/>
        <v>1.3636363636363635</v>
      </c>
      <c r="G403" s="120">
        <f t="shared" si="24"/>
        <v>42.218181818181819</v>
      </c>
      <c r="H403" s="99">
        <f>K142</f>
        <v>0</v>
      </c>
      <c r="I403" s="120">
        <f t="shared" ref="I403" si="30">H403*G403</f>
        <v>0</v>
      </c>
      <c r="J403" s="198">
        <f t="shared" si="22"/>
        <v>0</v>
      </c>
      <c r="K403" s="198">
        <f t="shared" si="23"/>
        <v>0</v>
      </c>
      <c r="L403" s="198"/>
      <c r="M403" t="str">
        <f t="shared" si="28"/>
        <v>0 x C530H</v>
      </c>
      <c r="N403" s="50" t="str">
        <f t="shared" si="29"/>
        <v/>
      </c>
    </row>
    <row r="404" spans="2:15" hidden="1" x14ac:dyDescent="0.3">
      <c r="E404"/>
      <c r="F404" s="196"/>
      <c r="G404" s="120"/>
      <c r="H404" s="99"/>
      <c r="I404" s="120"/>
      <c r="J404" s="198"/>
      <c r="K404" s="198"/>
      <c r="L404" s="198"/>
      <c r="N404" s="50"/>
    </row>
    <row r="405" spans="2:15" hidden="1" x14ac:dyDescent="0.3">
      <c r="B405" s="70" t="s">
        <v>413</v>
      </c>
      <c r="C405" s="63" t="s">
        <v>542</v>
      </c>
      <c r="D405" s="130">
        <v>0.28000000000000003</v>
      </c>
      <c r="E405">
        <v>299.95</v>
      </c>
      <c r="F405" s="196">
        <f t="shared" si="17"/>
        <v>1.3090909090909089</v>
      </c>
      <c r="G405" s="120">
        <f t="shared" ref="G405:G406" si="31">F405*E405</f>
        <v>392.66181818181809</v>
      </c>
      <c r="H405" s="99">
        <f>G142</f>
        <v>0</v>
      </c>
      <c r="I405" s="120">
        <f t="shared" si="27"/>
        <v>0</v>
      </c>
      <c r="J405" s="120">
        <f>I405*COHEFICIEN</f>
        <v>0</v>
      </c>
      <c r="K405" s="198">
        <f>IF($K$370,0,J405/EXT_FINALE)</f>
        <v>0</v>
      </c>
      <c r="L405" s="198" t="e">
        <f>K405/EXT_FINALE</f>
        <v>#DIV/0!</v>
      </c>
      <c r="M405" t="str">
        <f>H405&amp;" x "&amp;B405</f>
        <v>0 x ALC-CONFERENCE1550 SIP</v>
      </c>
      <c r="N405" s="50" t="str">
        <f t="shared" si="29"/>
        <v/>
      </c>
      <c r="O405" s="50"/>
    </row>
    <row r="406" spans="2:15" hidden="1" x14ac:dyDescent="0.3">
      <c r="B406" s="70" t="s">
        <v>414</v>
      </c>
      <c r="C406" s="63" t="s">
        <v>543</v>
      </c>
      <c r="D406" s="130">
        <v>0.28000000000000003</v>
      </c>
      <c r="E406">
        <v>239.95</v>
      </c>
      <c r="F406" s="196">
        <f t="shared" si="17"/>
        <v>1.3090909090909089</v>
      </c>
      <c r="G406" s="120">
        <f t="shared" si="31"/>
        <v>314.11636363636359</v>
      </c>
      <c r="H406" s="99">
        <f>F142</f>
        <v>0</v>
      </c>
      <c r="I406" s="120">
        <f>H406*G406</f>
        <v>0</v>
      </c>
      <c r="J406" s="198">
        <f>I406*COHEFICIEN</f>
        <v>0</v>
      </c>
      <c r="K406" s="198">
        <f>IF($K$370,0,J406/EXT_FINALE)</f>
        <v>0</v>
      </c>
      <c r="L406" s="198"/>
      <c r="M406" t="str">
        <f>H406&amp;" x "&amp;B406</f>
        <v>0 x ALC-CONFERENCE1500</v>
      </c>
      <c r="N406" s="50" t="str">
        <f>IF(H406=0,"","; "&amp;M406)</f>
        <v/>
      </c>
    </row>
    <row r="407" spans="2:15" hidden="1" x14ac:dyDescent="0.3">
      <c r="E407"/>
      <c r="F407" s="196"/>
      <c r="G407" s="120"/>
      <c r="H407" s="99"/>
      <c r="I407" s="120"/>
      <c r="J407" s="198"/>
      <c r="K407" s="198"/>
      <c r="L407" s="198"/>
      <c r="N407" s="50"/>
    </row>
    <row r="408" spans="2:15" hidden="1" x14ac:dyDescent="0.3">
      <c r="B408" s="70" t="s">
        <v>415</v>
      </c>
      <c r="C408" s="63" t="s">
        <v>544</v>
      </c>
      <c r="D408" s="130">
        <v>0.25</v>
      </c>
      <c r="E408">
        <v>428.55</v>
      </c>
      <c r="F408" s="196">
        <f t="shared" si="17"/>
        <v>1.3636363636363635</v>
      </c>
      <c r="G408" s="120">
        <f t="shared" ref="G408:G411" si="32">F408*E408</f>
        <v>584.38636363636363</v>
      </c>
      <c r="H408" s="99"/>
      <c r="I408" s="120"/>
      <c r="J408" s="198"/>
      <c r="K408" s="198"/>
      <c r="L408" s="198"/>
      <c r="N408" s="50"/>
    </row>
    <row r="409" spans="2:15" hidden="1" x14ac:dyDescent="0.3">
      <c r="B409" s="70" t="s">
        <v>416</v>
      </c>
      <c r="C409" s="63" t="s">
        <v>417</v>
      </c>
      <c r="D409" s="130">
        <v>0.25</v>
      </c>
      <c r="E409">
        <v>104.35</v>
      </c>
      <c r="F409" s="196">
        <f t="shared" si="17"/>
        <v>1.3636363636363635</v>
      </c>
      <c r="G409" s="120">
        <f t="shared" si="32"/>
        <v>142.29545454545453</v>
      </c>
      <c r="H409" s="99"/>
      <c r="I409" s="120">
        <f t="shared" ref="I409:I411" si="33">H409*G409</f>
        <v>0</v>
      </c>
      <c r="J409" s="198">
        <f>I409*COHEFICIEN</f>
        <v>0</v>
      </c>
      <c r="K409" s="198">
        <f>IF($K$370,0,J409/EXT_FINALE)</f>
        <v>0</v>
      </c>
      <c r="L409" s="198"/>
      <c r="M409" t="str">
        <f t="shared" ref="M409:M411" si="34">H409&amp;" x "&amp;B409</f>
        <v xml:space="preserve"> x GIG-R650H-PRO</v>
      </c>
      <c r="N409" s="50" t="str">
        <f t="shared" ref="N409:N411" si="35">IF(H409=0,"","; "&amp;M409)</f>
        <v/>
      </c>
    </row>
    <row r="410" spans="2:15" hidden="1" x14ac:dyDescent="0.3">
      <c r="B410" s="70" t="s">
        <v>418</v>
      </c>
      <c r="C410" s="63" t="s">
        <v>419</v>
      </c>
      <c r="D410" s="130">
        <v>0.25</v>
      </c>
      <c r="E410">
        <v>68.12</v>
      </c>
      <c r="F410" s="196">
        <f t="shared" si="17"/>
        <v>1.3636363636363635</v>
      </c>
      <c r="G410" s="120">
        <f t="shared" si="32"/>
        <v>92.890909090909091</v>
      </c>
      <c r="H410" s="99"/>
      <c r="I410" s="120">
        <f t="shared" si="33"/>
        <v>0</v>
      </c>
      <c r="J410" s="198">
        <f>I410*COHEFICIEN</f>
        <v>0</v>
      </c>
      <c r="K410" s="198">
        <f>IF($K$370,0,J410/EXT_FINALE)</f>
        <v>0</v>
      </c>
      <c r="L410" s="198"/>
      <c r="M410" t="str">
        <f t="shared" si="34"/>
        <v xml:space="preserve"> x GIG-S650H-PRO</v>
      </c>
      <c r="N410" s="50" t="str">
        <f t="shared" si="35"/>
        <v/>
      </c>
    </row>
    <row r="411" spans="2:15" hidden="1" x14ac:dyDescent="0.3">
      <c r="B411" s="70" t="s">
        <v>420</v>
      </c>
      <c r="C411" s="63" t="s">
        <v>421</v>
      </c>
      <c r="D411" s="130">
        <v>0.25</v>
      </c>
      <c r="E411">
        <v>101.45</v>
      </c>
      <c r="F411" s="196">
        <f t="shared" si="17"/>
        <v>1.3636363636363635</v>
      </c>
      <c r="G411" s="120">
        <f t="shared" si="32"/>
        <v>138.34090909090909</v>
      </c>
      <c r="H411" s="99"/>
      <c r="I411" s="120">
        <f t="shared" si="33"/>
        <v>0</v>
      </c>
      <c r="J411" s="198">
        <f>I411*COHEFICIEN</f>
        <v>0</v>
      </c>
      <c r="K411" s="198">
        <f>IF($K$370,0,J411/EXT_FINALE)</f>
        <v>0</v>
      </c>
      <c r="L411" s="198"/>
      <c r="M411" t="str">
        <f t="shared" si="34"/>
        <v xml:space="preserve"> x GIG-SL750H-PRO</v>
      </c>
      <c r="N411" s="50" t="str">
        <f t="shared" si="35"/>
        <v/>
      </c>
    </row>
    <row r="412" spans="2:15" hidden="1" x14ac:dyDescent="0.3">
      <c r="E412"/>
      <c r="F412" s="196"/>
      <c r="G412" s="120"/>
      <c r="H412" s="99"/>
      <c r="I412" s="120"/>
      <c r="J412" s="198"/>
      <c r="K412" s="198"/>
      <c r="L412" s="198"/>
      <c r="N412" s="50"/>
    </row>
    <row r="413" spans="2:15" hidden="1" x14ac:dyDescent="0.3">
      <c r="B413" s="70" t="s">
        <v>339</v>
      </c>
      <c r="C413" s="63" t="s">
        <v>344</v>
      </c>
      <c r="D413" s="130">
        <v>0.45</v>
      </c>
      <c r="E413">
        <v>12</v>
      </c>
      <c r="F413" s="196">
        <f t="shared" si="17"/>
        <v>1</v>
      </c>
      <c r="G413" s="120">
        <f>F413*E413</f>
        <v>12</v>
      </c>
      <c r="H413" s="99">
        <f>INDEX($D$564:$H$691,$K$109+1,1)</f>
        <v>0</v>
      </c>
      <c r="I413" s="120">
        <f>H413*G413</f>
        <v>0</v>
      </c>
      <c r="J413" s="198">
        <f>I413*COHEFICIEN</f>
        <v>0</v>
      </c>
      <c r="K413" s="198">
        <f>IF($K$370,0,J413/EXT_FINALE)</f>
        <v>0</v>
      </c>
      <c r="L413" s="6">
        <f>$H$435*G413</f>
        <v>0.5544</v>
      </c>
      <c r="N413" s="50"/>
    </row>
    <row r="414" spans="2:15" hidden="1" x14ac:dyDescent="0.3">
      <c r="B414" s="70" t="s">
        <v>340</v>
      </c>
      <c r="C414" s="63" t="s">
        <v>345</v>
      </c>
      <c r="D414" s="130">
        <v>0.45</v>
      </c>
      <c r="E414">
        <v>58</v>
      </c>
      <c r="F414" s="196">
        <f t="shared" si="17"/>
        <v>1</v>
      </c>
      <c r="G414" s="120">
        <f>F414*E414</f>
        <v>58</v>
      </c>
      <c r="H414" s="99">
        <f>INDEX($D$564:$H$691,$K$109+1,2)</f>
        <v>0</v>
      </c>
      <c r="I414" s="120">
        <f t="shared" ref="I414:I417" si="36">H414*G414</f>
        <v>0</v>
      </c>
      <c r="J414" s="198">
        <f>I414*COHEFICIEN</f>
        <v>0</v>
      </c>
      <c r="K414" s="198">
        <f>IF($K$370,0,J414/EXT_FINALE)</f>
        <v>0</v>
      </c>
      <c r="L414" s="6">
        <f>$H$435*G414</f>
        <v>2.6795999999999998</v>
      </c>
      <c r="N414" s="50"/>
    </row>
    <row r="415" spans="2:15" hidden="1" x14ac:dyDescent="0.3">
      <c r="B415" s="70" t="s">
        <v>341</v>
      </c>
      <c r="C415" s="63" t="s">
        <v>346</v>
      </c>
      <c r="D415" s="130">
        <v>0.45</v>
      </c>
      <c r="E415">
        <v>114</v>
      </c>
      <c r="F415" s="196">
        <f t="shared" si="17"/>
        <v>1</v>
      </c>
      <c r="G415" s="120">
        <f>F415*E415</f>
        <v>114</v>
      </c>
      <c r="H415" s="99">
        <f>INDEX($D$564:$H$691,$K$109+1,3)</f>
        <v>0</v>
      </c>
      <c r="I415" s="120">
        <f t="shared" si="36"/>
        <v>0</v>
      </c>
      <c r="J415" s="198">
        <f>I415*COHEFICIEN</f>
        <v>0</v>
      </c>
      <c r="K415" s="198">
        <f>IF($K$370,0,J415/EXT_FINALE)</f>
        <v>0</v>
      </c>
      <c r="L415" s="6">
        <f>$H$435*G415</f>
        <v>5.2667999999999999</v>
      </c>
      <c r="N415" s="50"/>
    </row>
    <row r="416" spans="2:15" hidden="1" x14ac:dyDescent="0.3">
      <c r="B416" s="70" t="s">
        <v>342</v>
      </c>
      <c r="C416" s="63" t="s">
        <v>347</v>
      </c>
      <c r="D416" s="130">
        <v>0.45</v>
      </c>
      <c r="E416">
        <v>279</v>
      </c>
      <c r="F416" s="196">
        <f t="shared" si="17"/>
        <v>1</v>
      </c>
      <c r="G416" s="120">
        <f>F416*E416</f>
        <v>279</v>
      </c>
      <c r="H416" s="99">
        <f>INDEX($D$564:$H$691,$K$109+1,4)</f>
        <v>0</v>
      </c>
      <c r="I416" s="120">
        <f t="shared" si="36"/>
        <v>0</v>
      </c>
      <c r="J416" s="198">
        <f>I416*COHEFICIEN</f>
        <v>0</v>
      </c>
      <c r="K416" s="198">
        <f>IF($K$370,0,J416/EXT_FINALE)</f>
        <v>0</v>
      </c>
      <c r="L416" s="6">
        <f>$H$435*G416</f>
        <v>12.889799999999999</v>
      </c>
      <c r="N416" s="50"/>
    </row>
    <row r="417" spans="1:14" hidden="1" x14ac:dyDescent="0.3">
      <c r="B417" s="70" t="s">
        <v>343</v>
      </c>
      <c r="C417" s="63" t="s">
        <v>545</v>
      </c>
      <c r="D417" s="130">
        <v>0.45</v>
      </c>
      <c r="E417">
        <v>540</v>
      </c>
      <c r="F417" s="196">
        <f t="shared" si="17"/>
        <v>1</v>
      </c>
      <c r="G417" s="120">
        <f>F417*E417</f>
        <v>540</v>
      </c>
      <c r="H417" s="99">
        <f>INDEX($D$564:$H$691,$K$109+1,5)</f>
        <v>0</v>
      </c>
      <c r="I417" s="120">
        <f t="shared" si="36"/>
        <v>0</v>
      </c>
      <c r="J417" s="198">
        <f>I417*COHEFICIEN</f>
        <v>0</v>
      </c>
      <c r="K417" s="198">
        <f>IF($K$370,0,J417/EXT_FINALE)</f>
        <v>0</v>
      </c>
      <c r="L417" s="6">
        <f>$H$435*G417</f>
        <v>24.948</v>
      </c>
    </row>
    <row r="418" spans="1:14" hidden="1" x14ac:dyDescent="0.3">
      <c r="E418"/>
      <c r="G418" s="120"/>
      <c r="H418" s="99"/>
      <c r="I418" s="120"/>
    </row>
    <row r="419" spans="1:14" hidden="1" x14ac:dyDescent="0.3">
      <c r="A419" s="63" t="s">
        <v>206</v>
      </c>
      <c r="B419" s="121" t="s">
        <v>102</v>
      </c>
      <c r="C419" s="122"/>
      <c r="D419" s="122"/>
      <c r="E419" s="122"/>
      <c r="F419" s="122"/>
      <c r="G419" s="123"/>
      <c r="H419" s="206"/>
      <c r="I419" s="123">
        <f>SUM(I375:I417)</f>
        <v>0</v>
      </c>
      <c r="J419" s="123">
        <f>SUM(J375:J417)</f>
        <v>0</v>
      </c>
      <c r="K419" s="123">
        <f>SUM(K375:K417)</f>
        <v>0</v>
      </c>
      <c r="L419" s="123">
        <f>I419*COHEFICIEN</f>
        <v>0</v>
      </c>
    </row>
    <row r="420" spans="1:14" ht="16.5" hidden="1" customHeight="1" x14ac:dyDescent="0.3">
      <c r="G420" s="120"/>
      <c r="H420" s="99"/>
      <c r="I420" s="63"/>
      <c r="J420" s="63"/>
    </row>
    <row r="421" spans="1:14" ht="16.5" hidden="1" customHeight="1" x14ac:dyDescent="0.3">
      <c r="B421" s="70" t="s">
        <v>103</v>
      </c>
      <c r="C421" s="63">
        <f>IF(ISNA(MATCH(1,H422:H427,0)),0,MATCH(1,H422:H427,0))</f>
        <v>0</v>
      </c>
      <c r="G421" s="120"/>
      <c r="H421" s="99"/>
      <c r="I421" s="63"/>
      <c r="J421" s="63"/>
      <c r="M421" t="s">
        <v>363</v>
      </c>
    </row>
    <row r="422" spans="1:14" hidden="1" x14ac:dyDescent="0.3">
      <c r="B422" s="70" t="s">
        <v>9</v>
      </c>
      <c r="C422" s="63" t="s">
        <v>104</v>
      </c>
      <c r="D422" s="130">
        <v>0.45</v>
      </c>
      <c r="E422" s="120">
        <f>C549</f>
        <v>460</v>
      </c>
      <c r="F422" s="196">
        <f t="shared" ref="F422:F428" si="37">((1-D422)/(1-$F$370))</f>
        <v>1</v>
      </c>
      <c r="G422" s="120">
        <f>F422*E422</f>
        <v>460</v>
      </c>
      <c r="H422" s="99">
        <f t="shared" ref="H422:H427" si="38">IF(VALIDADOR_INIMBUSESP,0,IF($D$364,IF(F355,1,0),IF(G355,1,0)))</f>
        <v>0</v>
      </c>
      <c r="I422" s="120">
        <f>H422*G422</f>
        <v>0</v>
      </c>
      <c r="J422" s="120">
        <f t="shared" ref="J422:J428" si="39">I422*COHEFICIEN</f>
        <v>0</v>
      </c>
      <c r="K422" s="120">
        <f t="shared" ref="K422:K428" si="40">IF($K$370,0,J422/EXT_FINALE)</f>
        <v>0</v>
      </c>
      <c r="L422" s="120"/>
      <c r="M422" s="124">
        <f>E422*COHEFICIEN*(1/8)</f>
        <v>2.6564999999999999</v>
      </c>
      <c r="N422" s="6">
        <f t="shared" ref="N422:N428" si="41">M422*H422</f>
        <v>0</v>
      </c>
    </row>
    <row r="423" spans="1:14" hidden="1" x14ac:dyDescent="0.3">
      <c r="B423" s="70" t="s">
        <v>10</v>
      </c>
      <c r="C423" s="63" t="s">
        <v>105</v>
      </c>
      <c r="D423" s="130">
        <v>0.45</v>
      </c>
      <c r="E423" s="120">
        <f>D549</f>
        <v>460</v>
      </c>
      <c r="F423" s="196">
        <f t="shared" si="37"/>
        <v>1</v>
      </c>
      <c r="G423" s="120">
        <f t="shared" ref="G423:G428" si="42">F423*E423</f>
        <v>460</v>
      </c>
      <c r="H423" s="99">
        <f t="shared" si="38"/>
        <v>0</v>
      </c>
      <c r="I423" s="120">
        <f t="shared" ref="I423:I428" si="43">H423*G423</f>
        <v>0</v>
      </c>
      <c r="J423" s="120">
        <f t="shared" si="39"/>
        <v>0</v>
      </c>
      <c r="K423" s="120">
        <f t="shared" si="40"/>
        <v>0</v>
      </c>
      <c r="L423" s="120"/>
      <c r="M423" s="124">
        <f>E423*COHEFICIEN*(1/12)</f>
        <v>1.7709999999999999</v>
      </c>
      <c r="N423" s="6">
        <f t="shared" si="41"/>
        <v>0</v>
      </c>
    </row>
    <row r="424" spans="1:14" hidden="1" x14ac:dyDescent="0.3">
      <c r="B424" s="70" t="s">
        <v>11</v>
      </c>
      <c r="C424" s="63" t="s">
        <v>106</v>
      </c>
      <c r="D424" s="130">
        <v>0.45</v>
      </c>
      <c r="E424" s="120">
        <f>E549</f>
        <v>1449</v>
      </c>
      <c r="F424" s="196">
        <f t="shared" si="37"/>
        <v>1</v>
      </c>
      <c r="G424" s="120">
        <f t="shared" si="42"/>
        <v>1449</v>
      </c>
      <c r="H424" s="99">
        <f t="shared" si="38"/>
        <v>0</v>
      </c>
      <c r="I424" s="120">
        <f t="shared" si="43"/>
        <v>0</v>
      </c>
      <c r="J424" s="120">
        <f t="shared" si="39"/>
        <v>0</v>
      </c>
      <c r="K424" s="120">
        <f t="shared" si="40"/>
        <v>0</v>
      </c>
      <c r="L424" s="120"/>
      <c r="M424" s="124">
        <f>E424*COHEFICIEN*(1/16)</f>
        <v>4.1839874999999997</v>
      </c>
      <c r="N424" s="6">
        <f t="shared" si="41"/>
        <v>0</v>
      </c>
    </row>
    <row r="425" spans="1:14" hidden="1" x14ac:dyDescent="0.3">
      <c r="B425" s="70" t="s">
        <v>12</v>
      </c>
      <c r="C425" s="63" t="s">
        <v>107</v>
      </c>
      <c r="D425" s="130">
        <v>0.45</v>
      </c>
      <c r="E425" s="120">
        <f>F549</f>
        <v>1667</v>
      </c>
      <c r="F425" s="196">
        <f t="shared" si="37"/>
        <v>1</v>
      </c>
      <c r="G425" s="120">
        <f t="shared" si="42"/>
        <v>1667</v>
      </c>
      <c r="H425" s="99">
        <f t="shared" si="38"/>
        <v>0</v>
      </c>
      <c r="I425" s="120">
        <f t="shared" si="43"/>
        <v>0</v>
      </c>
      <c r="J425" s="120">
        <f t="shared" si="39"/>
        <v>0</v>
      </c>
      <c r="K425" s="120">
        <f t="shared" si="40"/>
        <v>0</v>
      </c>
      <c r="L425" s="120"/>
      <c r="M425" s="124">
        <f>E425*COHEFICIEN*(1/24)</f>
        <v>3.2089749999999997</v>
      </c>
      <c r="N425" s="6">
        <f t="shared" si="41"/>
        <v>0</v>
      </c>
    </row>
    <row r="426" spans="1:14" hidden="1" x14ac:dyDescent="0.3">
      <c r="B426" s="70" t="s">
        <v>13</v>
      </c>
      <c r="C426" s="63" t="s">
        <v>108</v>
      </c>
      <c r="D426" s="130">
        <v>0.45</v>
      </c>
      <c r="E426" s="120">
        <f>G549</f>
        <v>1901</v>
      </c>
      <c r="F426" s="196">
        <f t="shared" si="37"/>
        <v>1</v>
      </c>
      <c r="G426" s="120">
        <f t="shared" si="42"/>
        <v>1901</v>
      </c>
      <c r="H426" s="99">
        <f t="shared" si="38"/>
        <v>0</v>
      </c>
      <c r="I426" s="120">
        <f t="shared" si="43"/>
        <v>0</v>
      </c>
      <c r="J426" s="120">
        <f t="shared" si="39"/>
        <v>0</v>
      </c>
      <c r="K426" s="120">
        <f t="shared" si="40"/>
        <v>0</v>
      </c>
      <c r="L426" s="120"/>
      <c r="M426" s="124">
        <f>E426*COHEFICIEN*(1/32)</f>
        <v>2.74456875</v>
      </c>
      <c r="N426" s="6">
        <f t="shared" si="41"/>
        <v>0</v>
      </c>
    </row>
    <row r="427" spans="1:14" hidden="1" x14ac:dyDescent="0.3">
      <c r="B427" s="70" t="s">
        <v>14</v>
      </c>
      <c r="C427" s="63" t="s">
        <v>109</v>
      </c>
      <c r="D427" s="130">
        <v>0.45</v>
      </c>
      <c r="E427" s="120">
        <f>H549</f>
        <v>2355</v>
      </c>
      <c r="F427" s="196">
        <f t="shared" si="37"/>
        <v>1</v>
      </c>
      <c r="G427" s="120">
        <f t="shared" si="42"/>
        <v>2355</v>
      </c>
      <c r="H427" s="99">
        <f t="shared" si="38"/>
        <v>0</v>
      </c>
      <c r="I427" s="120">
        <f t="shared" si="43"/>
        <v>0</v>
      </c>
      <c r="J427" s="120">
        <f t="shared" si="39"/>
        <v>0</v>
      </c>
      <c r="K427" s="120">
        <f t="shared" si="40"/>
        <v>0</v>
      </c>
      <c r="L427" s="120"/>
      <c r="M427" s="124">
        <f>E427*COHEFICIEN*(1/48)</f>
        <v>2.2666874999999997</v>
      </c>
      <c r="N427" s="6">
        <f t="shared" si="41"/>
        <v>0</v>
      </c>
    </row>
    <row r="428" spans="1:14" hidden="1" x14ac:dyDescent="0.3">
      <c r="B428" s="70" t="s">
        <v>352</v>
      </c>
      <c r="C428" s="63" t="str">
        <f>I45</f>
        <v>Centralita IP iNimbus Panasonic  con hasta X Líneas SIP y hasta Y Extensiones SIP</v>
      </c>
      <c r="D428" s="130">
        <v>0.45</v>
      </c>
      <c r="E428" s="120">
        <f>I53</f>
        <v>0</v>
      </c>
      <c r="F428" s="196">
        <f t="shared" si="37"/>
        <v>1</v>
      </c>
      <c r="G428" s="204">
        <f t="shared" si="42"/>
        <v>0</v>
      </c>
      <c r="H428" s="99">
        <f>IF(VALIDADOR_INIMBUSESP,1,0)</f>
        <v>0</v>
      </c>
      <c r="I428" s="120">
        <f t="shared" si="43"/>
        <v>0</v>
      </c>
      <c r="J428" s="120">
        <f t="shared" si="39"/>
        <v>0</v>
      </c>
      <c r="K428" s="120">
        <f t="shared" si="40"/>
        <v>0</v>
      </c>
      <c r="L428" s="120"/>
      <c r="M428" s="124">
        <f>IF(I48=0,0,E428*COHEFICIEN*(1/I48))</f>
        <v>0</v>
      </c>
      <c r="N428" s="6">
        <f t="shared" si="41"/>
        <v>0</v>
      </c>
    </row>
    <row r="429" spans="1:14" hidden="1" x14ac:dyDescent="0.3">
      <c r="A429" s="63" t="s">
        <v>207</v>
      </c>
      <c r="B429" s="121" t="s">
        <v>110</v>
      </c>
      <c r="C429" s="122"/>
      <c r="D429" s="122"/>
      <c r="E429" s="122"/>
      <c r="F429" s="122"/>
      <c r="G429" s="122"/>
      <c r="H429" s="122"/>
      <c r="I429" s="123">
        <f>SUM(I422:I428)</f>
        <v>0</v>
      </c>
      <c r="J429" s="123">
        <f>SUM(J422:J428)</f>
        <v>0</v>
      </c>
      <c r="K429" s="4">
        <f>SUM(N422:N428)</f>
        <v>0</v>
      </c>
      <c r="L429" s="123">
        <f>I429*COHEFICIEN</f>
        <v>0</v>
      </c>
    </row>
    <row r="430" spans="1:14" hidden="1" x14ac:dyDescent="0.3">
      <c r="B430" s="70" t="s">
        <v>23</v>
      </c>
      <c r="I430" s="63"/>
      <c r="J430" s="63"/>
    </row>
    <row r="431" spans="1:14" hidden="1" x14ac:dyDescent="0.3">
      <c r="B431" s="70" t="s">
        <v>111</v>
      </c>
      <c r="C431" s="63" t="b">
        <f>C366&gt;12</f>
        <v>0</v>
      </c>
      <c r="I431" s="63"/>
      <c r="J431" s="63"/>
    </row>
    <row r="432" spans="1:14" hidden="1" x14ac:dyDescent="0.3">
      <c r="B432" s="70" t="s">
        <v>112</v>
      </c>
      <c r="C432" s="63" t="b">
        <f>NOT(C431)</f>
        <v>1</v>
      </c>
      <c r="I432" s="63"/>
      <c r="J432" s="63"/>
    </row>
    <row r="433" spans="1:13" ht="16.5" hidden="1" customHeight="1" x14ac:dyDescent="0.3">
      <c r="I433" s="63"/>
      <c r="J433" s="63"/>
    </row>
    <row r="434" spans="1:13" hidden="1" x14ac:dyDescent="0.3">
      <c r="A434" s="178" t="s">
        <v>208</v>
      </c>
      <c r="B434" s="125" t="s">
        <v>113</v>
      </c>
      <c r="C434" s="126"/>
      <c r="D434" s="126"/>
      <c r="E434" s="126"/>
      <c r="F434" s="126"/>
      <c r="G434" s="126"/>
      <c r="H434" s="126"/>
      <c r="I434" s="127">
        <f>I429+I419+I433</f>
        <v>0</v>
      </c>
      <c r="J434" s="127">
        <f>J429+J419+J433</f>
        <v>0</v>
      </c>
      <c r="K434" s="127">
        <f>K429+K419+K433</f>
        <v>0</v>
      </c>
    </row>
    <row r="435" spans="1:13" hidden="1" x14ac:dyDescent="0.3">
      <c r="B435" s="125" t="s">
        <v>114</v>
      </c>
      <c r="C435" s="126" t="e">
        <f>MATCH(I434,Renting_REF,1)</f>
        <v>#N/A</v>
      </c>
      <c r="D435" s="126" t="b">
        <f>ISNA(C435)</f>
        <v>1</v>
      </c>
      <c r="E435" s="126"/>
      <c r="F435" s="126"/>
      <c r="G435" s="126">
        <f>IF(D435,1,C435)</f>
        <v>1</v>
      </c>
      <c r="H435" s="207">
        <f>INDEX($C$515:$H$516,$G$436,$G$435)</f>
        <v>4.6199999999999998E-2</v>
      </c>
      <c r="I435" s="199">
        <f>H435*I434</f>
        <v>0</v>
      </c>
      <c r="J435" s="126"/>
      <c r="K435" s="200"/>
      <c r="L435" s="180">
        <f>L429+L419</f>
        <v>0</v>
      </c>
    </row>
    <row r="436" spans="1:13" hidden="1" x14ac:dyDescent="0.3">
      <c r="G436" s="63">
        <f>IF(D31=B352,1,2)</f>
        <v>1</v>
      </c>
      <c r="I436" s="124" t="e">
        <f>I435/IF(VALIDADOR_INIMBUSESP,I48,EXT_FINALE)</f>
        <v>#DIV/0!</v>
      </c>
      <c r="J436" s="63"/>
    </row>
    <row r="437" spans="1:13" ht="16.5" hidden="1" customHeight="1" x14ac:dyDescent="0.3">
      <c r="I437" s="63"/>
      <c r="J437" s="63"/>
    </row>
    <row r="438" spans="1:13" hidden="1" x14ac:dyDescent="0.3">
      <c r="B438" s="95" t="s">
        <v>115</v>
      </c>
      <c r="C438" s="201" t="b">
        <f>E151=$H$291</f>
        <v>1</v>
      </c>
      <c r="D438" s="202" t="b">
        <f>PRINCIPAL!$E$152=0</f>
        <v>1</v>
      </c>
      <c r="E438" s="202"/>
      <c r="F438" s="202"/>
      <c r="G438" s="202" t="b">
        <f>AND(C438,D438)</f>
        <v>1</v>
      </c>
      <c r="H438" s="202" t="b">
        <f>AND(NOT(C438),D438)</f>
        <v>0</v>
      </c>
      <c r="I438" s="202"/>
      <c r="J438" s="202"/>
      <c r="K438" s="203"/>
    </row>
    <row r="439" spans="1:13" hidden="1" x14ac:dyDescent="0.3">
      <c r="B439" s="70" t="s">
        <v>116</v>
      </c>
      <c r="C439" s="63" t="s">
        <v>104</v>
      </c>
      <c r="E439">
        <v>311</v>
      </c>
      <c r="F439" s="63">
        <v>1</v>
      </c>
      <c r="G439" s="120">
        <f t="shared" ref="G439:G444" si="44">F439*E439</f>
        <v>311</v>
      </c>
      <c r="H439" s="99">
        <f t="shared" ref="H439:H444" si="45">IF($G$438,H422,0)</f>
        <v>0</v>
      </c>
      <c r="I439" s="124">
        <f>H439*G439</f>
        <v>0</v>
      </c>
      <c r="J439" s="198">
        <f t="shared" ref="J439:J445" si="46">I439*COHEFICIEN</f>
        <v>0</v>
      </c>
      <c r="K439" s="120">
        <f t="shared" ref="K439:K445" si="47">IF($K$370,0,J439/EXT_FINALE)</f>
        <v>0</v>
      </c>
      <c r="M439" t="str">
        <f t="shared" ref="M439:M444" si="48">TEXT(E439,"#.##0,00€")</f>
        <v>311,00€</v>
      </c>
    </row>
    <row r="440" spans="1:13" hidden="1" x14ac:dyDescent="0.3">
      <c r="B440" s="70" t="s">
        <v>117</v>
      </c>
      <c r="C440" s="63" t="s">
        <v>105</v>
      </c>
      <c r="E440">
        <v>311</v>
      </c>
      <c r="F440" s="63">
        <v>1</v>
      </c>
      <c r="G440" s="120">
        <f t="shared" si="44"/>
        <v>311</v>
      </c>
      <c r="H440" s="99">
        <f t="shared" si="45"/>
        <v>0</v>
      </c>
      <c r="I440" s="124">
        <f t="shared" ref="I440:I452" si="49">H440*G440</f>
        <v>0</v>
      </c>
      <c r="J440" s="198">
        <f t="shared" si="46"/>
        <v>0</v>
      </c>
      <c r="K440" s="120">
        <f t="shared" si="47"/>
        <v>0</v>
      </c>
      <c r="M440" t="str">
        <f t="shared" si="48"/>
        <v>311,00€</v>
      </c>
    </row>
    <row r="441" spans="1:13" hidden="1" x14ac:dyDescent="0.3">
      <c r="B441" s="70" t="s">
        <v>118</v>
      </c>
      <c r="C441" s="63" t="s">
        <v>106</v>
      </c>
      <c r="E441">
        <v>537</v>
      </c>
      <c r="F441" s="63">
        <v>1</v>
      </c>
      <c r="G441" s="120">
        <f t="shared" si="44"/>
        <v>537</v>
      </c>
      <c r="H441" s="99">
        <f t="shared" si="45"/>
        <v>0</v>
      </c>
      <c r="I441" s="124">
        <f t="shared" si="49"/>
        <v>0</v>
      </c>
      <c r="J441" s="198">
        <f t="shared" si="46"/>
        <v>0</v>
      </c>
      <c r="K441" s="120">
        <f t="shared" si="47"/>
        <v>0</v>
      </c>
      <c r="M441" t="str">
        <f t="shared" si="48"/>
        <v>537,00€</v>
      </c>
    </row>
    <row r="442" spans="1:13" hidden="1" x14ac:dyDescent="0.3">
      <c r="B442" s="70" t="s">
        <v>119</v>
      </c>
      <c r="C442" s="63" t="s">
        <v>107</v>
      </c>
      <c r="E442">
        <v>625</v>
      </c>
      <c r="F442" s="63">
        <v>1</v>
      </c>
      <c r="G442" s="120">
        <f t="shared" si="44"/>
        <v>625</v>
      </c>
      <c r="H442" s="99">
        <f t="shared" si="45"/>
        <v>0</v>
      </c>
      <c r="I442" s="124">
        <f t="shared" si="49"/>
        <v>0</v>
      </c>
      <c r="J442" s="198">
        <f t="shared" si="46"/>
        <v>0</v>
      </c>
      <c r="K442" s="120">
        <f t="shared" si="47"/>
        <v>0</v>
      </c>
      <c r="M442" t="str">
        <f t="shared" si="48"/>
        <v>625,00€</v>
      </c>
    </row>
    <row r="443" spans="1:13" hidden="1" x14ac:dyDescent="0.3">
      <c r="B443" s="70" t="s">
        <v>120</v>
      </c>
      <c r="C443" s="63" t="s">
        <v>108</v>
      </c>
      <c r="E443">
        <v>713</v>
      </c>
      <c r="F443" s="63">
        <v>1</v>
      </c>
      <c r="G443" s="120">
        <f t="shared" si="44"/>
        <v>713</v>
      </c>
      <c r="H443" s="99">
        <f t="shared" si="45"/>
        <v>0</v>
      </c>
      <c r="I443" s="124">
        <f t="shared" si="49"/>
        <v>0</v>
      </c>
      <c r="J443" s="198">
        <f t="shared" si="46"/>
        <v>0</v>
      </c>
      <c r="K443" s="120">
        <f t="shared" si="47"/>
        <v>0</v>
      </c>
      <c r="M443" t="str">
        <f t="shared" si="48"/>
        <v>713,00€</v>
      </c>
    </row>
    <row r="444" spans="1:13" hidden="1" x14ac:dyDescent="0.3">
      <c r="B444" s="70" t="s">
        <v>121</v>
      </c>
      <c r="C444" s="63" t="s">
        <v>109</v>
      </c>
      <c r="E444">
        <v>889</v>
      </c>
      <c r="F444" s="63">
        <v>1</v>
      </c>
      <c r="G444" s="120">
        <f t="shared" si="44"/>
        <v>889</v>
      </c>
      <c r="H444" s="99">
        <f t="shared" si="45"/>
        <v>0</v>
      </c>
      <c r="I444" s="124">
        <f t="shared" si="49"/>
        <v>0</v>
      </c>
      <c r="J444" s="198">
        <f t="shared" si="46"/>
        <v>0</v>
      </c>
      <c r="K444" s="120">
        <f t="shared" si="47"/>
        <v>0</v>
      </c>
      <c r="M444" t="str">
        <f t="shared" si="48"/>
        <v>889,00€</v>
      </c>
    </row>
    <row r="445" spans="1:13" hidden="1" x14ac:dyDescent="0.3">
      <c r="B445" s="79" t="s">
        <v>122</v>
      </c>
      <c r="C445" s="79"/>
      <c r="D445" s="79"/>
      <c r="E445" s="79"/>
      <c r="F445" s="79"/>
      <c r="G445" s="128">
        <f>PRINCIPAL!$E$152</f>
        <v>0</v>
      </c>
      <c r="H445" s="205">
        <f>IF(D438,0,1)</f>
        <v>0</v>
      </c>
      <c r="I445" s="129">
        <f t="shared" si="49"/>
        <v>0</v>
      </c>
      <c r="J445" s="208">
        <f t="shared" si="46"/>
        <v>0</v>
      </c>
      <c r="K445" s="128">
        <f t="shared" si="47"/>
        <v>0</v>
      </c>
    </row>
    <row r="446" spans="1:13" hidden="1" x14ac:dyDescent="0.3">
      <c r="G446" s="120"/>
      <c r="H446" s="63">
        <f>SUM(H439:H445)</f>
        <v>0</v>
      </c>
      <c r="I446" s="124">
        <f>SUM(I439:I445)</f>
        <v>0</v>
      </c>
      <c r="J446" s="184">
        <f>SUM(J439:J445)</f>
        <v>0</v>
      </c>
      <c r="K446" s="184">
        <f>SUM(K439:K445)</f>
        <v>0</v>
      </c>
    </row>
    <row r="447" spans="1:13" hidden="1" x14ac:dyDescent="0.3">
      <c r="G447" s="120"/>
      <c r="I447" s="124"/>
      <c r="J447" s="63"/>
    </row>
    <row r="448" spans="1:13" hidden="1" x14ac:dyDescent="0.3">
      <c r="B448" s="95" t="s">
        <v>123</v>
      </c>
      <c r="C448" s="201" t="b">
        <f>E155=$H$291</f>
        <v>1</v>
      </c>
      <c r="D448" s="202" t="b">
        <f>PRINCIPAL!$E$156=0</f>
        <v>1</v>
      </c>
      <c r="E448" s="202"/>
      <c r="F448" s="202"/>
      <c r="G448" s="209" t="b">
        <f>AND(C448,D448)</f>
        <v>1</v>
      </c>
      <c r="H448" s="202" t="b">
        <f>AND(NOT(C448),(D448))</f>
        <v>0</v>
      </c>
      <c r="I448" s="210"/>
      <c r="J448" s="202"/>
      <c r="K448" s="203"/>
    </row>
    <row r="449" spans="2:14" hidden="1" x14ac:dyDescent="0.3">
      <c r="B449" s="70" t="s">
        <v>124</v>
      </c>
      <c r="E449" s="6">
        <f>I434*F449</f>
        <v>0</v>
      </c>
      <c r="F449" s="130">
        <v>0.14000000000000001</v>
      </c>
      <c r="G449" s="124">
        <f>IF(E449&gt;200,E449,200)</f>
        <v>200</v>
      </c>
      <c r="H449" s="63">
        <f>IF(I434=0,0,IF(G448,G436,0))</f>
        <v>0</v>
      </c>
      <c r="I449" s="124">
        <f t="shared" si="49"/>
        <v>0</v>
      </c>
      <c r="J449" s="198">
        <f t="shared" ref="J449:J454" si="50">I449*COHEFICIEN</f>
        <v>0</v>
      </c>
      <c r="K449" s="120">
        <f t="shared" ref="K449:K454" si="51">IF($K$370,0,J449/EXT_FINALE)</f>
        <v>0</v>
      </c>
    </row>
    <row r="450" spans="2:14" hidden="1" x14ac:dyDescent="0.3">
      <c r="B450" s="70" t="s">
        <v>254</v>
      </c>
      <c r="G450" s="63">
        <f>PRINCIPAL!E156</f>
        <v>0</v>
      </c>
      <c r="H450" s="63">
        <f>IF(D448,0,G436)</f>
        <v>0</v>
      </c>
      <c r="I450" s="124">
        <f t="shared" si="49"/>
        <v>0</v>
      </c>
      <c r="J450" s="198">
        <f t="shared" si="50"/>
        <v>0</v>
      </c>
      <c r="K450" s="120">
        <f t="shared" si="51"/>
        <v>0</v>
      </c>
    </row>
    <row r="451" spans="2:14" hidden="1" x14ac:dyDescent="0.3">
      <c r="B451" s="70" t="s">
        <v>152</v>
      </c>
      <c r="G451" s="63">
        <f>PRINCIPAL!E159</f>
        <v>0</v>
      </c>
      <c r="H451" s="63">
        <v>1</v>
      </c>
      <c r="I451" s="124">
        <f t="shared" si="49"/>
        <v>0</v>
      </c>
      <c r="J451" s="198">
        <f t="shared" si="50"/>
        <v>0</v>
      </c>
      <c r="K451" s="120">
        <f t="shared" si="51"/>
        <v>0</v>
      </c>
    </row>
    <row r="452" spans="2:14" ht="16.5" hidden="1" customHeight="1" x14ac:dyDescent="0.3">
      <c r="B452" s="79" t="s">
        <v>69</v>
      </c>
      <c r="C452" s="79"/>
      <c r="D452" s="79"/>
      <c r="E452" s="79"/>
      <c r="F452" s="79"/>
      <c r="G452" s="79">
        <f>PRINCIPAL!E162</f>
        <v>0</v>
      </c>
      <c r="H452" s="79">
        <v>1</v>
      </c>
      <c r="I452" s="129">
        <f t="shared" si="49"/>
        <v>0</v>
      </c>
      <c r="J452" s="208">
        <f t="shared" si="50"/>
        <v>0</v>
      </c>
      <c r="K452" s="128">
        <f t="shared" si="51"/>
        <v>0</v>
      </c>
    </row>
    <row r="453" spans="2:14" ht="16.5" hidden="1" customHeight="1" x14ac:dyDescent="0.3">
      <c r="B453" s="70" t="s">
        <v>461</v>
      </c>
      <c r="C453" s="70"/>
      <c r="D453" s="70"/>
      <c r="E453" s="70">
        <v>75</v>
      </c>
      <c r="F453" s="70">
        <v>1</v>
      </c>
      <c r="G453" s="70">
        <f>F453*E453</f>
        <v>75</v>
      </c>
      <c r="H453" s="70">
        <f>IF(E233=H350,1,0)</f>
        <v>0</v>
      </c>
      <c r="I453" s="290">
        <f>H453*G453</f>
        <v>0</v>
      </c>
      <c r="J453" s="291">
        <f t="shared" si="50"/>
        <v>0</v>
      </c>
      <c r="K453" s="292">
        <f t="shared" si="51"/>
        <v>0</v>
      </c>
    </row>
    <row r="454" spans="2:14" ht="16.5" hidden="1" customHeight="1" x14ac:dyDescent="0.3">
      <c r="B454" s="79" t="s">
        <v>462</v>
      </c>
      <c r="C454" s="79"/>
      <c r="D454" s="79"/>
      <c r="E454" s="79">
        <v>150</v>
      </c>
      <c r="F454" s="79">
        <v>1</v>
      </c>
      <c r="G454" s="79">
        <f>F454*E454</f>
        <v>150</v>
      </c>
      <c r="H454" s="79">
        <f>IF(E233=H351,1,0)</f>
        <v>0</v>
      </c>
      <c r="I454" s="129">
        <f>H454*G454</f>
        <v>0</v>
      </c>
      <c r="J454" s="208">
        <f t="shared" si="50"/>
        <v>0</v>
      </c>
      <c r="K454" s="128">
        <f t="shared" si="51"/>
        <v>0</v>
      </c>
    </row>
    <row r="455" spans="2:14" ht="16.5" hidden="1" customHeight="1" x14ac:dyDescent="0.3">
      <c r="I455" s="184">
        <f>SUM(I449:I454)</f>
        <v>0</v>
      </c>
      <c r="J455" s="184">
        <f>SUM(J449:J454)</f>
        <v>0</v>
      </c>
      <c r="K455" s="184">
        <f>SUM(K449:K452)</f>
        <v>0</v>
      </c>
    </row>
    <row r="456" spans="2:14" ht="16.5" hidden="1" customHeight="1" x14ac:dyDescent="0.3">
      <c r="B456" s="131" t="s">
        <v>255</v>
      </c>
      <c r="C456" s="132"/>
      <c r="D456" s="132"/>
      <c r="E456" s="132"/>
      <c r="F456" s="132"/>
      <c r="G456" s="132"/>
      <c r="H456" s="132"/>
      <c r="I456" s="133">
        <f>I455+I446</f>
        <v>0</v>
      </c>
      <c r="J456" s="133">
        <f>J455+J446</f>
        <v>0</v>
      </c>
      <c r="K456" s="133">
        <f>K455+K446</f>
        <v>0</v>
      </c>
      <c r="L456" s="63" t="s">
        <v>209</v>
      </c>
      <c r="N456" s="180"/>
    </row>
    <row r="457" spans="2:14" ht="16.5" hidden="1" customHeight="1" x14ac:dyDescent="0.3">
      <c r="B457" s="70" t="s">
        <v>125</v>
      </c>
      <c r="I457" s="124">
        <f>I456*H435</f>
        <v>0</v>
      </c>
      <c r="J457" s="63"/>
    </row>
    <row r="458" spans="2:14" ht="16.5" hidden="1" customHeight="1" x14ac:dyDescent="0.3">
      <c r="I458" s="124">
        <f>I457/IF(VALIDADOR_INIMBUSESP,I48,IF(K370,1,EXT_FINALE))</f>
        <v>0</v>
      </c>
      <c r="J458" s="63"/>
    </row>
    <row r="459" spans="2:14" ht="16.5" hidden="1" customHeight="1" x14ac:dyDescent="0.3">
      <c r="B459" s="134" t="s">
        <v>228</v>
      </c>
      <c r="C459" s="135"/>
      <c r="D459" s="135"/>
      <c r="E459" s="135"/>
      <c r="F459" s="135"/>
      <c r="G459" s="135"/>
      <c r="H459" s="135"/>
      <c r="I459" s="136">
        <f>I456+I434</f>
        <v>0</v>
      </c>
      <c r="J459" s="136">
        <f>J456+J434</f>
        <v>0</v>
      </c>
      <c r="K459" s="136">
        <f>K456+K434</f>
        <v>0</v>
      </c>
      <c r="L459" s="63" t="s">
        <v>210</v>
      </c>
    </row>
    <row r="460" spans="2:14" ht="16.5" hidden="1" customHeight="1" x14ac:dyDescent="0.3">
      <c r="B460" s="70" t="s">
        <v>126</v>
      </c>
      <c r="I460" s="124">
        <f>I459*H435</f>
        <v>0</v>
      </c>
      <c r="L460" s="63" t="s">
        <v>229</v>
      </c>
    </row>
    <row r="461" spans="2:14" ht="16.5" hidden="1" customHeight="1" x14ac:dyDescent="0.3">
      <c r="I461" s="124"/>
      <c r="J461" s="63"/>
    </row>
    <row r="462" spans="2:14" ht="16.5" hidden="1" customHeight="1" x14ac:dyDescent="0.3">
      <c r="B462" s="70" t="s">
        <v>147</v>
      </c>
      <c r="I462" s="124"/>
      <c r="J462" s="63"/>
    </row>
    <row r="463" spans="2:14" ht="16.5" hidden="1" customHeight="1" x14ac:dyDescent="0.3">
      <c r="B463" s="70" t="s">
        <v>127</v>
      </c>
      <c r="E463" s="155">
        <v>49</v>
      </c>
      <c r="F463" s="63">
        <v>1</v>
      </c>
      <c r="G463" s="63">
        <f>F463*E463</f>
        <v>49</v>
      </c>
      <c r="H463" s="63">
        <f>IF($P$168,IF(PRINCIPAL!$E$227=PRINCIPAL!$B$291,K463,0),0)</f>
        <v>0</v>
      </c>
      <c r="I463" s="63">
        <f t="shared" ref="I463:I468" si="52">H463*E463</f>
        <v>0</v>
      </c>
      <c r="J463" s="63" t="b">
        <f>AND(VALIDADOR_INIMBUSESP,$I$46=2)</f>
        <v>0</v>
      </c>
      <c r="K463" s="211">
        <f t="shared" ref="K463:K468" si="53">IF(J463,1,H422)</f>
        <v>0</v>
      </c>
    </row>
    <row r="464" spans="2:14" ht="16.5" hidden="1" customHeight="1" x14ac:dyDescent="0.3">
      <c r="B464" s="70" t="s">
        <v>128</v>
      </c>
      <c r="E464" s="155">
        <v>69</v>
      </c>
      <c r="F464" s="63">
        <v>1</v>
      </c>
      <c r="G464" s="63">
        <f t="shared" ref="G464:G468" si="54">F464*E464</f>
        <v>69</v>
      </c>
      <c r="H464" s="63">
        <f>IF($P$168,IF(PRINCIPAL!$E$227=PRINCIPAL!$B$291,K464,0),0)</f>
        <v>0</v>
      </c>
      <c r="I464" s="63">
        <f t="shared" si="52"/>
        <v>0</v>
      </c>
      <c r="J464" s="63" t="b">
        <f>AND(VALIDADOR_INIMBUSESP,$I$46=3)</f>
        <v>0</v>
      </c>
      <c r="K464" s="211">
        <f t="shared" si="53"/>
        <v>0</v>
      </c>
    </row>
    <row r="465" spans="2:13" ht="16.5" hidden="1" customHeight="1" x14ac:dyDescent="0.3">
      <c r="B465" s="70" t="s">
        <v>129</v>
      </c>
      <c r="E465" s="155">
        <v>89</v>
      </c>
      <c r="F465" s="63">
        <v>1</v>
      </c>
      <c r="G465" s="63">
        <f t="shared" si="54"/>
        <v>89</v>
      </c>
      <c r="H465" s="63">
        <f>IF($P$168,IF(PRINCIPAL!$E$227=PRINCIPAL!$B$291,K465,0),0)</f>
        <v>0</v>
      </c>
      <c r="I465" s="63">
        <f t="shared" si="52"/>
        <v>0</v>
      </c>
      <c r="J465" s="63" t="b">
        <f>AND(VALIDADOR_INIMBUSESP,$I$46=4)</f>
        <v>0</v>
      </c>
      <c r="K465" s="211">
        <f>IF(J465,1,H424)</f>
        <v>0</v>
      </c>
    </row>
    <row r="466" spans="2:13" ht="16.5" hidden="1" customHeight="1" x14ac:dyDescent="0.3">
      <c r="B466" s="70" t="s">
        <v>130</v>
      </c>
      <c r="E466" s="155">
        <v>119</v>
      </c>
      <c r="F466" s="63">
        <v>1</v>
      </c>
      <c r="G466" s="63">
        <f t="shared" si="54"/>
        <v>119</v>
      </c>
      <c r="H466" s="63">
        <f>IF(P168,IF(PRINCIPAL!$E$227=PRINCIPAL!$B$291,K466,0),0)</f>
        <v>0</v>
      </c>
      <c r="I466" s="63">
        <f t="shared" si="52"/>
        <v>0</v>
      </c>
      <c r="J466" s="63" t="b">
        <f>AND(VALIDADOR_INIMBUSESP,$I$46=6)</f>
        <v>0</v>
      </c>
      <c r="K466" s="211">
        <f t="shared" si="53"/>
        <v>0</v>
      </c>
    </row>
    <row r="467" spans="2:13" ht="16.5" hidden="1" customHeight="1" x14ac:dyDescent="0.3">
      <c r="B467" s="70" t="s">
        <v>131</v>
      </c>
      <c r="E467" s="155">
        <v>149</v>
      </c>
      <c r="F467" s="63">
        <v>1</v>
      </c>
      <c r="G467" s="63">
        <f t="shared" si="54"/>
        <v>149</v>
      </c>
      <c r="H467" s="63">
        <f>IF(AND(P168,PRINCIPAL!$E$227=PRINCIPAL!$B$291),K467,0)</f>
        <v>0</v>
      </c>
      <c r="I467" s="63">
        <f t="shared" si="52"/>
        <v>0</v>
      </c>
      <c r="J467" s="63" t="b">
        <f>AND(VALIDADOR_INIMBUSESP,$I$46=8)</f>
        <v>0</v>
      </c>
      <c r="K467" s="211">
        <f t="shared" si="53"/>
        <v>0</v>
      </c>
    </row>
    <row r="468" spans="2:13" ht="16.5" hidden="1" customHeight="1" x14ac:dyDescent="0.3">
      <c r="B468" s="79" t="s">
        <v>132</v>
      </c>
      <c r="C468" s="79"/>
      <c r="D468" s="79"/>
      <c r="E468" s="79">
        <v>276.5</v>
      </c>
      <c r="F468" s="79">
        <v>1</v>
      </c>
      <c r="G468" s="79">
        <f t="shared" si="54"/>
        <v>276.5</v>
      </c>
      <c r="H468" s="79">
        <f>IF(AND(P168,PRINCIPAL!$E$227=PRINCIPAL!$B$291),K468,0)</f>
        <v>0</v>
      </c>
      <c r="I468" s="79">
        <f t="shared" si="52"/>
        <v>0</v>
      </c>
      <c r="J468" s="63" t="b">
        <f>AND(VALIDADOR_INIMBUSESP,$I$46=12)</f>
        <v>0</v>
      </c>
      <c r="K468" s="211">
        <f t="shared" si="53"/>
        <v>0</v>
      </c>
    </row>
    <row r="469" spans="2:13" ht="16.5" hidden="1" customHeight="1" x14ac:dyDescent="0.3">
      <c r="B469" s="70" t="s">
        <v>531</v>
      </c>
      <c r="H469" s="63">
        <f>SUM(H463:H468)</f>
        <v>0</v>
      </c>
      <c r="I469" s="63">
        <f>SUM(I463:I468)</f>
        <v>0</v>
      </c>
      <c r="L469" s="63" t="s">
        <v>230</v>
      </c>
    </row>
    <row r="470" spans="2:13" ht="16.5" hidden="1" customHeight="1" x14ac:dyDescent="0.3">
      <c r="D470" s="63" t="s">
        <v>364</v>
      </c>
      <c r="I470" s="63"/>
      <c r="J470" s="63"/>
    </row>
    <row r="471" spans="2:13" ht="16.5" hidden="1" customHeight="1" x14ac:dyDescent="0.3">
      <c r="B471" s="70" t="s">
        <v>138</v>
      </c>
      <c r="D471" s="63">
        <v>0</v>
      </c>
      <c r="E471" s="155">
        <f>124</f>
        <v>124</v>
      </c>
      <c r="F471" s="63">
        <v>1</v>
      </c>
      <c r="G471" s="63">
        <f>F471*E471</f>
        <v>124</v>
      </c>
      <c r="H471" s="63">
        <f>IF(AND(P168,PRINCIPAL!$E$227=PRINCIPAL!$B$292),K471,0)</f>
        <v>0</v>
      </c>
      <c r="I471" s="63">
        <f t="shared" ref="I471:I476" si="55">H471*E471</f>
        <v>0</v>
      </c>
      <c r="J471" s="63" t="b">
        <f>AND(VALIDADOR_INIMBUSESP,$I$46=2)</f>
        <v>0</v>
      </c>
      <c r="K471">
        <f t="shared" ref="K471:K476" si="56">IF(J471,1,H422)</f>
        <v>0</v>
      </c>
    </row>
    <row r="472" spans="2:13" hidden="1" x14ac:dyDescent="0.3">
      <c r="B472" s="70" t="s">
        <v>139</v>
      </c>
      <c r="D472" s="63">
        <v>0</v>
      </c>
      <c r="E472" s="155">
        <f>124+30</f>
        <v>154</v>
      </c>
      <c r="F472" s="63">
        <v>1</v>
      </c>
      <c r="G472" s="63">
        <f t="shared" ref="G472:G476" si="57">F472*E472</f>
        <v>154</v>
      </c>
      <c r="H472" s="63">
        <f>IF(AND(P168,PRINCIPAL!$E$227=PRINCIPAL!$B$292),K472,0)</f>
        <v>0</v>
      </c>
      <c r="I472" s="63">
        <f t="shared" si="55"/>
        <v>0</v>
      </c>
      <c r="J472" s="63" t="b">
        <f>AND(VALIDADOR_INIMBUSESP,$I$46=3)</f>
        <v>0</v>
      </c>
      <c r="K472">
        <f t="shared" si="56"/>
        <v>0</v>
      </c>
    </row>
    <row r="473" spans="2:13" hidden="1" x14ac:dyDescent="0.3">
      <c r="B473" s="70" t="s">
        <v>140</v>
      </c>
      <c r="D473" s="63">
        <v>0</v>
      </c>
      <c r="E473" s="155">
        <f>164</f>
        <v>164</v>
      </c>
      <c r="F473" s="63">
        <v>1</v>
      </c>
      <c r="G473" s="63">
        <f t="shared" si="57"/>
        <v>164</v>
      </c>
      <c r="H473" s="63">
        <f>IF(AND(P168,PRINCIPAL!$E$227=PRINCIPAL!$B$292),K473,0)</f>
        <v>0</v>
      </c>
      <c r="I473" s="63">
        <f t="shared" si="55"/>
        <v>0</v>
      </c>
      <c r="J473" s="63" t="b">
        <f>AND(VALIDADOR_INIMBUSESP,$I$46=4)</f>
        <v>0</v>
      </c>
      <c r="K473">
        <f t="shared" si="56"/>
        <v>0</v>
      </c>
    </row>
    <row r="474" spans="2:13" ht="16.5" hidden="1" customHeight="1" x14ac:dyDescent="0.3">
      <c r="B474" s="70" t="s">
        <v>141</v>
      </c>
      <c r="D474" s="63">
        <v>0</v>
      </c>
      <c r="E474" s="155">
        <f>214</f>
        <v>214</v>
      </c>
      <c r="F474" s="63">
        <v>1</v>
      </c>
      <c r="G474" s="63">
        <f t="shared" si="57"/>
        <v>214</v>
      </c>
      <c r="H474" s="63">
        <f>IF(AND(P168,PRINCIPAL!$E$227=PRINCIPAL!$B$292),K474,0)</f>
        <v>0</v>
      </c>
      <c r="I474" s="63">
        <f t="shared" si="55"/>
        <v>0</v>
      </c>
      <c r="J474" s="63" t="b">
        <f>AND(VALIDADOR_INIMBUSESP,$I$46=6)</f>
        <v>0</v>
      </c>
      <c r="K474">
        <f t="shared" si="56"/>
        <v>0</v>
      </c>
    </row>
    <row r="475" spans="2:13" ht="16.5" hidden="1" customHeight="1" x14ac:dyDescent="0.3">
      <c r="B475" s="70" t="s">
        <v>142</v>
      </c>
      <c r="D475" s="63">
        <v>0</v>
      </c>
      <c r="E475" s="155">
        <f>214</f>
        <v>214</v>
      </c>
      <c r="F475" s="63">
        <v>1</v>
      </c>
      <c r="G475" s="63">
        <f t="shared" si="57"/>
        <v>214</v>
      </c>
      <c r="H475" s="63">
        <f>IF(AND(P168,PRINCIPAL!$E$227=PRINCIPAL!$B$292),K475,0)</f>
        <v>0</v>
      </c>
      <c r="I475" s="63">
        <f t="shared" si="55"/>
        <v>0</v>
      </c>
      <c r="J475" s="63" t="b">
        <f>AND(VALIDADOR_INIMBUSESP,$I$46=8)</f>
        <v>0</v>
      </c>
      <c r="K475">
        <f t="shared" si="56"/>
        <v>0</v>
      </c>
    </row>
    <row r="476" spans="2:13" ht="16.5" hidden="1" customHeight="1" x14ac:dyDescent="0.3">
      <c r="B476" s="79" t="s">
        <v>143</v>
      </c>
      <c r="C476" s="79"/>
      <c r="D476" s="79">
        <v>0</v>
      </c>
      <c r="E476" s="156">
        <f>414</f>
        <v>414</v>
      </c>
      <c r="F476" s="79">
        <v>1</v>
      </c>
      <c r="G476" s="79">
        <f t="shared" si="57"/>
        <v>414</v>
      </c>
      <c r="H476" s="79">
        <f>IF(AND(P168,PRINCIPAL!$E$227=PRINCIPAL!$B$292),K476,0)</f>
        <v>0</v>
      </c>
      <c r="I476" s="79">
        <f t="shared" si="55"/>
        <v>0</v>
      </c>
      <c r="J476" s="63" t="b">
        <f>AND(VALIDADOR_INIMBUSESP,$I$46=12)</f>
        <v>0</v>
      </c>
      <c r="K476">
        <f t="shared" si="56"/>
        <v>0</v>
      </c>
    </row>
    <row r="477" spans="2:13" ht="16.5" hidden="1" customHeight="1" x14ac:dyDescent="0.3">
      <c r="B477" s="70" t="s">
        <v>532</v>
      </c>
      <c r="H477" s="63">
        <f>SUM(H471:H476)</f>
        <v>0</v>
      </c>
      <c r="I477" s="137">
        <f>SUM(I471:I476)</f>
        <v>0</v>
      </c>
      <c r="L477" s="63" t="s">
        <v>231</v>
      </c>
    </row>
    <row r="478" spans="2:13" ht="16.5" hidden="1" customHeight="1" x14ac:dyDescent="0.3">
      <c r="B478" s="360" t="s">
        <v>533</v>
      </c>
      <c r="C478" s="361"/>
      <c r="D478" s="361"/>
      <c r="E478" s="361"/>
      <c r="F478" s="361"/>
      <c r="G478" s="361"/>
      <c r="H478" s="361">
        <f>H477+H469</f>
        <v>0</v>
      </c>
      <c r="I478" s="361">
        <f>I477+I469</f>
        <v>0</v>
      </c>
      <c r="L478" s="63"/>
    </row>
    <row r="479" spans="2:13" ht="16.5" hidden="1" customHeight="1" x14ac:dyDescent="0.3">
      <c r="I479" s="137"/>
      <c r="L479" s="63"/>
    </row>
    <row r="480" spans="2:13" ht="16.5" hidden="1" customHeight="1" x14ac:dyDescent="0.3">
      <c r="B480" s="70" t="s">
        <v>458</v>
      </c>
      <c r="E480" s="63">
        <v>5</v>
      </c>
      <c r="F480" s="63">
        <v>1</v>
      </c>
      <c r="G480" s="63">
        <f>F480*E480</f>
        <v>5</v>
      </c>
      <c r="H480" s="63">
        <f>IF(E168=$D$291,0,IF(E178=$H$291,1,0))</f>
        <v>0</v>
      </c>
      <c r="I480" s="137">
        <f>H480*G480</f>
        <v>0</v>
      </c>
      <c r="L480" s="63"/>
      <c r="M480">
        <f>H480</f>
        <v>0</v>
      </c>
    </row>
    <row r="481" spans="2:13" ht="16.5" hidden="1" customHeight="1" x14ac:dyDescent="0.3">
      <c r="B481" s="70" t="s">
        <v>459</v>
      </c>
      <c r="E481" s="63">
        <v>2</v>
      </c>
      <c r="F481" s="63">
        <v>1</v>
      </c>
      <c r="G481" s="63">
        <v>2</v>
      </c>
      <c r="H481" s="63">
        <f>IF($E$168=$D$291,0,IF($E$186=0,0,IF($E$186&gt;10,$E$186-10,5)))</f>
        <v>0</v>
      </c>
      <c r="I481" s="137">
        <f>IF($E$168=$D$291,0,IF($E$186=0,0,IF($E$186&gt;10,10+H481*G481,H481*G481)))</f>
        <v>0</v>
      </c>
      <c r="L481" s="63"/>
      <c r="M481">
        <v>0</v>
      </c>
    </row>
    <row r="482" spans="2:13" ht="16.5" hidden="1" customHeight="1" x14ac:dyDescent="0.3">
      <c r="B482" s="70" t="s">
        <v>213</v>
      </c>
      <c r="E482" s="155">
        <v>1.5</v>
      </c>
      <c r="F482" s="63">
        <v>1</v>
      </c>
      <c r="G482" s="63">
        <f>F482*E482</f>
        <v>1.5</v>
      </c>
      <c r="H482" s="63">
        <f>E203</f>
        <v>0</v>
      </c>
      <c r="I482" s="137">
        <f>H482*G482</f>
        <v>0</v>
      </c>
      <c r="J482" s="63"/>
      <c r="M482">
        <f>H482</f>
        <v>0</v>
      </c>
    </row>
    <row r="483" spans="2:13" ht="16.5" hidden="1" customHeight="1" x14ac:dyDescent="0.3">
      <c r="B483" s="375" t="s">
        <v>463</v>
      </c>
      <c r="C483" s="207">
        <v>1000</v>
      </c>
      <c r="D483" s="207"/>
      <c r="E483" s="376">
        <v>34.9</v>
      </c>
      <c r="F483" s="207">
        <v>1</v>
      </c>
      <c r="G483" s="207">
        <f t="shared" ref="G483:G486" si="58">F483*E483</f>
        <v>34.9</v>
      </c>
      <c r="H483" s="207">
        <f>IF(H480+H481=0,0,IF(AND($E$168=$D$292,$E$196=$J289),1,0))</f>
        <v>0</v>
      </c>
      <c r="I483" s="375">
        <f t="shared" ref="I483:I486" si="59">H483*G483</f>
        <v>0</v>
      </c>
      <c r="J483" s="207"/>
    </row>
    <row r="484" spans="2:13" ht="16.5" hidden="1" customHeight="1" x14ac:dyDescent="0.3">
      <c r="B484" s="375"/>
      <c r="C484" s="207">
        <v>2500</v>
      </c>
      <c r="D484" s="207"/>
      <c r="E484" s="376">
        <v>69.900000000000006</v>
      </c>
      <c r="F484" s="207">
        <v>1</v>
      </c>
      <c r="G484" s="207">
        <f t="shared" si="58"/>
        <v>69.900000000000006</v>
      </c>
      <c r="H484" s="207">
        <f>IF(AND($E$168=$D$292,$E$196=$J290),1,0)</f>
        <v>0</v>
      </c>
      <c r="I484" s="375">
        <f t="shared" si="59"/>
        <v>0</v>
      </c>
      <c r="J484" s="207"/>
    </row>
    <row r="485" spans="2:13" ht="16.5" hidden="1" customHeight="1" x14ac:dyDescent="0.3">
      <c r="B485" s="375"/>
      <c r="C485" s="207">
        <v>5000</v>
      </c>
      <c r="D485" s="207"/>
      <c r="E485" s="376">
        <v>94.9</v>
      </c>
      <c r="F485" s="207">
        <v>1</v>
      </c>
      <c r="G485" s="207">
        <f t="shared" si="58"/>
        <v>94.9</v>
      </c>
      <c r="H485" s="207">
        <f>IF(AND($E$168=$D$292,$E$196=$J291),1,0)</f>
        <v>0</v>
      </c>
      <c r="I485" s="375">
        <f t="shared" si="59"/>
        <v>0</v>
      </c>
      <c r="J485" s="207"/>
    </row>
    <row r="486" spans="2:13" ht="16.5" hidden="1" customHeight="1" x14ac:dyDescent="0.3">
      <c r="B486" s="375"/>
      <c r="C486" s="207">
        <v>10000</v>
      </c>
      <c r="D486" s="207"/>
      <c r="E486" s="376">
        <v>144.9</v>
      </c>
      <c r="F486" s="207">
        <v>1</v>
      </c>
      <c r="G486" s="207">
        <f t="shared" si="58"/>
        <v>144.9</v>
      </c>
      <c r="H486" s="207">
        <f>IF(AND($E$168=$D$292,$E$196=$J292),1,0)</f>
        <v>0</v>
      </c>
      <c r="I486" s="375">
        <f t="shared" si="59"/>
        <v>0</v>
      </c>
      <c r="J486" s="207">
        <f>SUM(I483:I486)</f>
        <v>0</v>
      </c>
    </row>
    <row r="487" spans="2:13" hidden="1" x14ac:dyDescent="0.3">
      <c r="B487" s="70" t="s">
        <v>214</v>
      </c>
      <c r="E487" s="155">
        <v>9</v>
      </c>
      <c r="F487" s="63">
        <v>1</v>
      </c>
      <c r="G487" s="63">
        <f>F487*E487</f>
        <v>9</v>
      </c>
      <c r="H487" s="63">
        <f>IF(PRINCIPAL!P210,E211,0)</f>
        <v>0</v>
      </c>
      <c r="I487" s="137">
        <f>H487*G487</f>
        <v>0</v>
      </c>
      <c r="J487" s="63"/>
    </row>
    <row r="488" spans="2:13" hidden="1" x14ac:dyDescent="0.3">
      <c r="B488" s="79" t="s">
        <v>483</v>
      </c>
      <c r="C488" s="79"/>
      <c r="D488" s="79"/>
      <c r="E488" s="156">
        <v>10</v>
      </c>
      <c r="F488" s="79">
        <v>1</v>
      </c>
      <c r="G488" s="79">
        <f>F488*E488</f>
        <v>10</v>
      </c>
      <c r="H488" s="79">
        <f>IF(P217,E218,0)</f>
        <v>0</v>
      </c>
      <c r="I488" s="138">
        <f>H488*G488</f>
        <v>0</v>
      </c>
      <c r="J488" s="63"/>
    </row>
    <row r="489" spans="2:13" hidden="1" x14ac:dyDescent="0.3">
      <c r="E489" s="155"/>
      <c r="I489" s="137">
        <f>SUM(I480:I488)</f>
        <v>0</v>
      </c>
      <c r="J489" s="63"/>
      <c r="M489">
        <f>SUM(M480:M488)</f>
        <v>0</v>
      </c>
    </row>
    <row r="490" spans="2:13" ht="16.5" hidden="1" customHeight="1" x14ac:dyDescent="0.3">
      <c r="B490" s="70" t="s">
        <v>460</v>
      </c>
      <c r="E490" s="63">
        <v>75</v>
      </c>
      <c r="F490" s="63">
        <v>1</v>
      </c>
      <c r="G490" s="63">
        <f>F490*E490</f>
        <v>75</v>
      </c>
      <c r="H490" s="63">
        <f>IF(AND(E168=$D$292,E227=$B$292),1,0)</f>
        <v>0</v>
      </c>
      <c r="I490" s="137">
        <f t="shared" ref="I490:I493" si="60">H490*G490</f>
        <v>0</v>
      </c>
      <c r="J490" s="63"/>
    </row>
    <row r="491" spans="2:13" ht="16.5" hidden="1" customHeight="1" x14ac:dyDescent="0.3">
      <c r="B491" s="70" t="s">
        <v>457</v>
      </c>
      <c r="E491" s="155">
        <v>6</v>
      </c>
      <c r="F491" s="63">
        <v>1</v>
      </c>
      <c r="G491" s="63">
        <f>F491*E491</f>
        <v>6</v>
      </c>
      <c r="H491" s="63">
        <f>IF(AND(P229,E227=$B$292),1,0)</f>
        <v>0</v>
      </c>
      <c r="I491" s="137">
        <f t="shared" si="60"/>
        <v>0</v>
      </c>
      <c r="J491" s="63"/>
    </row>
    <row r="492" spans="2:13" ht="16.5" hidden="1" customHeight="1" x14ac:dyDescent="0.3">
      <c r="B492" s="70" t="s">
        <v>456</v>
      </c>
      <c r="E492" s="155">
        <v>6</v>
      </c>
      <c r="F492" s="63">
        <v>1</v>
      </c>
      <c r="G492" s="63">
        <f>F492*E492</f>
        <v>6</v>
      </c>
      <c r="H492" s="63">
        <f>IF(AND(P231,E227=$B$292),1,0)</f>
        <v>0</v>
      </c>
      <c r="I492" s="137">
        <f t="shared" si="60"/>
        <v>0</v>
      </c>
      <c r="J492" s="63"/>
    </row>
    <row r="493" spans="2:13" ht="16.5" hidden="1" customHeight="1" x14ac:dyDescent="0.3">
      <c r="B493" s="79" t="s">
        <v>205</v>
      </c>
      <c r="C493" s="79"/>
      <c r="D493" s="79"/>
      <c r="E493" s="79">
        <v>0</v>
      </c>
      <c r="F493" s="79">
        <v>1</v>
      </c>
      <c r="G493" s="79">
        <f t="shared" ref="G493" si="61">F493*E493</f>
        <v>0</v>
      </c>
      <c r="H493" s="79">
        <f>IF(C366=0,0,IF(H477=0,0,-1))</f>
        <v>0</v>
      </c>
      <c r="I493" s="138">
        <f t="shared" si="60"/>
        <v>0</v>
      </c>
      <c r="J493" s="63"/>
    </row>
    <row r="494" spans="2:13" hidden="1" x14ac:dyDescent="0.3">
      <c r="I494" s="137">
        <f>SUM(I490:I493)</f>
        <v>0</v>
      </c>
      <c r="L494" s="63" t="s">
        <v>232</v>
      </c>
    </row>
    <row r="495" spans="2:13" hidden="1" x14ac:dyDescent="0.3">
      <c r="B495" s="362" t="s">
        <v>534</v>
      </c>
      <c r="C495" s="363"/>
      <c r="D495" s="363"/>
      <c r="E495" s="363"/>
      <c r="F495" s="363"/>
      <c r="G495" s="363"/>
      <c r="H495" s="363">
        <f>H494+H496</f>
        <v>0</v>
      </c>
      <c r="I495" s="362">
        <f>I494+I489</f>
        <v>0</v>
      </c>
      <c r="L495" s="63"/>
    </row>
    <row r="496" spans="2:13" hidden="1" x14ac:dyDescent="0.3">
      <c r="I496" s="137"/>
      <c r="L496" s="63"/>
    </row>
    <row r="497" spans="2:12" ht="16.5" hidden="1" customHeight="1" x14ac:dyDescent="0.3">
      <c r="B497" s="139" t="s">
        <v>226</v>
      </c>
      <c r="C497" s="140"/>
      <c r="D497" s="140"/>
      <c r="E497" s="140"/>
      <c r="F497" s="140"/>
      <c r="G497" s="140"/>
      <c r="H497" s="140"/>
      <c r="I497" s="141">
        <f>I495+I478</f>
        <v>0</v>
      </c>
      <c r="L497" s="63" t="s">
        <v>233</v>
      </c>
    </row>
    <row r="498" spans="2:12" ht="16.5" hidden="1" customHeight="1" x14ac:dyDescent="0.3">
      <c r="I498" s="184">
        <f>I497/IF(VALIDADOR_INIMBUSESP,IF(I48=0,1,I48),IF(EXT_FINALE=0,1,EXT_FINALE))</f>
        <v>0</v>
      </c>
      <c r="L498" s="63"/>
    </row>
    <row r="499" spans="2:12" ht="16.5" hidden="1" customHeight="1" x14ac:dyDescent="0.3">
      <c r="I499" s="204"/>
      <c r="L499" s="63"/>
    </row>
    <row r="500" spans="2:12" hidden="1" x14ac:dyDescent="0.3">
      <c r="B500" s="79" t="s">
        <v>144</v>
      </c>
      <c r="C500" s="79"/>
      <c r="D500" s="79"/>
      <c r="E500" s="156">
        <v>14</v>
      </c>
      <c r="F500" s="79">
        <v>1</v>
      </c>
      <c r="G500" s="79">
        <f>F500*E500</f>
        <v>14</v>
      </c>
      <c r="H500" s="79">
        <f>PRINCIPAL!E240</f>
        <v>0</v>
      </c>
      <c r="I500" s="138">
        <f>H500*G500</f>
        <v>0</v>
      </c>
      <c r="J500" s="63"/>
    </row>
    <row r="501" spans="2:12" ht="16.5" hidden="1" customHeight="1" x14ac:dyDescent="0.3">
      <c r="I501" s="137">
        <f>I500</f>
        <v>0</v>
      </c>
      <c r="L501" s="63"/>
    </row>
    <row r="502" spans="2:12" ht="16.5" hidden="1" customHeight="1" x14ac:dyDescent="0.3">
      <c r="B502" s="86" t="s">
        <v>535</v>
      </c>
      <c r="C502" s="358"/>
      <c r="D502" s="358"/>
      <c r="E502" s="358"/>
      <c r="F502" s="358"/>
      <c r="G502" s="358"/>
      <c r="H502" s="358"/>
      <c r="I502" s="86">
        <f>I501</f>
        <v>0</v>
      </c>
      <c r="L502" s="63"/>
    </row>
    <row r="503" spans="2:12" ht="16.5" hidden="1" customHeight="1" x14ac:dyDescent="0.3">
      <c r="I503" s="204"/>
      <c r="L503" s="63"/>
    </row>
    <row r="504" spans="2:12" ht="16.5" hidden="1" customHeight="1" x14ac:dyDescent="0.3">
      <c r="B504" s="142" t="s">
        <v>227</v>
      </c>
      <c r="C504" s="143"/>
      <c r="D504" s="143"/>
      <c r="E504" s="143"/>
      <c r="F504" s="143"/>
      <c r="G504" s="143"/>
      <c r="H504" s="143"/>
      <c r="I504" s="144">
        <f>I497+I460+I502</f>
        <v>0</v>
      </c>
      <c r="L504" s="63" t="s">
        <v>355</v>
      </c>
    </row>
    <row r="505" spans="2:12" ht="16.5" hidden="1" customHeight="1" x14ac:dyDescent="0.3">
      <c r="B505" s="70" t="s">
        <v>133</v>
      </c>
      <c r="I505" s="124">
        <f>I504/IF(VALIDADOR_INIMBUSESP,IF(I48=0,1,I48),IF(EXT_FINALE=0,1,EXT_FINALE))</f>
        <v>0</v>
      </c>
      <c r="J505" s="63"/>
    </row>
    <row r="506" spans="2:12" ht="16.5" hidden="1" customHeight="1" x14ac:dyDescent="0.3"/>
    <row r="507" spans="2:12" ht="16.5" hidden="1" customHeight="1" x14ac:dyDescent="0.3"/>
    <row r="508" spans="2:12" ht="16.5" hidden="1" customHeight="1" x14ac:dyDescent="0.3"/>
    <row r="509" spans="2:12" ht="16.5" hidden="1" customHeight="1" x14ac:dyDescent="0.3"/>
    <row r="510" spans="2:12" ht="16.5" hidden="1" customHeight="1" x14ac:dyDescent="0.3"/>
    <row r="511" spans="2:12" ht="16.5" hidden="1" customHeight="1" x14ac:dyDescent="0.3"/>
    <row r="512" spans="2:12" ht="16.5" hidden="1" customHeight="1" x14ac:dyDescent="0.3"/>
    <row r="513" spans="2:8" ht="16.5" hidden="1" customHeight="1" x14ac:dyDescent="0.3">
      <c r="B513" s="70" t="s">
        <v>332</v>
      </c>
    </row>
    <row r="514" spans="2:8" ht="16.5" hidden="1" customHeight="1" x14ac:dyDescent="0.3">
      <c r="B514" s="7" t="s">
        <v>5</v>
      </c>
      <c r="C514" s="8">
        <v>500</v>
      </c>
      <c r="D514" s="8">
        <v>2501</v>
      </c>
      <c r="E514" s="8">
        <v>5001</v>
      </c>
      <c r="F514" s="8">
        <v>25001</v>
      </c>
      <c r="G514" s="9">
        <v>50001</v>
      </c>
      <c r="H514" s="10">
        <v>125001</v>
      </c>
    </row>
    <row r="515" spans="2:8" ht="16.5" hidden="1" customHeight="1" x14ac:dyDescent="0.3">
      <c r="B515" s="11">
        <v>24</v>
      </c>
      <c r="C515" s="12">
        <v>4.6199999999999998E-2</v>
      </c>
      <c r="D515" s="12">
        <v>4.5900000000000003E-2</v>
      </c>
      <c r="E515" s="12">
        <v>4.5699999999999998E-2</v>
      </c>
      <c r="F515" s="12">
        <v>4.5400000000000003E-2</v>
      </c>
      <c r="G515" s="12">
        <v>4.53E-2</v>
      </c>
      <c r="H515" s="13">
        <v>4.5199999999999997E-2</v>
      </c>
    </row>
    <row r="516" spans="2:8" ht="16.5" hidden="1" customHeight="1" x14ac:dyDescent="0.3">
      <c r="B516" s="14">
        <v>36</v>
      </c>
      <c r="C516" s="15">
        <v>3.2899999999999999E-2</v>
      </c>
      <c r="D516" s="15">
        <v>3.2399999999999998E-2</v>
      </c>
      <c r="E516" s="15">
        <v>3.1600000000000003E-2</v>
      </c>
      <c r="F516" s="15">
        <v>3.1199999999999999E-2</v>
      </c>
      <c r="G516" s="15">
        <v>3.1099999999999999E-2</v>
      </c>
      <c r="H516" s="16">
        <v>3.1E-2</v>
      </c>
    </row>
    <row r="517" spans="2:8" ht="16.5" hidden="1" customHeight="1" x14ac:dyDescent="0.3"/>
    <row r="518" spans="2:8" ht="16.5" hidden="1" customHeight="1" x14ac:dyDescent="0.3"/>
    <row r="519" spans="2:8" ht="16.5" hidden="1" customHeight="1" x14ac:dyDescent="0.3"/>
    <row r="520" spans="2:8" ht="16.5" hidden="1" customHeight="1" x14ac:dyDescent="0.3"/>
    <row r="521" spans="2:8" ht="16.5" hidden="1" customHeight="1" x14ac:dyDescent="0.3"/>
    <row r="522" spans="2:8" ht="16.5" hidden="1" customHeight="1" x14ac:dyDescent="0.3"/>
    <row r="523" spans="2:8" ht="16.5" hidden="1" customHeight="1" x14ac:dyDescent="0.3">
      <c r="F523" s="63" t="b">
        <v>1</v>
      </c>
      <c r="G523" s="63" t="b">
        <v>1</v>
      </c>
      <c r="H523" s="63" t="b">
        <f>AND(F523,G523)</f>
        <v>1</v>
      </c>
    </row>
    <row r="524" spans="2:8" ht="16.5" hidden="1" customHeight="1" x14ac:dyDescent="0.3">
      <c r="F524" s="63" t="b">
        <v>1</v>
      </c>
      <c r="G524" s="63" t="b">
        <v>0</v>
      </c>
      <c r="H524" s="63" t="b">
        <f>AND(F524,G524)</f>
        <v>0</v>
      </c>
    </row>
    <row r="525" spans="2:8" ht="16.5" hidden="1" customHeight="1" x14ac:dyDescent="0.3">
      <c r="F525" s="63" t="b">
        <v>0</v>
      </c>
      <c r="G525" s="63" t="b">
        <v>0</v>
      </c>
      <c r="H525" s="63" t="b">
        <f>AND(F525,G525)</f>
        <v>0</v>
      </c>
    </row>
    <row r="526" spans="2:8" ht="16.5" hidden="1" customHeight="1" x14ac:dyDescent="0.3"/>
    <row r="527" spans="2:8" ht="16.5" hidden="1" customHeight="1" x14ac:dyDescent="0.3"/>
    <row r="528" spans="2:8" ht="16.5" hidden="1" customHeight="1" x14ac:dyDescent="0.3"/>
    <row r="529" spans="1:8" ht="16.5" hidden="1" customHeight="1" x14ac:dyDescent="0.3">
      <c r="B529" s="70" t="s">
        <v>333</v>
      </c>
    </row>
    <row r="530" spans="1:8" ht="16.5" hidden="1" customHeight="1" x14ac:dyDescent="0.3"/>
    <row r="531" spans="1:8" ht="16.5" hidden="1" customHeight="1" x14ac:dyDescent="0.3">
      <c r="C531" s="80" t="s">
        <v>9</v>
      </c>
      <c r="D531" s="80" t="s">
        <v>10</v>
      </c>
      <c r="E531" s="80" t="s">
        <v>11</v>
      </c>
      <c r="F531" s="80" t="s">
        <v>12</v>
      </c>
      <c r="G531" s="80" t="s">
        <v>13</v>
      </c>
      <c r="H531" s="80" t="s">
        <v>14</v>
      </c>
    </row>
    <row r="532" spans="1:8" ht="16.5" hidden="1" customHeight="1" x14ac:dyDescent="0.3">
      <c r="A532" t="s">
        <v>320</v>
      </c>
      <c r="B532" s="70" t="s">
        <v>300</v>
      </c>
    </row>
    <row r="533" spans="1:8" ht="16.5" hidden="1" customHeight="1" x14ac:dyDescent="0.3">
      <c r="A533">
        <v>460</v>
      </c>
      <c r="B533" s="70" t="s">
        <v>287</v>
      </c>
      <c r="C533" s="99">
        <v>1</v>
      </c>
      <c r="D533" s="99">
        <v>1</v>
      </c>
      <c r="E533" s="99"/>
      <c r="F533" s="99"/>
      <c r="G533" s="99"/>
      <c r="H533" s="99"/>
    </row>
    <row r="534" spans="1:8" ht="16.5" hidden="1" customHeight="1" x14ac:dyDescent="0.3">
      <c r="A534">
        <v>695</v>
      </c>
      <c r="B534" s="70" t="s">
        <v>288</v>
      </c>
      <c r="C534" s="99"/>
      <c r="D534" s="99"/>
      <c r="E534" s="99">
        <v>1</v>
      </c>
      <c r="F534" s="99">
        <v>1</v>
      </c>
      <c r="G534" s="99">
        <v>1</v>
      </c>
      <c r="H534" s="99">
        <v>1</v>
      </c>
    </row>
    <row r="535" spans="1:8" ht="16.5" hidden="1" customHeight="1" x14ac:dyDescent="0.3">
      <c r="A535">
        <v>280</v>
      </c>
      <c r="B535" s="70" t="s">
        <v>289</v>
      </c>
      <c r="C535" s="99"/>
      <c r="D535" s="99"/>
      <c r="E535" s="99">
        <v>1</v>
      </c>
      <c r="F535" s="99">
        <v>1</v>
      </c>
      <c r="G535" s="99">
        <v>1</v>
      </c>
      <c r="H535" s="99">
        <v>1</v>
      </c>
    </row>
    <row r="536" spans="1:8" ht="16.5" hidden="1" customHeight="1" x14ac:dyDescent="0.3">
      <c r="B536" s="70" t="s">
        <v>290</v>
      </c>
      <c r="C536" s="99"/>
      <c r="D536" s="99"/>
      <c r="E536" s="99"/>
      <c r="F536" s="99"/>
      <c r="G536" s="99"/>
      <c r="H536" s="99"/>
    </row>
    <row r="537" spans="1:8" ht="16.5" hidden="1" customHeight="1" x14ac:dyDescent="0.3">
      <c r="A537">
        <v>128</v>
      </c>
      <c r="B537" s="70" t="s">
        <v>291</v>
      </c>
      <c r="C537" s="99"/>
      <c r="D537" s="99"/>
      <c r="E537" s="99"/>
      <c r="F537" s="99">
        <v>1</v>
      </c>
      <c r="G537" s="99"/>
      <c r="H537" s="99"/>
    </row>
    <row r="538" spans="1:8" ht="16.5" hidden="1" customHeight="1" x14ac:dyDescent="0.3">
      <c r="A538">
        <v>244</v>
      </c>
      <c r="B538" s="70" t="s">
        <v>292</v>
      </c>
      <c r="C538" s="99"/>
      <c r="D538" s="99"/>
      <c r="E538" s="99">
        <v>1</v>
      </c>
      <c r="F538" s="99">
        <v>1</v>
      </c>
      <c r="G538" s="99"/>
      <c r="H538" s="99">
        <v>1</v>
      </c>
    </row>
    <row r="539" spans="1:8" ht="16.5" hidden="1" customHeight="1" x14ac:dyDescent="0.3">
      <c r="A539">
        <v>456</v>
      </c>
      <c r="B539" s="70" t="s">
        <v>293</v>
      </c>
      <c r="C539" s="99"/>
      <c r="D539" s="99"/>
      <c r="E539" s="99"/>
      <c r="F539" s="99"/>
      <c r="G539" s="99">
        <v>1</v>
      </c>
      <c r="H539" s="99">
        <v>1</v>
      </c>
    </row>
    <row r="540" spans="1:8" ht="16.5" hidden="1" customHeight="1" x14ac:dyDescent="0.3">
      <c r="B540" s="70" t="s">
        <v>294</v>
      </c>
      <c r="C540" s="99"/>
      <c r="D540" s="99"/>
      <c r="E540" s="99"/>
      <c r="F540" s="99"/>
      <c r="G540" s="99"/>
      <c r="H540" s="99"/>
    </row>
    <row r="541" spans="1:8" ht="16.5" hidden="1" customHeight="1" x14ac:dyDescent="0.3">
      <c r="B541" s="70" t="s">
        <v>295</v>
      </c>
      <c r="C541" s="99"/>
      <c r="D541" s="99"/>
      <c r="E541" s="99"/>
      <c r="F541" s="99"/>
      <c r="G541" s="99"/>
      <c r="H541" s="99"/>
    </row>
    <row r="542" spans="1:8" ht="16.5" hidden="1" customHeight="1" x14ac:dyDescent="0.3">
      <c r="A542">
        <v>20</v>
      </c>
      <c r="B542" s="70" t="s">
        <v>296</v>
      </c>
      <c r="C542" s="99"/>
      <c r="D542" s="99"/>
      <c r="E542" s="99">
        <v>2</v>
      </c>
      <c r="F542" s="99"/>
      <c r="G542" s="99">
        <v>3</v>
      </c>
      <c r="H542" s="99">
        <v>4</v>
      </c>
    </row>
    <row r="543" spans="1:8" ht="16.5" hidden="1" customHeight="1" x14ac:dyDescent="0.3">
      <c r="A543">
        <v>90</v>
      </c>
      <c r="B543" s="70" t="s">
        <v>297</v>
      </c>
      <c r="C543" s="99"/>
      <c r="D543" s="99"/>
      <c r="E543" s="99"/>
      <c r="F543" s="99"/>
      <c r="G543" s="99">
        <v>1</v>
      </c>
      <c r="H543" s="99"/>
    </row>
    <row r="544" spans="1:8" ht="16.5" hidden="1" customHeight="1" x14ac:dyDescent="0.3">
      <c r="A544">
        <v>150</v>
      </c>
      <c r="B544" s="70" t="s">
        <v>298</v>
      </c>
      <c r="C544" s="99"/>
      <c r="D544" s="99"/>
      <c r="E544" s="99">
        <v>1</v>
      </c>
      <c r="F544" s="99"/>
      <c r="G544" s="99"/>
      <c r="H544" s="99"/>
    </row>
    <row r="545" spans="1:8" ht="16.5" hidden="1" customHeight="1" x14ac:dyDescent="0.3">
      <c r="A545">
        <v>280</v>
      </c>
      <c r="B545" s="70" t="s">
        <v>299</v>
      </c>
      <c r="C545" s="99"/>
      <c r="D545" s="99"/>
      <c r="E545" s="99"/>
      <c r="F545" s="99">
        <v>1</v>
      </c>
      <c r="G545" s="99">
        <v>1</v>
      </c>
      <c r="H545" s="99">
        <v>2</v>
      </c>
    </row>
    <row r="546" spans="1:8" ht="16.5" hidden="1" customHeight="1" x14ac:dyDescent="0.3">
      <c r="A546">
        <v>40</v>
      </c>
      <c r="B546" s="70" t="s">
        <v>321</v>
      </c>
      <c r="C546" s="99"/>
      <c r="D546" s="99"/>
      <c r="E546" s="99">
        <v>1</v>
      </c>
      <c r="F546" s="99">
        <v>1</v>
      </c>
      <c r="G546" s="99">
        <v>1</v>
      </c>
      <c r="H546" s="99">
        <v>1</v>
      </c>
    </row>
    <row r="547" spans="1:8" ht="16.5" hidden="1" customHeight="1" x14ac:dyDescent="0.3">
      <c r="C547" s="99"/>
      <c r="D547" s="99"/>
      <c r="E547" s="99"/>
      <c r="F547" s="99"/>
      <c r="G547" s="99"/>
      <c r="H547" s="99"/>
    </row>
    <row r="548" spans="1:8" ht="16.5" hidden="1" customHeight="1" x14ac:dyDescent="0.3"/>
    <row r="549" spans="1:8" ht="16.5" hidden="1" customHeight="1" x14ac:dyDescent="0.3">
      <c r="B549" s="148" t="s">
        <v>301</v>
      </c>
      <c r="C549" s="154">
        <f>SUMPRODUCT($A$533:$A$545,C533:C545)</f>
        <v>460</v>
      </c>
      <c r="D549" s="154">
        <f t="shared" ref="D549" si="62">SUMPRODUCT($A$533:$A$545,D533:D545)</f>
        <v>460</v>
      </c>
      <c r="E549" s="154">
        <f>SUMPRODUCT($A$533:$A$546,E533:E546)</f>
        <v>1449</v>
      </c>
      <c r="F549" s="154">
        <f>SUMPRODUCT($A$533:$A$546,F533:F546)</f>
        <v>1667</v>
      </c>
      <c r="G549" s="154">
        <f>SUMPRODUCT($A$533:$A$546,G533:G546)</f>
        <v>1901</v>
      </c>
      <c r="H549" s="154">
        <f>SUMPRODUCT($A$533:$A$546,H533:H546)</f>
        <v>2355</v>
      </c>
    </row>
    <row r="550" spans="1:8" ht="16.5" hidden="1" customHeight="1" x14ac:dyDescent="0.3"/>
    <row r="551" spans="1:8" ht="16.5" hidden="1" customHeight="1" x14ac:dyDescent="0.3"/>
    <row r="552" spans="1:8" ht="16.5" hidden="1" customHeight="1" x14ac:dyDescent="0.3"/>
    <row r="553" spans="1:8" ht="16.5" hidden="1" customHeight="1" x14ac:dyDescent="0.3"/>
    <row r="554" spans="1:8" ht="16.5" hidden="1" customHeight="1" x14ac:dyDescent="0.3"/>
    <row r="555" spans="1:8" ht="16.5" hidden="1" customHeight="1" x14ac:dyDescent="0.3"/>
    <row r="556" spans="1:8" ht="16.5" hidden="1" customHeight="1" x14ac:dyDescent="0.3"/>
    <row r="557" spans="1:8" ht="16.5" hidden="1" customHeight="1" x14ac:dyDescent="0.3"/>
    <row r="558" spans="1:8" ht="16.5" hidden="1" customHeight="1" x14ac:dyDescent="0.3"/>
    <row r="559" spans="1:8" ht="16.5" hidden="1" customHeight="1" x14ac:dyDescent="0.3"/>
    <row r="560" spans="1:8" ht="16.5" hidden="1" customHeight="1" x14ac:dyDescent="0.3"/>
    <row r="561" spans="3:8" ht="16.5" hidden="1" customHeight="1" x14ac:dyDescent="0.3"/>
    <row r="562" spans="3:8" ht="16.5" hidden="1" customHeight="1" x14ac:dyDescent="0.3">
      <c r="C562" s="162"/>
      <c r="D562" s="163">
        <v>1</v>
      </c>
      <c r="E562" s="163">
        <v>5</v>
      </c>
      <c r="F562" s="163">
        <v>10</v>
      </c>
      <c r="G562" s="163">
        <v>25</v>
      </c>
      <c r="H562" s="164">
        <v>50</v>
      </c>
    </row>
    <row r="563" spans="3:8" ht="16.5" hidden="1" customHeight="1" x14ac:dyDescent="0.3">
      <c r="C563" s="165"/>
      <c r="D563" s="166">
        <v>12</v>
      </c>
      <c r="E563" s="166">
        <v>58</v>
      </c>
      <c r="F563" s="166">
        <v>114</v>
      </c>
      <c r="G563" s="166">
        <v>279</v>
      </c>
      <c r="H563" s="167">
        <v>540</v>
      </c>
    </row>
    <row r="564" spans="3:8" ht="16.5" hidden="1" customHeight="1" x14ac:dyDescent="0.3">
      <c r="C564" s="165">
        <v>0</v>
      </c>
      <c r="D564" s="166">
        <v>0</v>
      </c>
      <c r="E564" s="166">
        <v>0</v>
      </c>
      <c r="F564" s="166">
        <v>0</v>
      </c>
      <c r="G564" s="166">
        <v>0</v>
      </c>
      <c r="H564" s="167">
        <v>0</v>
      </c>
    </row>
    <row r="565" spans="3:8" ht="16.5" hidden="1" customHeight="1" x14ac:dyDescent="0.3">
      <c r="C565" s="165">
        <v>1</v>
      </c>
      <c r="D565" s="166">
        <v>1</v>
      </c>
      <c r="E565" s="166">
        <v>0</v>
      </c>
      <c r="F565" s="166">
        <v>0</v>
      </c>
      <c r="G565" s="166">
        <v>0</v>
      </c>
      <c r="H565" s="167">
        <v>0</v>
      </c>
    </row>
    <row r="566" spans="3:8" ht="16.5" hidden="1" customHeight="1" x14ac:dyDescent="0.3">
      <c r="C566" s="165">
        <v>2</v>
      </c>
      <c r="D566" s="166">
        <v>2</v>
      </c>
      <c r="E566" s="166">
        <v>0</v>
      </c>
      <c r="F566" s="166">
        <v>0</v>
      </c>
      <c r="G566" s="166">
        <v>0</v>
      </c>
      <c r="H566" s="167">
        <v>0</v>
      </c>
    </row>
    <row r="567" spans="3:8" ht="16.5" hidden="1" customHeight="1" x14ac:dyDescent="0.3">
      <c r="C567" s="165">
        <v>3</v>
      </c>
      <c r="D567" s="166">
        <v>3</v>
      </c>
      <c r="E567" s="166">
        <v>0</v>
      </c>
      <c r="F567" s="166">
        <v>0</v>
      </c>
      <c r="G567" s="166">
        <v>0</v>
      </c>
      <c r="H567" s="167">
        <v>0</v>
      </c>
    </row>
    <row r="568" spans="3:8" ht="16.5" hidden="1" customHeight="1" x14ac:dyDescent="0.3">
      <c r="C568" s="165">
        <v>4</v>
      </c>
      <c r="D568" s="166">
        <v>4</v>
      </c>
      <c r="E568" s="166">
        <v>0</v>
      </c>
      <c r="F568" s="166">
        <v>0</v>
      </c>
      <c r="G568" s="166">
        <v>0</v>
      </c>
      <c r="H568" s="167">
        <v>0</v>
      </c>
    </row>
    <row r="569" spans="3:8" ht="16.5" hidden="1" customHeight="1" x14ac:dyDescent="0.3">
      <c r="C569" s="165">
        <v>5</v>
      </c>
      <c r="D569" s="166">
        <v>0</v>
      </c>
      <c r="E569" s="166">
        <v>1</v>
      </c>
      <c r="F569" s="166">
        <v>0</v>
      </c>
      <c r="G569" s="166">
        <v>0</v>
      </c>
      <c r="H569" s="167">
        <v>0</v>
      </c>
    </row>
    <row r="570" spans="3:8" ht="16.5" hidden="1" customHeight="1" x14ac:dyDescent="0.3">
      <c r="C570" s="165">
        <v>6</v>
      </c>
      <c r="D570" s="166">
        <v>1</v>
      </c>
      <c r="E570" s="166">
        <v>1</v>
      </c>
      <c r="F570" s="166">
        <v>0</v>
      </c>
      <c r="G570" s="166">
        <v>0</v>
      </c>
      <c r="H570" s="167">
        <v>0</v>
      </c>
    </row>
    <row r="571" spans="3:8" ht="16.5" hidden="1" customHeight="1" x14ac:dyDescent="0.3">
      <c r="C571" s="165">
        <v>7</v>
      </c>
      <c r="D571" s="166">
        <v>2</v>
      </c>
      <c r="E571" s="166">
        <v>1</v>
      </c>
      <c r="F571" s="166">
        <v>0</v>
      </c>
      <c r="G571" s="166">
        <v>0</v>
      </c>
      <c r="H571" s="167">
        <v>0</v>
      </c>
    </row>
    <row r="572" spans="3:8" ht="16.5" hidden="1" customHeight="1" x14ac:dyDescent="0.3">
      <c r="C572" s="165">
        <v>8</v>
      </c>
      <c r="D572" s="166">
        <v>3</v>
      </c>
      <c r="E572" s="166">
        <v>1</v>
      </c>
      <c r="F572" s="166">
        <v>0</v>
      </c>
      <c r="G572" s="166">
        <v>0</v>
      </c>
      <c r="H572" s="167">
        <v>0</v>
      </c>
    </row>
    <row r="573" spans="3:8" ht="16.5" hidden="1" customHeight="1" x14ac:dyDescent="0.3">
      <c r="C573" s="165">
        <v>9</v>
      </c>
      <c r="D573" s="166">
        <v>4</v>
      </c>
      <c r="E573" s="166">
        <v>1</v>
      </c>
      <c r="F573" s="166">
        <v>0</v>
      </c>
      <c r="G573" s="166">
        <v>0</v>
      </c>
      <c r="H573" s="167">
        <v>0</v>
      </c>
    </row>
    <row r="574" spans="3:8" ht="16.5" hidden="1" customHeight="1" x14ac:dyDescent="0.3">
      <c r="C574" s="165">
        <v>10</v>
      </c>
      <c r="D574" s="166">
        <v>0</v>
      </c>
      <c r="E574" s="166">
        <v>0</v>
      </c>
      <c r="F574" s="166">
        <v>1</v>
      </c>
      <c r="G574" s="166">
        <v>0</v>
      </c>
      <c r="H574" s="167">
        <v>0</v>
      </c>
    </row>
    <row r="575" spans="3:8" ht="16.5" hidden="1" customHeight="1" x14ac:dyDescent="0.3">
      <c r="C575" s="165">
        <v>11</v>
      </c>
      <c r="D575" s="166">
        <v>1</v>
      </c>
      <c r="E575" s="166">
        <v>0</v>
      </c>
      <c r="F575" s="166">
        <v>1</v>
      </c>
      <c r="G575" s="166">
        <v>0</v>
      </c>
      <c r="H575" s="167">
        <v>0</v>
      </c>
    </row>
    <row r="576" spans="3:8" ht="16.5" hidden="1" customHeight="1" x14ac:dyDescent="0.3">
      <c r="C576" s="165">
        <v>12</v>
      </c>
      <c r="D576" s="166">
        <v>2</v>
      </c>
      <c r="E576" s="166">
        <v>0</v>
      </c>
      <c r="F576" s="166">
        <v>1</v>
      </c>
      <c r="G576" s="166">
        <v>0</v>
      </c>
      <c r="H576" s="167">
        <v>0</v>
      </c>
    </row>
    <row r="577" spans="3:8" ht="16.5" hidden="1" customHeight="1" x14ac:dyDescent="0.3">
      <c r="C577" s="165">
        <v>13</v>
      </c>
      <c r="D577" s="166">
        <v>3</v>
      </c>
      <c r="E577" s="166">
        <v>0</v>
      </c>
      <c r="F577" s="166">
        <v>1</v>
      </c>
      <c r="G577" s="166">
        <v>0</v>
      </c>
      <c r="H577" s="167">
        <v>0</v>
      </c>
    </row>
    <row r="578" spans="3:8" ht="16.5" hidden="1" customHeight="1" x14ac:dyDescent="0.3">
      <c r="C578" s="165">
        <v>14</v>
      </c>
      <c r="D578" s="166">
        <v>4</v>
      </c>
      <c r="E578" s="166">
        <v>0</v>
      </c>
      <c r="F578" s="166">
        <v>1</v>
      </c>
      <c r="G578" s="166">
        <v>0</v>
      </c>
      <c r="H578" s="167">
        <v>0</v>
      </c>
    </row>
    <row r="579" spans="3:8" ht="16.5" hidden="1" customHeight="1" x14ac:dyDescent="0.3">
      <c r="C579" s="165">
        <v>15</v>
      </c>
      <c r="D579" s="166">
        <v>0</v>
      </c>
      <c r="E579" s="166">
        <v>1</v>
      </c>
      <c r="F579" s="166">
        <v>1</v>
      </c>
      <c r="G579" s="166">
        <v>0</v>
      </c>
      <c r="H579" s="167">
        <v>0</v>
      </c>
    </row>
    <row r="580" spans="3:8" ht="16.5" hidden="1" customHeight="1" x14ac:dyDescent="0.3">
      <c r="C580" s="165">
        <v>16</v>
      </c>
      <c r="D580" s="166">
        <v>1</v>
      </c>
      <c r="E580" s="166">
        <v>1</v>
      </c>
      <c r="F580" s="166">
        <v>1</v>
      </c>
      <c r="G580" s="166">
        <v>0</v>
      </c>
      <c r="H580" s="167">
        <v>0</v>
      </c>
    </row>
    <row r="581" spans="3:8" ht="16.5" hidden="1" customHeight="1" x14ac:dyDescent="0.3">
      <c r="C581" s="165">
        <v>17</v>
      </c>
      <c r="D581" s="166">
        <v>2</v>
      </c>
      <c r="E581" s="166">
        <v>1</v>
      </c>
      <c r="F581" s="166">
        <v>1</v>
      </c>
      <c r="G581" s="166">
        <v>0</v>
      </c>
      <c r="H581" s="167">
        <v>0</v>
      </c>
    </row>
    <row r="582" spans="3:8" ht="16.5" hidden="1" customHeight="1" x14ac:dyDescent="0.3">
      <c r="C582" s="165">
        <v>18</v>
      </c>
      <c r="D582" s="166">
        <v>3</v>
      </c>
      <c r="E582" s="166">
        <v>1</v>
      </c>
      <c r="F582" s="166">
        <v>1</v>
      </c>
      <c r="G582" s="166">
        <v>0</v>
      </c>
      <c r="H582" s="167">
        <v>0</v>
      </c>
    </row>
    <row r="583" spans="3:8" ht="16.5" hidden="1" customHeight="1" x14ac:dyDescent="0.3">
      <c r="C583" s="165">
        <v>19</v>
      </c>
      <c r="D583" s="166">
        <v>4</v>
      </c>
      <c r="E583" s="166">
        <v>1</v>
      </c>
      <c r="F583" s="166">
        <v>1</v>
      </c>
      <c r="G583" s="166">
        <v>0</v>
      </c>
      <c r="H583" s="167">
        <v>0</v>
      </c>
    </row>
    <row r="584" spans="3:8" ht="16.5" hidden="1" customHeight="1" x14ac:dyDescent="0.3">
      <c r="C584" s="165">
        <v>20</v>
      </c>
      <c r="D584" s="166">
        <v>0</v>
      </c>
      <c r="E584" s="166">
        <v>0</v>
      </c>
      <c r="F584" s="166">
        <v>2</v>
      </c>
      <c r="G584" s="166">
        <v>0</v>
      </c>
      <c r="H584" s="167">
        <v>0</v>
      </c>
    </row>
    <row r="585" spans="3:8" ht="16.5" hidden="1" customHeight="1" x14ac:dyDescent="0.3">
      <c r="C585" s="165">
        <v>21</v>
      </c>
      <c r="D585" s="166">
        <v>1</v>
      </c>
      <c r="E585" s="166">
        <v>0</v>
      </c>
      <c r="F585" s="166">
        <v>2</v>
      </c>
      <c r="G585" s="166">
        <v>0</v>
      </c>
      <c r="H585" s="167">
        <v>0</v>
      </c>
    </row>
    <row r="586" spans="3:8" ht="16.5" hidden="1" customHeight="1" x14ac:dyDescent="0.3">
      <c r="C586" s="165">
        <v>22</v>
      </c>
      <c r="D586" s="166">
        <v>2</v>
      </c>
      <c r="E586" s="166">
        <v>0</v>
      </c>
      <c r="F586" s="166">
        <v>2</v>
      </c>
      <c r="G586" s="166">
        <v>0</v>
      </c>
      <c r="H586" s="167">
        <v>0</v>
      </c>
    </row>
    <row r="587" spans="3:8" ht="16.5" hidden="1" customHeight="1" x14ac:dyDescent="0.3">
      <c r="C587" s="165">
        <v>23</v>
      </c>
      <c r="D587" s="166">
        <v>3</v>
      </c>
      <c r="E587" s="166">
        <v>0</v>
      </c>
      <c r="F587" s="166">
        <v>2</v>
      </c>
      <c r="G587" s="166">
        <v>0</v>
      </c>
      <c r="H587" s="167">
        <v>0</v>
      </c>
    </row>
    <row r="588" spans="3:8" ht="16.5" hidden="1" customHeight="1" x14ac:dyDescent="0.3">
      <c r="C588" s="165">
        <v>24</v>
      </c>
      <c r="D588" s="166">
        <v>4</v>
      </c>
      <c r="E588" s="166">
        <v>0</v>
      </c>
      <c r="F588" s="166">
        <v>2</v>
      </c>
      <c r="G588" s="166">
        <v>0</v>
      </c>
      <c r="H588" s="167">
        <v>0</v>
      </c>
    </row>
    <row r="589" spans="3:8" ht="16.5" hidden="1" customHeight="1" x14ac:dyDescent="0.3">
      <c r="C589" s="165">
        <v>25</v>
      </c>
      <c r="D589" s="166">
        <v>0</v>
      </c>
      <c r="E589" s="166">
        <v>0</v>
      </c>
      <c r="F589" s="166">
        <v>0</v>
      </c>
      <c r="G589" s="166">
        <v>1</v>
      </c>
      <c r="H589" s="167">
        <v>0</v>
      </c>
    </row>
    <row r="590" spans="3:8" ht="16.5" hidden="1" customHeight="1" x14ac:dyDescent="0.3">
      <c r="C590" s="165">
        <v>26</v>
      </c>
      <c r="D590" s="166">
        <v>1</v>
      </c>
      <c r="E590" s="166">
        <v>0</v>
      </c>
      <c r="F590" s="166">
        <v>0</v>
      </c>
      <c r="G590" s="166">
        <v>1</v>
      </c>
      <c r="H590" s="167">
        <v>0</v>
      </c>
    </row>
    <row r="591" spans="3:8" ht="16.5" hidden="1" customHeight="1" x14ac:dyDescent="0.3">
      <c r="C591" s="165">
        <v>27</v>
      </c>
      <c r="D591" s="166">
        <v>2</v>
      </c>
      <c r="E591" s="166">
        <v>0</v>
      </c>
      <c r="F591" s="166">
        <v>0</v>
      </c>
      <c r="G591" s="166">
        <v>1</v>
      </c>
      <c r="H591" s="167">
        <v>0</v>
      </c>
    </row>
    <row r="592" spans="3:8" ht="16.5" hidden="1" customHeight="1" x14ac:dyDescent="0.3">
      <c r="C592" s="165">
        <v>28</v>
      </c>
      <c r="D592" s="166">
        <v>3</v>
      </c>
      <c r="E592" s="166">
        <v>0</v>
      </c>
      <c r="F592" s="166">
        <v>0</v>
      </c>
      <c r="G592" s="166">
        <v>1</v>
      </c>
      <c r="H592" s="167">
        <v>0</v>
      </c>
    </row>
    <row r="593" spans="3:8" ht="16.5" hidden="1" customHeight="1" x14ac:dyDescent="0.3">
      <c r="C593" s="165">
        <v>29</v>
      </c>
      <c r="D593" s="166">
        <v>4</v>
      </c>
      <c r="E593" s="166">
        <v>0</v>
      </c>
      <c r="F593" s="166">
        <v>0</v>
      </c>
      <c r="G593" s="166">
        <v>1</v>
      </c>
      <c r="H593" s="167">
        <v>0</v>
      </c>
    </row>
    <row r="594" spans="3:8" ht="16.5" hidden="1" customHeight="1" x14ac:dyDescent="0.3">
      <c r="C594" s="165">
        <v>30</v>
      </c>
      <c r="D594" s="166">
        <v>0</v>
      </c>
      <c r="E594" s="166">
        <v>1</v>
      </c>
      <c r="F594" s="166">
        <v>0</v>
      </c>
      <c r="G594" s="166">
        <v>1</v>
      </c>
      <c r="H594" s="167">
        <v>0</v>
      </c>
    </row>
    <row r="595" spans="3:8" ht="16.5" hidden="1" customHeight="1" x14ac:dyDescent="0.3">
      <c r="C595" s="165">
        <v>31</v>
      </c>
      <c r="D595" s="166">
        <v>1</v>
      </c>
      <c r="E595" s="166">
        <v>1</v>
      </c>
      <c r="F595" s="166">
        <v>0</v>
      </c>
      <c r="G595" s="166">
        <v>1</v>
      </c>
      <c r="H595" s="167">
        <v>0</v>
      </c>
    </row>
    <row r="596" spans="3:8" ht="16.5" hidden="1" customHeight="1" x14ac:dyDescent="0.3">
      <c r="C596" s="165">
        <v>32</v>
      </c>
      <c r="D596" s="166">
        <v>2</v>
      </c>
      <c r="E596" s="166">
        <v>1</v>
      </c>
      <c r="F596" s="166">
        <v>0</v>
      </c>
      <c r="G596" s="166">
        <v>1</v>
      </c>
      <c r="H596" s="167">
        <v>0</v>
      </c>
    </row>
    <row r="597" spans="3:8" ht="16.5" hidden="1" customHeight="1" x14ac:dyDescent="0.3">
      <c r="C597" s="165">
        <v>33</v>
      </c>
      <c r="D597" s="166">
        <v>3</v>
      </c>
      <c r="E597" s="166">
        <v>1</v>
      </c>
      <c r="F597" s="166">
        <v>0</v>
      </c>
      <c r="G597" s="166">
        <v>1</v>
      </c>
      <c r="H597" s="167"/>
    </row>
    <row r="598" spans="3:8" ht="16.5" hidden="1" customHeight="1" x14ac:dyDescent="0.3">
      <c r="C598" s="165">
        <v>34</v>
      </c>
      <c r="D598" s="166">
        <v>4</v>
      </c>
      <c r="E598" s="166">
        <v>1</v>
      </c>
      <c r="F598" s="166">
        <v>0</v>
      </c>
      <c r="G598" s="166">
        <v>1</v>
      </c>
      <c r="H598" s="167"/>
    </row>
    <row r="599" spans="3:8" ht="16.5" hidden="1" customHeight="1" x14ac:dyDescent="0.3">
      <c r="C599" s="165">
        <v>35</v>
      </c>
      <c r="D599" s="166">
        <v>0</v>
      </c>
      <c r="E599" s="166">
        <v>0</v>
      </c>
      <c r="F599" s="166">
        <v>1</v>
      </c>
      <c r="G599" s="166">
        <v>1</v>
      </c>
      <c r="H599" s="167"/>
    </row>
    <row r="600" spans="3:8" ht="16.5" hidden="1" customHeight="1" x14ac:dyDescent="0.3">
      <c r="C600" s="165">
        <v>36</v>
      </c>
      <c r="D600" s="166">
        <v>1</v>
      </c>
      <c r="E600" s="166">
        <v>0</v>
      </c>
      <c r="F600" s="166">
        <v>1</v>
      </c>
      <c r="G600" s="166">
        <v>1</v>
      </c>
      <c r="H600" s="167"/>
    </row>
    <row r="601" spans="3:8" ht="16.5" hidden="1" customHeight="1" x14ac:dyDescent="0.3">
      <c r="C601" s="165">
        <v>37</v>
      </c>
      <c r="D601" s="166">
        <v>2</v>
      </c>
      <c r="E601" s="166">
        <v>0</v>
      </c>
      <c r="F601" s="166">
        <v>1</v>
      </c>
      <c r="G601" s="166">
        <v>1</v>
      </c>
      <c r="H601" s="167"/>
    </row>
    <row r="602" spans="3:8" ht="16.5" hidden="1" customHeight="1" x14ac:dyDescent="0.3">
      <c r="C602" s="165">
        <v>38</v>
      </c>
      <c r="D602" s="166">
        <v>3</v>
      </c>
      <c r="E602" s="166">
        <v>0</v>
      </c>
      <c r="F602" s="166">
        <v>1</v>
      </c>
      <c r="G602" s="166">
        <v>1</v>
      </c>
      <c r="H602" s="167"/>
    </row>
    <row r="603" spans="3:8" ht="16.5" hidden="1" customHeight="1" x14ac:dyDescent="0.3">
      <c r="C603" s="165">
        <v>39</v>
      </c>
      <c r="D603" s="166">
        <v>4</v>
      </c>
      <c r="E603" s="166">
        <v>0</v>
      </c>
      <c r="F603" s="166">
        <v>1</v>
      </c>
      <c r="G603" s="166">
        <v>1</v>
      </c>
      <c r="H603" s="167"/>
    </row>
    <row r="604" spans="3:8" ht="16.5" hidden="1" customHeight="1" x14ac:dyDescent="0.3">
      <c r="C604" s="165">
        <v>40</v>
      </c>
      <c r="D604" s="166">
        <v>0</v>
      </c>
      <c r="E604" s="166">
        <v>1</v>
      </c>
      <c r="F604" s="166">
        <v>1</v>
      </c>
      <c r="G604" s="166">
        <v>1</v>
      </c>
      <c r="H604" s="167"/>
    </row>
    <row r="605" spans="3:8" ht="16.5" hidden="1" customHeight="1" x14ac:dyDescent="0.3">
      <c r="C605" s="165">
        <v>41</v>
      </c>
      <c r="D605" s="166">
        <v>1</v>
      </c>
      <c r="E605" s="166">
        <v>1</v>
      </c>
      <c r="F605" s="166">
        <v>1</v>
      </c>
      <c r="G605" s="166">
        <v>1</v>
      </c>
      <c r="H605" s="167"/>
    </row>
    <row r="606" spans="3:8" ht="16.5" hidden="1" customHeight="1" x14ac:dyDescent="0.3">
      <c r="C606" s="165">
        <v>42</v>
      </c>
      <c r="D606" s="166">
        <v>2</v>
      </c>
      <c r="E606" s="166">
        <v>1</v>
      </c>
      <c r="F606" s="166">
        <v>1</v>
      </c>
      <c r="G606" s="166">
        <v>1</v>
      </c>
      <c r="H606" s="167"/>
    </row>
    <row r="607" spans="3:8" ht="16.5" hidden="1" customHeight="1" x14ac:dyDescent="0.3">
      <c r="C607" s="165">
        <v>43</v>
      </c>
      <c r="D607" s="166">
        <v>3</v>
      </c>
      <c r="E607" s="166">
        <v>1</v>
      </c>
      <c r="F607" s="166">
        <v>1</v>
      </c>
      <c r="G607" s="166">
        <v>1</v>
      </c>
      <c r="H607" s="167"/>
    </row>
    <row r="608" spans="3:8" ht="16.5" hidden="1" customHeight="1" x14ac:dyDescent="0.3">
      <c r="C608" s="165">
        <v>44</v>
      </c>
      <c r="D608" s="166">
        <v>4</v>
      </c>
      <c r="E608" s="166">
        <v>1</v>
      </c>
      <c r="F608" s="166">
        <v>1</v>
      </c>
      <c r="G608" s="166">
        <v>1</v>
      </c>
      <c r="H608" s="167"/>
    </row>
    <row r="609" spans="3:8" ht="16.5" hidden="1" customHeight="1" x14ac:dyDescent="0.3">
      <c r="C609" s="165">
        <v>45</v>
      </c>
      <c r="D609" s="166">
        <v>0</v>
      </c>
      <c r="E609" s="166">
        <v>0</v>
      </c>
      <c r="F609" s="166">
        <v>2</v>
      </c>
      <c r="G609" s="166">
        <v>1</v>
      </c>
      <c r="H609" s="167"/>
    </row>
    <row r="610" spans="3:8" ht="16.5" hidden="1" customHeight="1" x14ac:dyDescent="0.3">
      <c r="C610" s="165">
        <v>46</v>
      </c>
      <c r="D610" s="166">
        <v>1</v>
      </c>
      <c r="E610" s="166">
        <v>0</v>
      </c>
      <c r="F610" s="166">
        <v>2</v>
      </c>
      <c r="G610" s="166">
        <v>1</v>
      </c>
      <c r="H610" s="167"/>
    </row>
    <row r="611" spans="3:8" ht="16.5" hidden="1" customHeight="1" x14ac:dyDescent="0.3">
      <c r="C611" s="165">
        <v>47</v>
      </c>
      <c r="D611" s="166">
        <v>2</v>
      </c>
      <c r="E611" s="166">
        <v>0</v>
      </c>
      <c r="F611" s="166">
        <v>2</v>
      </c>
      <c r="G611" s="166">
        <v>1</v>
      </c>
      <c r="H611" s="167"/>
    </row>
    <row r="612" spans="3:8" ht="16.5" hidden="1" customHeight="1" x14ac:dyDescent="0.3">
      <c r="C612" s="165">
        <v>48</v>
      </c>
      <c r="D612" s="166">
        <v>0</v>
      </c>
      <c r="E612" s="166">
        <v>0</v>
      </c>
      <c r="F612" s="166">
        <v>0</v>
      </c>
      <c r="G612" s="166">
        <v>0</v>
      </c>
      <c r="H612" s="167">
        <v>1</v>
      </c>
    </row>
    <row r="613" spans="3:8" ht="16.5" hidden="1" customHeight="1" x14ac:dyDescent="0.3">
      <c r="C613" s="165">
        <v>49</v>
      </c>
      <c r="D613" s="166">
        <v>0</v>
      </c>
      <c r="E613" s="166">
        <v>0</v>
      </c>
      <c r="F613" s="166">
        <v>0</v>
      </c>
      <c r="G613" s="166">
        <v>0</v>
      </c>
      <c r="H613" s="167">
        <v>1</v>
      </c>
    </row>
    <row r="614" spans="3:8" ht="16.5" hidden="1" customHeight="1" x14ac:dyDescent="0.3">
      <c r="C614" s="165">
        <v>50</v>
      </c>
      <c r="D614" s="166">
        <v>0</v>
      </c>
      <c r="E614" s="166">
        <v>0</v>
      </c>
      <c r="F614" s="166">
        <v>0</v>
      </c>
      <c r="G614" s="166">
        <v>0</v>
      </c>
      <c r="H614" s="167">
        <v>1</v>
      </c>
    </row>
    <row r="615" spans="3:8" ht="16.5" hidden="1" customHeight="1" x14ac:dyDescent="0.3">
      <c r="C615" s="165">
        <v>51</v>
      </c>
      <c r="D615" s="166">
        <v>1</v>
      </c>
      <c r="E615" s="166">
        <v>0</v>
      </c>
      <c r="F615" s="166">
        <v>0</v>
      </c>
      <c r="G615" s="166">
        <v>0</v>
      </c>
      <c r="H615" s="167">
        <v>1</v>
      </c>
    </row>
    <row r="616" spans="3:8" ht="16.5" hidden="1" customHeight="1" x14ac:dyDescent="0.3">
      <c r="C616" s="165">
        <v>52</v>
      </c>
      <c r="D616" s="166">
        <v>2</v>
      </c>
      <c r="E616" s="166">
        <v>0</v>
      </c>
      <c r="F616" s="166">
        <v>0</v>
      </c>
      <c r="G616" s="166">
        <v>0</v>
      </c>
      <c r="H616" s="167">
        <v>1</v>
      </c>
    </row>
    <row r="617" spans="3:8" ht="16.5" hidden="1" customHeight="1" x14ac:dyDescent="0.3">
      <c r="C617" s="165">
        <v>53</v>
      </c>
      <c r="D617" s="166">
        <v>3</v>
      </c>
      <c r="E617" s="166">
        <v>0</v>
      </c>
      <c r="F617" s="166">
        <v>0</v>
      </c>
      <c r="G617" s="166">
        <v>0</v>
      </c>
      <c r="H617" s="167">
        <v>1</v>
      </c>
    </row>
    <row r="618" spans="3:8" ht="16.5" hidden="1" customHeight="1" x14ac:dyDescent="0.3">
      <c r="C618" s="165">
        <v>54</v>
      </c>
      <c r="D618" s="166">
        <v>4</v>
      </c>
      <c r="E618" s="166">
        <v>0</v>
      </c>
      <c r="F618" s="166">
        <v>0</v>
      </c>
      <c r="G618" s="166">
        <v>0</v>
      </c>
      <c r="H618" s="167">
        <v>1</v>
      </c>
    </row>
    <row r="619" spans="3:8" ht="16.5" hidden="1" customHeight="1" x14ac:dyDescent="0.3">
      <c r="C619" s="165">
        <v>55</v>
      </c>
      <c r="D619" s="166">
        <v>0</v>
      </c>
      <c r="E619" s="166">
        <v>1</v>
      </c>
      <c r="F619" s="166">
        <v>0</v>
      </c>
      <c r="G619" s="166">
        <v>0</v>
      </c>
      <c r="H619" s="167">
        <v>1</v>
      </c>
    </row>
    <row r="620" spans="3:8" ht="16.5" hidden="1" customHeight="1" x14ac:dyDescent="0.3">
      <c r="C620" s="165">
        <v>56</v>
      </c>
      <c r="D620" s="166">
        <v>1</v>
      </c>
      <c r="E620" s="166">
        <v>1</v>
      </c>
      <c r="F620" s="166">
        <v>0</v>
      </c>
      <c r="G620" s="166">
        <v>0</v>
      </c>
      <c r="H620" s="167">
        <v>1</v>
      </c>
    </row>
    <row r="621" spans="3:8" ht="16.5" hidden="1" customHeight="1" x14ac:dyDescent="0.3">
      <c r="C621" s="165">
        <v>57</v>
      </c>
      <c r="D621" s="166">
        <v>2</v>
      </c>
      <c r="E621" s="166">
        <v>1</v>
      </c>
      <c r="F621" s="166">
        <v>0</v>
      </c>
      <c r="G621" s="166">
        <v>0</v>
      </c>
      <c r="H621" s="167">
        <v>1</v>
      </c>
    </row>
    <row r="622" spans="3:8" ht="16.5" hidden="1" customHeight="1" x14ac:dyDescent="0.3">
      <c r="C622" s="165">
        <v>58</v>
      </c>
      <c r="D622" s="166">
        <v>3</v>
      </c>
      <c r="E622" s="166">
        <v>1</v>
      </c>
      <c r="F622" s="166">
        <v>0</v>
      </c>
      <c r="G622" s="166">
        <v>0</v>
      </c>
      <c r="H622" s="167">
        <v>1</v>
      </c>
    </row>
    <row r="623" spans="3:8" ht="16.5" hidden="1" customHeight="1" x14ac:dyDescent="0.3">
      <c r="C623" s="165">
        <v>59</v>
      </c>
      <c r="D623" s="166">
        <v>4</v>
      </c>
      <c r="E623" s="166">
        <v>1</v>
      </c>
      <c r="F623" s="166">
        <v>0</v>
      </c>
      <c r="G623" s="166">
        <v>0</v>
      </c>
      <c r="H623" s="167">
        <v>1</v>
      </c>
    </row>
    <row r="624" spans="3:8" ht="16.5" hidden="1" customHeight="1" x14ac:dyDescent="0.3">
      <c r="C624" s="165">
        <v>60</v>
      </c>
      <c r="D624" s="166"/>
      <c r="E624" s="166"/>
      <c r="F624" s="166">
        <v>1</v>
      </c>
      <c r="G624" s="166">
        <v>0</v>
      </c>
      <c r="H624" s="167">
        <v>1</v>
      </c>
    </row>
    <row r="625" spans="3:8" ht="16.5" hidden="1" customHeight="1" x14ac:dyDescent="0.3">
      <c r="C625" s="165">
        <v>61</v>
      </c>
      <c r="D625" s="166">
        <v>1</v>
      </c>
      <c r="E625" s="166">
        <v>0</v>
      </c>
      <c r="F625" s="166">
        <v>1</v>
      </c>
      <c r="G625" s="166">
        <v>0</v>
      </c>
      <c r="H625" s="167">
        <v>1</v>
      </c>
    </row>
    <row r="626" spans="3:8" ht="16.5" hidden="1" customHeight="1" x14ac:dyDescent="0.3">
      <c r="C626" s="165">
        <v>62</v>
      </c>
      <c r="D626" s="166">
        <v>2</v>
      </c>
      <c r="E626" s="166">
        <v>0</v>
      </c>
      <c r="F626" s="166">
        <v>1</v>
      </c>
      <c r="G626" s="166">
        <v>0</v>
      </c>
      <c r="H626" s="167">
        <v>1</v>
      </c>
    </row>
    <row r="627" spans="3:8" ht="16.5" hidden="1" customHeight="1" x14ac:dyDescent="0.3">
      <c r="C627" s="165">
        <v>63</v>
      </c>
      <c r="D627" s="166">
        <v>3</v>
      </c>
      <c r="E627" s="166">
        <v>0</v>
      </c>
      <c r="F627" s="166">
        <v>1</v>
      </c>
      <c r="G627" s="166">
        <v>0</v>
      </c>
      <c r="H627" s="167">
        <v>1</v>
      </c>
    </row>
    <row r="628" spans="3:8" ht="16.5" hidden="1" customHeight="1" x14ac:dyDescent="0.3">
      <c r="C628" s="165">
        <v>64</v>
      </c>
      <c r="D628" s="166">
        <v>4</v>
      </c>
      <c r="E628" s="166">
        <v>0</v>
      </c>
      <c r="F628" s="166">
        <v>1</v>
      </c>
      <c r="G628" s="166">
        <v>0</v>
      </c>
      <c r="H628" s="167">
        <v>1</v>
      </c>
    </row>
    <row r="629" spans="3:8" ht="16.5" hidden="1" customHeight="1" x14ac:dyDescent="0.3">
      <c r="C629" s="165">
        <v>65</v>
      </c>
      <c r="D629" s="166">
        <v>0</v>
      </c>
      <c r="E629" s="166">
        <v>1</v>
      </c>
      <c r="F629" s="166">
        <v>1</v>
      </c>
      <c r="G629" s="166">
        <v>0</v>
      </c>
      <c r="H629" s="167">
        <v>1</v>
      </c>
    </row>
    <row r="630" spans="3:8" ht="16.5" hidden="1" customHeight="1" x14ac:dyDescent="0.3">
      <c r="C630" s="165">
        <v>66</v>
      </c>
      <c r="D630" s="166">
        <v>1</v>
      </c>
      <c r="E630" s="166">
        <v>1</v>
      </c>
      <c r="F630" s="166">
        <v>1</v>
      </c>
      <c r="G630" s="166">
        <v>0</v>
      </c>
      <c r="H630" s="167">
        <v>1</v>
      </c>
    </row>
    <row r="631" spans="3:8" ht="16.5" hidden="1" customHeight="1" x14ac:dyDescent="0.3">
      <c r="C631" s="165">
        <v>67</v>
      </c>
      <c r="D631" s="166">
        <v>2</v>
      </c>
      <c r="E631" s="166">
        <v>1</v>
      </c>
      <c r="F631" s="166">
        <v>1</v>
      </c>
      <c r="G631" s="166">
        <v>0</v>
      </c>
      <c r="H631" s="167">
        <v>1</v>
      </c>
    </row>
    <row r="632" spans="3:8" ht="16.5" hidden="1" customHeight="1" x14ac:dyDescent="0.3">
      <c r="C632" s="165">
        <v>68</v>
      </c>
      <c r="D632" s="166">
        <v>3</v>
      </c>
      <c r="E632" s="166">
        <v>1</v>
      </c>
      <c r="F632" s="166">
        <v>1</v>
      </c>
      <c r="G632" s="166">
        <v>0</v>
      </c>
      <c r="H632" s="167">
        <v>1</v>
      </c>
    </row>
    <row r="633" spans="3:8" ht="16.5" hidden="1" customHeight="1" x14ac:dyDescent="0.3">
      <c r="C633" s="165">
        <v>69</v>
      </c>
      <c r="D633" s="166">
        <v>4</v>
      </c>
      <c r="E633" s="166">
        <v>1</v>
      </c>
      <c r="F633" s="166">
        <v>1</v>
      </c>
      <c r="G633" s="166">
        <v>0</v>
      </c>
      <c r="H633" s="167">
        <v>1</v>
      </c>
    </row>
    <row r="634" spans="3:8" ht="16.5" hidden="1" customHeight="1" x14ac:dyDescent="0.3">
      <c r="C634" s="165">
        <v>70</v>
      </c>
      <c r="D634" s="166">
        <v>0</v>
      </c>
      <c r="E634" s="166">
        <v>0</v>
      </c>
      <c r="F634" s="166">
        <v>2</v>
      </c>
      <c r="G634" s="166">
        <v>0</v>
      </c>
      <c r="H634" s="167">
        <v>1</v>
      </c>
    </row>
    <row r="635" spans="3:8" ht="16.5" hidden="1" customHeight="1" x14ac:dyDescent="0.3">
      <c r="C635" s="165">
        <v>71</v>
      </c>
      <c r="D635" s="166">
        <v>1</v>
      </c>
      <c r="E635" s="166">
        <v>0</v>
      </c>
      <c r="F635" s="166">
        <v>2</v>
      </c>
      <c r="G635" s="166">
        <v>0</v>
      </c>
      <c r="H635" s="167">
        <v>1</v>
      </c>
    </row>
    <row r="636" spans="3:8" ht="16.5" hidden="1" customHeight="1" x14ac:dyDescent="0.3">
      <c r="C636" s="165">
        <v>72</v>
      </c>
      <c r="D636" s="166">
        <v>2</v>
      </c>
      <c r="E636" s="166">
        <v>0</v>
      </c>
      <c r="F636" s="166">
        <v>2</v>
      </c>
      <c r="G636" s="166"/>
      <c r="H636" s="167">
        <v>1</v>
      </c>
    </row>
    <row r="637" spans="3:8" ht="16.5" hidden="1" customHeight="1" x14ac:dyDescent="0.3">
      <c r="C637" s="165">
        <v>73</v>
      </c>
      <c r="D637" s="166">
        <v>3</v>
      </c>
      <c r="E637" s="166">
        <v>0</v>
      </c>
      <c r="F637" s="166">
        <v>2</v>
      </c>
      <c r="G637" s="166"/>
      <c r="H637" s="167">
        <v>1</v>
      </c>
    </row>
    <row r="638" spans="3:8" ht="16.5" hidden="1" customHeight="1" x14ac:dyDescent="0.3">
      <c r="C638" s="165">
        <v>74</v>
      </c>
      <c r="D638" s="166">
        <v>4</v>
      </c>
      <c r="E638" s="166">
        <v>0</v>
      </c>
      <c r="F638" s="166">
        <v>2</v>
      </c>
      <c r="G638" s="166"/>
      <c r="H638" s="167">
        <v>1</v>
      </c>
    </row>
    <row r="639" spans="3:8" ht="16.5" hidden="1" customHeight="1" x14ac:dyDescent="0.3">
      <c r="C639" s="165">
        <v>75</v>
      </c>
      <c r="D639" s="166">
        <v>0</v>
      </c>
      <c r="E639" s="166">
        <v>0</v>
      </c>
      <c r="F639" s="166">
        <v>0</v>
      </c>
      <c r="G639" s="166">
        <v>1</v>
      </c>
      <c r="H639" s="167">
        <v>1</v>
      </c>
    </row>
    <row r="640" spans="3:8" ht="16.5" hidden="1" customHeight="1" x14ac:dyDescent="0.3">
      <c r="C640" s="165">
        <v>76</v>
      </c>
      <c r="D640" s="166">
        <v>1</v>
      </c>
      <c r="E640" s="166">
        <v>0</v>
      </c>
      <c r="F640" s="166">
        <v>0</v>
      </c>
      <c r="G640" s="166">
        <v>1</v>
      </c>
      <c r="H640" s="167">
        <v>1</v>
      </c>
    </row>
    <row r="641" spans="3:8" ht="16.5" hidden="1" customHeight="1" x14ac:dyDescent="0.3">
      <c r="C641" s="165">
        <v>77</v>
      </c>
      <c r="D641" s="166">
        <v>2</v>
      </c>
      <c r="E641" s="166">
        <v>0</v>
      </c>
      <c r="F641" s="166">
        <v>0</v>
      </c>
      <c r="G641" s="166">
        <v>1</v>
      </c>
      <c r="H641" s="167">
        <v>1</v>
      </c>
    </row>
    <row r="642" spans="3:8" ht="16.5" hidden="1" customHeight="1" x14ac:dyDescent="0.3">
      <c r="C642" s="165">
        <v>78</v>
      </c>
      <c r="D642" s="166">
        <v>3</v>
      </c>
      <c r="E642" s="166">
        <v>0</v>
      </c>
      <c r="F642" s="166">
        <v>0</v>
      </c>
      <c r="G642" s="166">
        <v>1</v>
      </c>
      <c r="H642" s="167">
        <v>1</v>
      </c>
    </row>
    <row r="643" spans="3:8" ht="16.5" hidden="1" customHeight="1" x14ac:dyDescent="0.3">
      <c r="C643" s="165">
        <v>79</v>
      </c>
      <c r="D643" s="166">
        <v>4</v>
      </c>
      <c r="E643" s="166">
        <v>0</v>
      </c>
      <c r="F643" s="166">
        <v>0</v>
      </c>
      <c r="G643" s="166">
        <v>1</v>
      </c>
      <c r="H643" s="167">
        <v>1</v>
      </c>
    </row>
    <row r="644" spans="3:8" ht="16.5" hidden="1" customHeight="1" x14ac:dyDescent="0.3">
      <c r="C644" s="165">
        <v>80</v>
      </c>
      <c r="D644" s="166">
        <v>0</v>
      </c>
      <c r="E644" s="166">
        <v>1</v>
      </c>
      <c r="F644" s="166">
        <v>0</v>
      </c>
      <c r="G644" s="166">
        <v>1</v>
      </c>
      <c r="H644" s="167">
        <v>1</v>
      </c>
    </row>
    <row r="645" spans="3:8" ht="16.5" hidden="1" customHeight="1" x14ac:dyDescent="0.3">
      <c r="C645" s="165">
        <v>81</v>
      </c>
      <c r="D645" s="166">
        <v>1</v>
      </c>
      <c r="E645" s="166">
        <v>1</v>
      </c>
      <c r="F645" s="166">
        <v>0</v>
      </c>
      <c r="G645" s="166">
        <v>1</v>
      </c>
      <c r="H645" s="167">
        <v>1</v>
      </c>
    </row>
    <row r="646" spans="3:8" ht="16.5" hidden="1" customHeight="1" x14ac:dyDescent="0.3">
      <c r="C646" s="165">
        <v>82</v>
      </c>
      <c r="D646" s="166">
        <v>2</v>
      </c>
      <c r="E646" s="166">
        <v>1</v>
      </c>
      <c r="F646" s="166">
        <v>0</v>
      </c>
      <c r="G646" s="166">
        <v>1</v>
      </c>
      <c r="H646" s="167">
        <v>1</v>
      </c>
    </row>
    <row r="647" spans="3:8" ht="16.5" hidden="1" customHeight="1" x14ac:dyDescent="0.3">
      <c r="C647" s="165">
        <v>83</v>
      </c>
      <c r="D647" s="166">
        <v>3</v>
      </c>
      <c r="E647" s="166">
        <v>1</v>
      </c>
      <c r="F647" s="166">
        <v>0</v>
      </c>
      <c r="G647" s="166">
        <v>1</v>
      </c>
      <c r="H647" s="167">
        <v>1</v>
      </c>
    </row>
    <row r="648" spans="3:8" ht="16.5" hidden="1" customHeight="1" x14ac:dyDescent="0.3">
      <c r="C648" s="165">
        <v>84</v>
      </c>
      <c r="D648" s="166">
        <v>4</v>
      </c>
      <c r="E648" s="166">
        <v>1</v>
      </c>
      <c r="F648" s="166">
        <v>0</v>
      </c>
      <c r="G648" s="166">
        <v>1</v>
      </c>
      <c r="H648" s="167">
        <v>1</v>
      </c>
    </row>
    <row r="649" spans="3:8" ht="16.5" hidden="1" customHeight="1" x14ac:dyDescent="0.3">
      <c r="C649" s="165">
        <v>85</v>
      </c>
      <c r="D649" s="166">
        <v>0</v>
      </c>
      <c r="E649" s="166">
        <v>0</v>
      </c>
      <c r="F649" s="166">
        <v>1</v>
      </c>
      <c r="G649" s="166">
        <v>1</v>
      </c>
      <c r="H649" s="167">
        <v>1</v>
      </c>
    </row>
    <row r="650" spans="3:8" ht="16.5" hidden="1" customHeight="1" x14ac:dyDescent="0.3">
      <c r="C650" s="165">
        <v>86</v>
      </c>
      <c r="D650" s="166">
        <v>1</v>
      </c>
      <c r="E650" s="166">
        <v>0</v>
      </c>
      <c r="F650" s="166">
        <v>1</v>
      </c>
      <c r="G650" s="166">
        <v>1</v>
      </c>
      <c r="H650" s="167">
        <v>1</v>
      </c>
    </row>
    <row r="651" spans="3:8" ht="16.5" hidden="1" customHeight="1" x14ac:dyDescent="0.3">
      <c r="C651" s="165">
        <v>87</v>
      </c>
      <c r="D651" s="166">
        <v>2</v>
      </c>
      <c r="E651" s="166">
        <v>0</v>
      </c>
      <c r="F651" s="166">
        <v>1</v>
      </c>
      <c r="G651" s="166">
        <v>1</v>
      </c>
      <c r="H651" s="167">
        <v>1</v>
      </c>
    </row>
    <row r="652" spans="3:8" ht="16.5" hidden="1" customHeight="1" x14ac:dyDescent="0.3">
      <c r="C652" s="165">
        <v>88</v>
      </c>
      <c r="D652" s="166">
        <v>3</v>
      </c>
      <c r="E652" s="166">
        <v>0</v>
      </c>
      <c r="F652" s="166">
        <v>1</v>
      </c>
      <c r="G652" s="166">
        <v>1</v>
      </c>
      <c r="H652" s="167">
        <v>1</v>
      </c>
    </row>
    <row r="653" spans="3:8" ht="16.5" hidden="1" customHeight="1" x14ac:dyDescent="0.3">
      <c r="C653" s="165">
        <v>89</v>
      </c>
      <c r="D653" s="166">
        <v>4</v>
      </c>
      <c r="E653" s="166">
        <v>0</v>
      </c>
      <c r="F653" s="166">
        <v>1</v>
      </c>
      <c r="G653" s="166">
        <v>1</v>
      </c>
      <c r="H653" s="167">
        <v>1</v>
      </c>
    </row>
    <row r="654" spans="3:8" ht="16.5" hidden="1" customHeight="1" x14ac:dyDescent="0.3">
      <c r="C654" s="165">
        <v>90</v>
      </c>
      <c r="D654" s="166">
        <v>0</v>
      </c>
      <c r="E654" s="166">
        <v>1</v>
      </c>
      <c r="F654" s="166">
        <v>1</v>
      </c>
      <c r="G654" s="166">
        <v>1</v>
      </c>
      <c r="H654" s="167">
        <v>1</v>
      </c>
    </row>
    <row r="655" spans="3:8" ht="16.5" hidden="1" customHeight="1" x14ac:dyDescent="0.3">
      <c r="C655" s="165">
        <v>91</v>
      </c>
      <c r="D655" s="166">
        <v>1</v>
      </c>
      <c r="E655" s="166">
        <v>1</v>
      </c>
      <c r="F655" s="166">
        <v>1</v>
      </c>
      <c r="G655" s="166">
        <v>1</v>
      </c>
      <c r="H655" s="167">
        <v>1</v>
      </c>
    </row>
    <row r="656" spans="3:8" ht="16.5" hidden="1" customHeight="1" x14ac:dyDescent="0.3">
      <c r="C656" s="165">
        <v>92</v>
      </c>
      <c r="D656" s="166">
        <v>2</v>
      </c>
      <c r="E656" s="166">
        <v>1</v>
      </c>
      <c r="F656" s="166">
        <v>1</v>
      </c>
      <c r="G656" s="166">
        <v>1</v>
      </c>
      <c r="H656" s="167">
        <v>1</v>
      </c>
    </row>
    <row r="657" spans="3:8" ht="16.5" hidden="1" customHeight="1" x14ac:dyDescent="0.3">
      <c r="C657" s="165">
        <v>93</v>
      </c>
      <c r="D657" s="166">
        <v>3</v>
      </c>
      <c r="E657" s="166">
        <v>1</v>
      </c>
      <c r="F657" s="166">
        <v>1</v>
      </c>
      <c r="G657" s="166">
        <v>1</v>
      </c>
      <c r="H657" s="167">
        <v>1</v>
      </c>
    </row>
    <row r="658" spans="3:8" ht="16.5" hidden="1" customHeight="1" x14ac:dyDescent="0.3">
      <c r="C658" s="165">
        <v>94</v>
      </c>
      <c r="D658" s="166">
        <v>4</v>
      </c>
      <c r="E658" s="166">
        <v>1</v>
      </c>
      <c r="F658" s="166">
        <v>1</v>
      </c>
      <c r="G658" s="166">
        <v>1</v>
      </c>
      <c r="H658" s="167">
        <v>1</v>
      </c>
    </row>
    <row r="659" spans="3:8" ht="16.5" hidden="1" customHeight="1" x14ac:dyDescent="0.3">
      <c r="C659" s="165">
        <v>95</v>
      </c>
      <c r="D659" s="166">
        <v>0</v>
      </c>
      <c r="E659" s="166">
        <v>0</v>
      </c>
      <c r="F659" s="166">
        <v>2</v>
      </c>
      <c r="G659" s="166">
        <v>1</v>
      </c>
      <c r="H659" s="167">
        <v>1</v>
      </c>
    </row>
    <row r="660" spans="3:8" ht="16.5" hidden="1" customHeight="1" x14ac:dyDescent="0.3">
      <c r="C660" s="165">
        <v>96</v>
      </c>
      <c r="D660" s="166">
        <v>1</v>
      </c>
      <c r="E660" s="166">
        <v>0</v>
      </c>
      <c r="F660" s="166">
        <v>2</v>
      </c>
      <c r="G660" s="166">
        <v>1</v>
      </c>
      <c r="H660" s="167">
        <v>1</v>
      </c>
    </row>
    <row r="661" spans="3:8" ht="16.5" hidden="1" customHeight="1" x14ac:dyDescent="0.3">
      <c r="C661" s="165">
        <v>97</v>
      </c>
      <c r="D661" s="166">
        <v>2</v>
      </c>
      <c r="E661" s="166">
        <v>0</v>
      </c>
      <c r="F661" s="166">
        <v>2</v>
      </c>
      <c r="G661" s="166">
        <v>1</v>
      </c>
      <c r="H661" s="167">
        <v>1</v>
      </c>
    </row>
    <row r="662" spans="3:8" ht="16.5" hidden="1" customHeight="1" x14ac:dyDescent="0.3">
      <c r="C662" s="165">
        <v>98</v>
      </c>
      <c r="D662" s="166">
        <v>0</v>
      </c>
      <c r="E662" s="166">
        <v>0</v>
      </c>
      <c r="F662" s="166">
        <v>0</v>
      </c>
      <c r="G662" s="166">
        <v>0</v>
      </c>
      <c r="H662" s="167">
        <v>2</v>
      </c>
    </row>
    <row r="663" spans="3:8" ht="16.5" hidden="1" customHeight="1" x14ac:dyDescent="0.3">
      <c r="C663" s="165">
        <v>99</v>
      </c>
      <c r="D663" s="166">
        <v>0</v>
      </c>
      <c r="E663" s="166">
        <v>0</v>
      </c>
      <c r="F663" s="166">
        <v>0</v>
      </c>
      <c r="G663" s="166">
        <v>0</v>
      </c>
      <c r="H663" s="167">
        <v>2</v>
      </c>
    </row>
    <row r="664" spans="3:8" ht="16.5" hidden="1" customHeight="1" x14ac:dyDescent="0.3">
      <c r="C664" s="165">
        <v>100</v>
      </c>
      <c r="D664" s="166">
        <v>0</v>
      </c>
      <c r="E664" s="166">
        <v>0</v>
      </c>
      <c r="F664" s="166">
        <v>0</v>
      </c>
      <c r="G664" s="166">
        <v>0</v>
      </c>
      <c r="H664" s="167">
        <v>2</v>
      </c>
    </row>
    <row r="665" spans="3:8" ht="16.5" hidden="1" customHeight="1" x14ac:dyDescent="0.3">
      <c r="C665" s="165">
        <v>101</v>
      </c>
      <c r="D665" s="166">
        <v>1</v>
      </c>
      <c r="E665" s="166">
        <v>0</v>
      </c>
      <c r="F665" s="166">
        <v>0</v>
      </c>
      <c r="G665" s="166">
        <v>0</v>
      </c>
      <c r="H665" s="167">
        <v>2</v>
      </c>
    </row>
    <row r="666" spans="3:8" ht="16.5" hidden="1" customHeight="1" x14ac:dyDescent="0.3">
      <c r="C666" s="165">
        <v>102</v>
      </c>
      <c r="D666" s="166">
        <v>2</v>
      </c>
      <c r="E666" s="166">
        <v>0</v>
      </c>
      <c r="F666" s="166">
        <v>0</v>
      </c>
      <c r="G666" s="166">
        <v>0</v>
      </c>
      <c r="H666" s="167">
        <v>2</v>
      </c>
    </row>
    <row r="667" spans="3:8" ht="16.5" hidden="1" customHeight="1" x14ac:dyDescent="0.3">
      <c r="C667" s="165">
        <v>103</v>
      </c>
      <c r="D667" s="166">
        <v>3</v>
      </c>
      <c r="E667" s="166">
        <v>0</v>
      </c>
      <c r="F667" s="166">
        <v>0</v>
      </c>
      <c r="G667" s="166">
        <v>0</v>
      </c>
      <c r="H667" s="167">
        <v>2</v>
      </c>
    </row>
    <row r="668" spans="3:8" ht="16.5" hidden="1" customHeight="1" x14ac:dyDescent="0.3">
      <c r="C668" s="165">
        <v>104</v>
      </c>
      <c r="D668" s="166">
        <v>4</v>
      </c>
      <c r="E668" s="166">
        <v>0</v>
      </c>
      <c r="F668" s="166">
        <v>0</v>
      </c>
      <c r="G668" s="166">
        <v>0</v>
      </c>
      <c r="H668" s="167">
        <v>2</v>
      </c>
    </row>
    <row r="669" spans="3:8" ht="16.5" hidden="1" customHeight="1" x14ac:dyDescent="0.3">
      <c r="C669" s="165">
        <v>105</v>
      </c>
      <c r="D669" s="166">
        <v>0</v>
      </c>
      <c r="E669" s="166">
        <v>1</v>
      </c>
      <c r="F669" s="166">
        <v>0</v>
      </c>
      <c r="G669" s="166">
        <v>0</v>
      </c>
      <c r="H669" s="167">
        <v>2</v>
      </c>
    </row>
    <row r="670" spans="3:8" ht="16.5" hidden="1" customHeight="1" x14ac:dyDescent="0.3">
      <c r="C670" s="165">
        <v>106</v>
      </c>
      <c r="D670" s="166">
        <v>1</v>
      </c>
      <c r="E670" s="166">
        <v>1</v>
      </c>
      <c r="F670" s="166">
        <v>0</v>
      </c>
      <c r="G670" s="166">
        <v>0</v>
      </c>
      <c r="H670" s="167">
        <v>2</v>
      </c>
    </row>
    <row r="671" spans="3:8" ht="16.5" hidden="1" customHeight="1" x14ac:dyDescent="0.3">
      <c r="C671" s="165">
        <v>107</v>
      </c>
      <c r="D671" s="166">
        <v>2</v>
      </c>
      <c r="E671" s="166">
        <v>1</v>
      </c>
      <c r="F671" s="166">
        <v>0</v>
      </c>
      <c r="G671" s="166">
        <v>0</v>
      </c>
      <c r="H671" s="167">
        <v>2</v>
      </c>
    </row>
    <row r="672" spans="3:8" ht="16.5" hidden="1" customHeight="1" x14ac:dyDescent="0.3">
      <c r="C672" s="165">
        <v>108</v>
      </c>
      <c r="D672" s="166">
        <v>3</v>
      </c>
      <c r="E672" s="166">
        <v>1</v>
      </c>
      <c r="F672" s="166">
        <v>0</v>
      </c>
      <c r="G672" s="166">
        <v>0</v>
      </c>
      <c r="H672" s="167">
        <v>2</v>
      </c>
    </row>
    <row r="673" spans="3:8" ht="16.5" hidden="1" customHeight="1" x14ac:dyDescent="0.3">
      <c r="C673" s="165">
        <v>109</v>
      </c>
      <c r="D673" s="166">
        <v>4</v>
      </c>
      <c r="E673" s="166">
        <v>1</v>
      </c>
      <c r="F673" s="166">
        <v>0</v>
      </c>
      <c r="G673" s="166">
        <v>0</v>
      </c>
      <c r="H673" s="167">
        <v>2</v>
      </c>
    </row>
    <row r="674" spans="3:8" ht="16.5" hidden="1" customHeight="1" x14ac:dyDescent="0.3">
      <c r="C674" s="165">
        <v>110</v>
      </c>
      <c r="D674" s="166">
        <v>0</v>
      </c>
      <c r="E674" s="166">
        <v>0</v>
      </c>
      <c r="F674" s="166">
        <v>1</v>
      </c>
      <c r="G674" s="166">
        <v>0</v>
      </c>
      <c r="H674" s="167">
        <v>2</v>
      </c>
    </row>
    <row r="675" spans="3:8" ht="16.5" hidden="1" customHeight="1" x14ac:dyDescent="0.3">
      <c r="C675" s="165">
        <v>111</v>
      </c>
      <c r="D675" s="166">
        <v>1</v>
      </c>
      <c r="E675" s="166">
        <v>0</v>
      </c>
      <c r="F675" s="166">
        <v>1</v>
      </c>
      <c r="G675" s="166">
        <v>0</v>
      </c>
      <c r="H675" s="167">
        <v>2</v>
      </c>
    </row>
    <row r="676" spans="3:8" ht="16.5" hidden="1" customHeight="1" x14ac:dyDescent="0.3">
      <c r="C676" s="165">
        <v>112</v>
      </c>
      <c r="D676" s="166">
        <v>2</v>
      </c>
      <c r="E676" s="166">
        <v>0</v>
      </c>
      <c r="F676" s="166">
        <v>1</v>
      </c>
      <c r="G676" s="166">
        <v>0</v>
      </c>
      <c r="H676" s="167">
        <v>2</v>
      </c>
    </row>
    <row r="677" spans="3:8" ht="16.5" hidden="1" customHeight="1" x14ac:dyDescent="0.3">
      <c r="C677" s="165">
        <v>113</v>
      </c>
      <c r="D677" s="166">
        <v>3</v>
      </c>
      <c r="E677" s="166">
        <v>0</v>
      </c>
      <c r="F677" s="166">
        <v>1</v>
      </c>
      <c r="G677" s="166">
        <v>0</v>
      </c>
      <c r="H677" s="167">
        <v>2</v>
      </c>
    </row>
    <row r="678" spans="3:8" ht="16.5" hidden="1" customHeight="1" x14ac:dyDescent="0.3">
      <c r="C678" s="165">
        <v>114</v>
      </c>
      <c r="D678" s="166">
        <v>4</v>
      </c>
      <c r="E678" s="166">
        <v>0</v>
      </c>
      <c r="F678" s="166">
        <v>1</v>
      </c>
      <c r="G678" s="166">
        <v>0</v>
      </c>
      <c r="H678" s="167">
        <v>2</v>
      </c>
    </row>
    <row r="679" spans="3:8" ht="16.5" hidden="1" customHeight="1" x14ac:dyDescent="0.3">
      <c r="C679" s="165">
        <v>115</v>
      </c>
      <c r="D679" s="166">
        <v>0</v>
      </c>
      <c r="E679" s="166">
        <v>1</v>
      </c>
      <c r="F679" s="166">
        <v>1</v>
      </c>
      <c r="G679" s="166">
        <v>0</v>
      </c>
      <c r="H679" s="167">
        <v>2</v>
      </c>
    </row>
    <row r="680" spans="3:8" ht="16.5" hidden="1" customHeight="1" x14ac:dyDescent="0.3">
      <c r="C680" s="165">
        <v>116</v>
      </c>
      <c r="D680" s="166">
        <v>1</v>
      </c>
      <c r="E680" s="166">
        <v>1</v>
      </c>
      <c r="F680" s="166">
        <v>1</v>
      </c>
      <c r="G680" s="166">
        <v>0</v>
      </c>
      <c r="H680" s="167">
        <v>2</v>
      </c>
    </row>
    <row r="681" spans="3:8" ht="16.5" hidden="1" customHeight="1" x14ac:dyDescent="0.3">
      <c r="C681" s="165">
        <v>117</v>
      </c>
      <c r="D681" s="166">
        <v>2</v>
      </c>
      <c r="E681" s="166">
        <v>1</v>
      </c>
      <c r="F681" s="166">
        <v>1</v>
      </c>
      <c r="G681" s="166">
        <v>0</v>
      </c>
      <c r="H681" s="167">
        <v>2</v>
      </c>
    </row>
    <row r="682" spans="3:8" ht="16.5" hidden="1" customHeight="1" x14ac:dyDescent="0.3">
      <c r="C682" s="165">
        <v>118</v>
      </c>
      <c r="D682" s="166">
        <v>3</v>
      </c>
      <c r="E682" s="166">
        <v>1</v>
      </c>
      <c r="F682" s="166">
        <v>1</v>
      </c>
      <c r="G682" s="166">
        <v>0</v>
      </c>
      <c r="H682" s="167">
        <v>2</v>
      </c>
    </row>
    <row r="683" spans="3:8" ht="16.5" hidden="1" customHeight="1" x14ac:dyDescent="0.3">
      <c r="C683" s="165">
        <v>119</v>
      </c>
      <c r="D683" s="166">
        <v>4</v>
      </c>
      <c r="E683" s="166">
        <v>1</v>
      </c>
      <c r="F683" s="166">
        <v>1</v>
      </c>
      <c r="G683" s="166">
        <v>0</v>
      </c>
      <c r="H683" s="167">
        <v>2</v>
      </c>
    </row>
    <row r="684" spans="3:8" ht="16.5" hidden="1" customHeight="1" x14ac:dyDescent="0.3">
      <c r="C684" s="165">
        <v>120</v>
      </c>
      <c r="D684" s="166">
        <v>0</v>
      </c>
      <c r="E684" s="166">
        <v>0</v>
      </c>
      <c r="F684" s="166">
        <v>2</v>
      </c>
      <c r="G684" s="166">
        <v>0</v>
      </c>
      <c r="H684" s="167">
        <v>2</v>
      </c>
    </row>
    <row r="685" spans="3:8" ht="16.5" hidden="1" customHeight="1" x14ac:dyDescent="0.3">
      <c r="C685" s="165">
        <v>121</v>
      </c>
      <c r="D685" s="166">
        <v>1</v>
      </c>
      <c r="E685" s="166">
        <v>0</v>
      </c>
      <c r="F685" s="166">
        <v>2</v>
      </c>
      <c r="G685" s="166">
        <v>0</v>
      </c>
      <c r="H685" s="167">
        <v>2</v>
      </c>
    </row>
    <row r="686" spans="3:8" ht="16.5" hidden="1" customHeight="1" x14ac:dyDescent="0.3">
      <c r="C686" s="165">
        <v>122</v>
      </c>
      <c r="D686" s="166">
        <v>2</v>
      </c>
      <c r="E686" s="166">
        <v>0</v>
      </c>
      <c r="F686" s="166">
        <v>2</v>
      </c>
      <c r="G686" s="166">
        <v>0</v>
      </c>
      <c r="H686" s="167">
        <v>2</v>
      </c>
    </row>
    <row r="687" spans="3:8" ht="16.5" hidden="1" customHeight="1" x14ac:dyDescent="0.3">
      <c r="C687" s="165">
        <v>123</v>
      </c>
      <c r="D687" s="166">
        <v>3</v>
      </c>
      <c r="E687" s="166">
        <v>0</v>
      </c>
      <c r="F687" s="166">
        <v>2</v>
      </c>
      <c r="G687" s="166">
        <v>0</v>
      </c>
      <c r="H687" s="167">
        <v>2</v>
      </c>
    </row>
    <row r="688" spans="3:8" ht="16.5" hidden="1" customHeight="1" x14ac:dyDescent="0.3">
      <c r="C688" s="165">
        <v>124</v>
      </c>
      <c r="D688" s="166">
        <v>4</v>
      </c>
      <c r="E688" s="166">
        <v>0</v>
      </c>
      <c r="F688" s="166">
        <v>2</v>
      </c>
      <c r="G688" s="166">
        <v>0</v>
      </c>
      <c r="H688" s="167">
        <v>2</v>
      </c>
    </row>
    <row r="689" spans="3:8" ht="16.5" hidden="1" customHeight="1" x14ac:dyDescent="0.3">
      <c r="C689" s="165">
        <v>125</v>
      </c>
      <c r="D689" s="166">
        <v>0</v>
      </c>
      <c r="E689" s="166">
        <v>1</v>
      </c>
      <c r="F689" s="166">
        <v>2</v>
      </c>
      <c r="G689" s="166">
        <v>0</v>
      </c>
      <c r="H689" s="167">
        <v>2</v>
      </c>
    </row>
    <row r="690" spans="3:8" ht="16.5" hidden="1" customHeight="1" x14ac:dyDescent="0.3">
      <c r="C690" s="165">
        <v>126</v>
      </c>
      <c r="D690" s="166">
        <v>1</v>
      </c>
      <c r="E690" s="166">
        <v>1</v>
      </c>
      <c r="F690" s="166">
        <v>2</v>
      </c>
      <c r="G690" s="166">
        <v>0</v>
      </c>
      <c r="H690" s="167">
        <v>2</v>
      </c>
    </row>
    <row r="691" spans="3:8" ht="16.5" hidden="1" customHeight="1" x14ac:dyDescent="0.3">
      <c r="C691" s="168">
        <v>127</v>
      </c>
      <c r="D691" s="169">
        <v>2</v>
      </c>
      <c r="E691" s="169">
        <v>1</v>
      </c>
      <c r="F691" s="169">
        <v>2</v>
      </c>
      <c r="G691" s="169">
        <v>0</v>
      </c>
      <c r="H691" s="170">
        <v>2</v>
      </c>
    </row>
    <row r="692" spans="3:8" ht="16.5" hidden="1" customHeight="1" x14ac:dyDescent="0.3">
      <c r="C692" s="63">
        <v>128</v>
      </c>
      <c r="D692" s="63">
        <v>3</v>
      </c>
      <c r="E692" s="63">
        <v>1</v>
      </c>
      <c r="F692" s="63">
        <v>2</v>
      </c>
      <c r="G692" s="63">
        <v>0</v>
      </c>
      <c r="H692" s="63">
        <v>2</v>
      </c>
    </row>
    <row r="693" spans="3:8" ht="16.5" hidden="1" customHeight="1" x14ac:dyDescent="0.3"/>
    <row r="694" spans="3:8" ht="16.5" hidden="1" customHeight="1" x14ac:dyDescent="0.3"/>
    <row r="695" spans="3:8" ht="16.5" hidden="1" customHeight="1" x14ac:dyDescent="0.3"/>
    <row r="696" spans="3:8" ht="16.5" hidden="1" customHeight="1" x14ac:dyDescent="0.3"/>
    <row r="697" spans="3:8" ht="16.5" hidden="1" customHeight="1" x14ac:dyDescent="0.3"/>
    <row r="698" spans="3:8" ht="16.5" hidden="1" customHeight="1" x14ac:dyDescent="0.3"/>
    <row r="699" spans="3:8" ht="16.5" hidden="1" customHeight="1" x14ac:dyDescent="0.3"/>
    <row r="700" spans="3:8" ht="16.5" hidden="1" customHeight="1" x14ac:dyDescent="0.3"/>
    <row r="701" spans="3:8" ht="16.5" hidden="1" customHeight="1" x14ac:dyDescent="0.3"/>
    <row r="702" spans="3:8" ht="16.5" hidden="1" customHeight="1" x14ac:dyDescent="0.3"/>
    <row r="703" spans="3:8" ht="16.5" hidden="1" customHeight="1" x14ac:dyDescent="0.3"/>
    <row r="704" spans="3:8" ht="16.5" hidden="1" customHeight="1" x14ac:dyDescent="0.3"/>
    <row r="705" ht="16.5" hidden="1" customHeight="1" x14ac:dyDescent="0.3"/>
    <row r="706" ht="16.5" hidden="1" customHeight="1" x14ac:dyDescent="0.3"/>
    <row r="707" ht="16.5" hidden="1" customHeight="1" x14ac:dyDescent="0.3"/>
    <row r="708" ht="16.5" hidden="1" customHeight="1" x14ac:dyDescent="0.3"/>
    <row r="709" ht="16.5" hidden="1" customHeight="1" x14ac:dyDescent="0.3"/>
    <row r="710" ht="16.5" hidden="1" customHeight="1" x14ac:dyDescent="0.3"/>
    <row r="711" ht="16.5" hidden="1" customHeight="1" x14ac:dyDescent="0.3"/>
    <row r="712" ht="16.5" hidden="1" customHeight="1" x14ac:dyDescent="0.3"/>
    <row r="713" ht="16.5" hidden="1" customHeight="1" x14ac:dyDescent="0.3"/>
    <row r="714" ht="16.5" hidden="1" customHeight="1" x14ac:dyDescent="0.3"/>
    <row r="715" ht="16.5" hidden="1" customHeight="1" x14ac:dyDescent="0.3"/>
    <row r="716" ht="16.5" hidden="1" customHeight="1" x14ac:dyDescent="0.3"/>
    <row r="717" ht="16.5" hidden="1" customHeight="1" x14ac:dyDescent="0.3"/>
    <row r="718" ht="16.5" hidden="1" customHeight="1" x14ac:dyDescent="0.3"/>
    <row r="719" ht="16.5" hidden="1" customHeight="1" x14ac:dyDescent="0.3"/>
    <row r="720" ht="16.5" hidden="1" customHeight="1" x14ac:dyDescent="0.3"/>
    <row r="721" ht="16.5" hidden="1" customHeight="1" x14ac:dyDescent="0.3"/>
    <row r="722" ht="16.5" hidden="1" customHeight="1" x14ac:dyDescent="0.3"/>
    <row r="723" ht="16.5" hidden="1" customHeight="1" x14ac:dyDescent="0.3"/>
    <row r="724" ht="16.5" hidden="1" customHeight="1" x14ac:dyDescent="0.3"/>
    <row r="725" ht="16.5" hidden="1" customHeight="1" x14ac:dyDescent="0.3"/>
    <row r="726" ht="16.5" hidden="1" customHeight="1" x14ac:dyDescent="0.3"/>
    <row r="727" ht="16.5" hidden="1" customHeight="1" x14ac:dyDescent="0.3"/>
    <row r="728" ht="16.5" hidden="1" customHeight="1" x14ac:dyDescent="0.3"/>
    <row r="729" ht="16.5" hidden="1" customHeight="1" x14ac:dyDescent="0.3"/>
    <row r="730" ht="16.5" hidden="1" customHeight="1" x14ac:dyDescent="0.3"/>
    <row r="731" ht="16.5" hidden="1" customHeight="1" x14ac:dyDescent="0.3"/>
    <row r="732" ht="16.5" hidden="1" customHeight="1" x14ac:dyDescent="0.3"/>
    <row r="733" ht="16.5" hidden="1" customHeight="1" x14ac:dyDescent="0.3"/>
    <row r="734" ht="16.5" hidden="1" customHeight="1" x14ac:dyDescent="0.3"/>
    <row r="735" ht="16.5" hidden="1" customHeight="1" x14ac:dyDescent="0.3"/>
    <row r="736" ht="16.5" hidden="1" customHeight="1" x14ac:dyDescent="0.3"/>
    <row r="737" ht="16.5" hidden="1" customHeight="1" x14ac:dyDescent="0.3"/>
    <row r="738" ht="16.5" hidden="1" customHeight="1" x14ac:dyDescent="0.3"/>
    <row r="739" ht="16.5" hidden="1" customHeight="1" x14ac:dyDescent="0.3"/>
    <row r="740" ht="16.5" hidden="1" customHeight="1" x14ac:dyDescent="0.3"/>
    <row r="741" ht="16.5" hidden="1" customHeight="1" x14ac:dyDescent="0.3"/>
    <row r="742" ht="16.5" hidden="1" customHeight="1" x14ac:dyDescent="0.3"/>
    <row r="743" ht="16.5" hidden="1" customHeight="1" x14ac:dyDescent="0.3"/>
    <row r="744" ht="16.5" hidden="1" customHeight="1" x14ac:dyDescent="0.3"/>
    <row r="745" ht="16.5" hidden="1" customHeight="1" x14ac:dyDescent="0.3"/>
    <row r="746" ht="16.5" hidden="1" customHeight="1" x14ac:dyDescent="0.3"/>
    <row r="747" ht="16.5" hidden="1" customHeight="1" x14ac:dyDescent="0.3"/>
    <row r="748" ht="16.5" hidden="1" customHeight="1" x14ac:dyDescent="0.3"/>
    <row r="749" ht="16.5" hidden="1" customHeight="1" x14ac:dyDescent="0.3"/>
    <row r="750" ht="16.5" hidden="1" customHeight="1" x14ac:dyDescent="0.3"/>
    <row r="751" ht="16.5" hidden="1" customHeight="1" x14ac:dyDescent="0.3"/>
    <row r="752" ht="16.5" hidden="1" customHeight="1" x14ac:dyDescent="0.3"/>
    <row r="753" ht="16.5" hidden="1" customHeight="1" x14ac:dyDescent="0.3"/>
    <row r="754" ht="16.5" hidden="1" customHeight="1" x14ac:dyDescent="0.3"/>
    <row r="755" ht="16.5" hidden="1" customHeight="1" x14ac:dyDescent="0.3"/>
    <row r="756" ht="16.5" hidden="1" customHeight="1" x14ac:dyDescent="0.3"/>
    <row r="757" ht="16.5" hidden="1" customHeight="1" x14ac:dyDescent="0.3"/>
    <row r="758" ht="16.5" hidden="1" customHeight="1" x14ac:dyDescent="0.3"/>
    <row r="759" ht="16.5" hidden="1" customHeight="1" x14ac:dyDescent="0.3"/>
    <row r="760" ht="16.5" hidden="1" customHeight="1" x14ac:dyDescent="0.3"/>
    <row r="761" ht="16.5" hidden="1" customHeight="1" x14ac:dyDescent="0.3"/>
    <row r="762" ht="16.5" hidden="1" customHeight="1" x14ac:dyDescent="0.3"/>
    <row r="763" ht="16.5" hidden="1" customHeight="1" x14ac:dyDescent="0.3"/>
    <row r="764" ht="16.5" hidden="1" customHeight="1" x14ac:dyDescent="0.3"/>
    <row r="765" ht="16.5" hidden="1" customHeight="1" x14ac:dyDescent="0.3"/>
    <row r="766" ht="16.5" hidden="1" customHeight="1" x14ac:dyDescent="0.3"/>
    <row r="767" ht="16.5" hidden="1" customHeight="1" x14ac:dyDescent="0.3"/>
    <row r="768" ht="16.5" hidden="1" customHeight="1" x14ac:dyDescent="0.3"/>
    <row r="769" ht="16.5" hidden="1" customHeight="1" x14ac:dyDescent="0.3"/>
    <row r="770" ht="16.5" hidden="1" customHeight="1" x14ac:dyDescent="0.3"/>
    <row r="771" ht="16.5" hidden="1" customHeight="1" x14ac:dyDescent="0.3"/>
    <row r="772" ht="16.5" hidden="1" customHeight="1" x14ac:dyDescent="0.3"/>
    <row r="773" ht="16.5" hidden="1" customHeight="1" x14ac:dyDescent="0.3"/>
    <row r="774" ht="16.5" hidden="1" customHeight="1" x14ac:dyDescent="0.3"/>
    <row r="775" ht="16.5" hidden="1" customHeight="1" x14ac:dyDescent="0.3"/>
    <row r="776" ht="16.5" hidden="1" customHeight="1" x14ac:dyDescent="0.3"/>
    <row r="777" ht="16.5" hidden="1" customHeight="1" x14ac:dyDescent="0.3"/>
    <row r="778" ht="16.5" hidden="1" customHeight="1" x14ac:dyDescent="0.3"/>
    <row r="779" ht="16.5" hidden="1" customHeight="1" x14ac:dyDescent="0.3"/>
    <row r="780" ht="16.5" hidden="1" customHeight="1" x14ac:dyDescent="0.3"/>
    <row r="781" ht="16.5" hidden="1" customHeight="1" x14ac:dyDescent="0.3"/>
    <row r="782" ht="16.5" hidden="1" customHeight="1" x14ac:dyDescent="0.3"/>
    <row r="783" ht="16.5" hidden="1" customHeight="1" x14ac:dyDescent="0.3"/>
    <row r="784" ht="16.5" hidden="1" customHeight="1" x14ac:dyDescent="0.3"/>
    <row r="785" ht="16.5" hidden="1" customHeight="1" x14ac:dyDescent="0.3"/>
    <row r="786" ht="16.5" hidden="1" customHeight="1" x14ac:dyDescent="0.3"/>
    <row r="787" ht="16.5" hidden="1" customHeight="1" x14ac:dyDescent="0.3"/>
    <row r="788" ht="16.5" hidden="1" customHeight="1" x14ac:dyDescent="0.3"/>
    <row r="789" ht="16.5" hidden="1" customHeight="1" x14ac:dyDescent="0.3"/>
    <row r="790" ht="16.5" hidden="1" customHeight="1" x14ac:dyDescent="0.3"/>
    <row r="791" ht="16.5" hidden="1" customHeight="1" x14ac:dyDescent="0.3"/>
    <row r="792" ht="16.5" hidden="1" customHeight="1" x14ac:dyDescent="0.3"/>
    <row r="793" ht="16.5" hidden="1" customHeight="1" x14ac:dyDescent="0.3"/>
    <row r="794" ht="16.5" hidden="1" customHeight="1" x14ac:dyDescent="0.3"/>
    <row r="795" ht="16.5" hidden="1" customHeight="1" x14ac:dyDescent="0.3"/>
    <row r="796" ht="16.5" hidden="1" customHeight="1" x14ac:dyDescent="0.3"/>
    <row r="797" ht="16.5" hidden="1" customHeight="1" x14ac:dyDescent="0.3"/>
    <row r="798" ht="16.5" hidden="1" customHeight="1" x14ac:dyDescent="0.3"/>
    <row r="799" ht="16.5" hidden="1" customHeight="1" x14ac:dyDescent="0.3"/>
    <row r="800" ht="16.5" hidden="1" customHeight="1" x14ac:dyDescent="0.3"/>
    <row r="801" ht="16.5" hidden="1" customHeight="1" x14ac:dyDescent="0.3"/>
    <row r="802" ht="16.5" hidden="1" customHeight="1" x14ac:dyDescent="0.3"/>
    <row r="803" ht="16.5" hidden="1" customHeight="1" x14ac:dyDescent="0.3"/>
    <row r="804" ht="16.5" hidden="1" customHeight="1" x14ac:dyDescent="0.3"/>
    <row r="805" ht="16.5" hidden="1" customHeight="1" x14ac:dyDescent="0.3"/>
    <row r="806" ht="16.5" hidden="1" customHeight="1" x14ac:dyDescent="0.3"/>
    <row r="807" ht="16.5" hidden="1" customHeight="1" x14ac:dyDescent="0.3"/>
    <row r="808" ht="16.5" hidden="1" customHeight="1" x14ac:dyDescent="0.3"/>
    <row r="809" ht="16.5" hidden="1" customHeight="1" x14ac:dyDescent="0.3"/>
    <row r="810" ht="16.5" hidden="1" customHeight="1" x14ac:dyDescent="0.3"/>
    <row r="811" ht="16.5" hidden="1" customHeight="1" x14ac:dyDescent="0.3"/>
    <row r="812" ht="16.5" hidden="1" customHeight="1" x14ac:dyDescent="0.3"/>
    <row r="813" ht="16.5" hidden="1" customHeight="1" x14ac:dyDescent="0.3"/>
    <row r="814" ht="16.5" hidden="1" customHeight="1" x14ac:dyDescent="0.3"/>
    <row r="815" ht="16.5" hidden="1" customHeight="1" x14ac:dyDescent="0.3"/>
    <row r="816" ht="16.5" hidden="1" customHeight="1" x14ac:dyDescent="0.3"/>
    <row r="817" ht="16.5" hidden="1" customHeight="1" x14ac:dyDescent="0.3"/>
    <row r="818" ht="16.5" hidden="1" customHeight="1" x14ac:dyDescent="0.3"/>
    <row r="819" ht="16.5" hidden="1" customHeight="1" x14ac:dyDescent="0.3"/>
    <row r="820" ht="16.5" hidden="1" customHeight="1" x14ac:dyDescent="0.3"/>
    <row r="821" ht="16.5" hidden="1" customHeight="1" x14ac:dyDescent="0.3"/>
    <row r="822" ht="16.5" hidden="1" customHeight="1" x14ac:dyDescent="0.3"/>
    <row r="823" ht="16.5" hidden="1" customHeight="1" x14ac:dyDescent="0.3"/>
    <row r="824" ht="16.5" hidden="1" customHeight="1" x14ac:dyDescent="0.3"/>
    <row r="825" ht="16.5" hidden="1" customHeight="1" x14ac:dyDescent="0.3"/>
    <row r="826" ht="16.5" hidden="1" customHeight="1" x14ac:dyDescent="0.3"/>
    <row r="827" ht="16.5" hidden="1" customHeight="1" x14ac:dyDescent="0.3"/>
    <row r="828" ht="16.5" hidden="1" customHeight="1" x14ac:dyDescent="0.3"/>
    <row r="829" ht="16.5" hidden="1" customHeight="1" x14ac:dyDescent="0.3"/>
    <row r="830" ht="16.5" hidden="1" customHeight="1" x14ac:dyDescent="0.3"/>
    <row r="831" ht="16.5" hidden="1" customHeight="1" x14ac:dyDescent="0.3"/>
    <row r="832" ht="16.5" hidden="1" customHeight="1" x14ac:dyDescent="0.3"/>
    <row r="833" ht="16.5" hidden="1" customHeight="1" x14ac:dyDescent="0.3"/>
    <row r="834" ht="16.5" hidden="1" customHeight="1" x14ac:dyDescent="0.3"/>
    <row r="835" ht="16.5" hidden="1" customHeight="1" x14ac:dyDescent="0.3"/>
    <row r="836" ht="16.5" hidden="1" customHeight="1" x14ac:dyDescent="0.3"/>
    <row r="837" ht="16.5" hidden="1" customHeight="1" x14ac:dyDescent="0.3"/>
    <row r="838" ht="16.5" hidden="1" customHeight="1" x14ac:dyDescent="0.3"/>
    <row r="839" ht="16.5" hidden="1" customHeight="1" x14ac:dyDescent="0.3"/>
    <row r="840" ht="16.5" hidden="1" customHeight="1" x14ac:dyDescent="0.3"/>
    <row r="841" ht="16.5" hidden="1" customHeight="1" x14ac:dyDescent="0.3"/>
    <row r="842" ht="16.5" hidden="1" customHeight="1" x14ac:dyDescent="0.3"/>
    <row r="843" ht="16.5" hidden="1" customHeight="1" x14ac:dyDescent="0.3"/>
    <row r="844" ht="16.5" hidden="1" customHeight="1" x14ac:dyDescent="0.3"/>
    <row r="845" ht="16.5" hidden="1" customHeight="1" x14ac:dyDescent="0.3"/>
    <row r="846" ht="16.5" hidden="1" customHeight="1" x14ac:dyDescent="0.3"/>
    <row r="847" ht="16.5" hidden="1" customHeight="1" x14ac:dyDescent="0.3"/>
    <row r="848" ht="16.5" hidden="1" customHeight="1" x14ac:dyDescent="0.3"/>
    <row r="849" ht="16.5" hidden="1" customHeight="1" x14ac:dyDescent="0.3"/>
    <row r="850" ht="16.5" hidden="1" customHeight="1" x14ac:dyDescent="0.3"/>
    <row r="851" ht="16.5" hidden="1" customHeight="1" x14ac:dyDescent="0.3"/>
    <row r="852" ht="16.5" hidden="1" customHeight="1" x14ac:dyDescent="0.3"/>
    <row r="853" ht="16.5" hidden="1" customHeight="1" x14ac:dyDescent="0.3"/>
    <row r="854" ht="16.5" hidden="1" customHeight="1" x14ac:dyDescent="0.3"/>
    <row r="855" ht="16.5" hidden="1" customHeight="1" x14ac:dyDescent="0.3"/>
    <row r="856" ht="16.5" hidden="1" customHeight="1" x14ac:dyDescent="0.3"/>
    <row r="857" ht="16.5" hidden="1" customHeight="1" x14ac:dyDescent="0.3"/>
    <row r="858" ht="16.5" hidden="1" customHeight="1" x14ac:dyDescent="0.3"/>
    <row r="859" ht="16.5" hidden="1" customHeight="1" x14ac:dyDescent="0.3"/>
    <row r="860" ht="16.5" hidden="1" customHeight="1" x14ac:dyDescent="0.3"/>
    <row r="861" ht="16.5" hidden="1" customHeight="1" x14ac:dyDescent="0.3"/>
    <row r="862" ht="16.5" hidden="1" customHeight="1" x14ac:dyDescent="0.3"/>
    <row r="863" ht="16.5" hidden="1" customHeight="1" x14ac:dyDescent="0.3"/>
    <row r="864" ht="16.5" hidden="1" customHeight="1" x14ac:dyDescent="0.3"/>
    <row r="865" ht="16.5" hidden="1" customHeight="1" x14ac:dyDescent="0.3"/>
    <row r="866" ht="16.5" hidden="1" customHeight="1" x14ac:dyDescent="0.3"/>
    <row r="867" ht="16.5" hidden="1" customHeight="1" x14ac:dyDescent="0.3"/>
    <row r="868" ht="16.5" hidden="1" customHeight="1" x14ac:dyDescent="0.3"/>
    <row r="869" ht="16.5" hidden="1" customHeight="1" x14ac:dyDescent="0.3"/>
    <row r="870" ht="16.5" hidden="1" customHeight="1" x14ac:dyDescent="0.3"/>
    <row r="871" ht="16.5" hidden="1" customHeight="1" x14ac:dyDescent="0.3"/>
    <row r="872" ht="16.5" hidden="1" customHeight="1" x14ac:dyDescent="0.3"/>
    <row r="873" ht="16.5" hidden="1" customHeight="1" x14ac:dyDescent="0.3"/>
    <row r="874" ht="16.5" hidden="1" customHeight="1" x14ac:dyDescent="0.3"/>
    <row r="875" ht="16.5" hidden="1" customHeight="1" x14ac:dyDescent="0.3"/>
    <row r="876" ht="16.5" hidden="1" customHeight="1" x14ac:dyDescent="0.3"/>
    <row r="877" ht="16.5" hidden="1" customHeight="1" x14ac:dyDescent="0.3"/>
    <row r="878" ht="16.5" hidden="1" customHeight="1" x14ac:dyDescent="0.3"/>
    <row r="879" ht="16.5" hidden="1" customHeight="1" x14ac:dyDescent="0.3"/>
    <row r="880" ht="16.5" hidden="1" customHeight="1" x14ac:dyDescent="0.3"/>
    <row r="881" ht="16.5" hidden="1" customHeight="1" x14ac:dyDescent="0.3"/>
    <row r="882" ht="16.5" hidden="1" customHeight="1" x14ac:dyDescent="0.3"/>
    <row r="883" ht="16.5" hidden="1" customHeight="1" x14ac:dyDescent="0.3"/>
    <row r="884" ht="16.5" hidden="1" customHeight="1" x14ac:dyDescent="0.3"/>
    <row r="885" ht="16.5" hidden="1" customHeight="1" x14ac:dyDescent="0.3"/>
    <row r="886" ht="16.5" hidden="1" customHeight="1" x14ac:dyDescent="0.3"/>
    <row r="887" ht="16.5" hidden="1" customHeight="1" x14ac:dyDescent="0.3"/>
    <row r="888" ht="16.5" hidden="1" customHeight="1" x14ac:dyDescent="0.3"/>
    <row r="889" ht="16.5" hidden="1" customHeight="1" x14ac:dyDescent="0.3"/>
    <row r="890" ht="16.5" hidden="1" customHeight="1" x14ac:dyDescent="0.3"/>
    <row r="891" ht="16.5" hidden="1" customHeight="1" x14ac:dyDescent="0.3"/>
    <row r="892" ht="16.5" hidden="1" customHeight="1" x14ac:dyDescent="0.3"/>
    <row r="893" ht="16.5" hidden="1" customHeight="1" x14ac:dyDescent="0.3"/>
    <row r="894" ht="16.5" hidden="1" customHeight="1" x14ac:dyDescent="0.3"/>
    <row r="895" ht="16.5" hidden="1" customHeight="1" x14ac:dyDescent="0.3"/>
    <row r="896" ht="16.5" hidden="1" customHeight="1" x14ac:dyDescent="0.3"/>
    <row r="897" ht="16.5" hidden="1" customHeight="1" x14ac:dyDescent="0.3"/>
    <row r="898" ht="16.5" hidden="1" customHeight="1" x14ac:dyDescent="0.3"/>
    <row r="899" ht="16.5" hidden="1" customHeight="1" x14ac:dyDescent="0.3"/>
    <row r="900" ht="16.5" hidden="1" customHeight="1" x14ac:dyDescent="0.3"/>
    <row r="901" ht="16.5" hidden="1" customHeight="1" x14ac:dyDescent="0.3"/>
    <row r="902" ht="16.5" hidden="1" customHeight="1" x14ac:dyDescent="0.3"/>
    <row r="903" ht="16.5" hidden="1" customHeight="1" x14ac:dyDescent="0.3"/>
    <row r="904" ht="16.5" hidden="1" customHeight="1" x14ac:dyDescent="0.3"/>
    <row r="905" ht="16.5" hidden="1" customHeight="1" x14ac:dyDescent="0.3"/>
    <row r="906" ht="16.5" hidden="1" customHeight="1" x14ac:dyDescent="0.3"/>
    <row r="907" ht="16.5" hidden="1" customHeight="1" x14ac:dyDescent="0.3"/>
    <row r="908" ht="16.5" hidden="1" customHeight="1" x14ac:dyDescent="0.3"/>
    <row r="909" ht="16.5" hidden="1" customHeight="1" x14ac:dyDescent="0.3"/>
    <row r="910" ht="16.5" hidden="1" customHeight="1" x14ac:dyDescent="0.3"/>
    <row r="911" ht="16.5" hidden="1" customHeight="1" x14ac:dyDescent="0.3"/>
    <row r="912" ht="16.5" hidden="1" customHeight="1" x14ac:dyDescent="0.3"/>
    <row r="913" ht="16.5" hidden="1" customHeight="1" x14ac:dyDescent="0.3"/>
    <row r="914" ht="16.5" hidden="1" customHeight="1" x14ac:dyDescent="0.3"/>
    <row r="915" ht="16.5" hidden="1" customHeight="1" x14ac:dyDescent="0.3"/>
    <row r="916" ht="16.5" hidden="1" customHeight="1" x14ac:dyDescent="0.3"/>
    <row r="917" ht="16.5" hidden="1" customHeight="1" x14ac:dyDescent="0.3"/>
    <row r="918" ht="16.5" hidden="1" customHeight="1" x14ac:dyDescent="0.3"/>
    <row r="919" ht="16.5" hidden="1" customHeight="1" x14ac:dyDescent="0.3"/>
    <row r="920" ht="16.5" hidden="1" customHeight="1" x14ac:dyDescent="0.3"/>
    <row r="921" ht="16.5" hidden="1" customHeight="1" x14ac:dyDescent="0.3"/>
    <row r="922" ht="16.5" hidden="1" customHeight="1" x14ac:dyDescent="0.3"/>
    <row r="923" ht="16.5" hidden="1" customHeight="1" x14ac:dyDescent="0.3"/>
    <row r="924" ht="16.5" hidden="1" customHeight="1" x14ac:dyDescent="0.3"/>
    <row r="925" ht="16.5" hidden="1" customHeight="1" x14ac:dyDescent="0.3"/>
    <row r="926" ht="16.5" hidden="1" customHeight="1" x14ac:dyDescent="0.3"/>
    <row r="927" ht="16.5" hidden="1" customHeight="1" x14ac:dyDescent="0.3"/>
    <row r="928" ht="16.5" hidden="1" customHeight="1" x14ac:dyDescent="0.3"/>
    <row r="929" ht="16.5" hidden="1" customHeight="1" x14ac:dyDescent="0.3"/>
    <row r="930" ht="16.5" hidden="1" customHeight="1" x14ac:dyDescent="0.3"/>
    <row r="931" ht="16.5" hidden="1" customHeight="1" x14ac:dyDescent="0.3"/>
    <row r="932" ht="16.5" hidden="1" customHeight="1" x14ac:dyDescent="0.3"/>
    <row r="933" ht="16.5" hidden="1" customHeight="1" x14ac:dyDescent="0.3"/>
    <row r="934" ht="16.5" hidden="1" customHeight="1" x14ac:dyDescent="0.3"/>
    <row r="935" ht="16.5" hidden="1" customHeight="1" x14ac:dyDescent="0.3"/>
    <row r="936" ht="16.5" hidden="1" customHeight="1" x14ac:dyDescent="0.3"/>
    <row r="937" ht="16.5" hidden="1" customHeight="1" x14ac:dyDescent="0.3"/>
    <row r="938" ht="16.5" hidden="1" customHeight="1" x14ac:dyDescent="0.3"/>
    <row r="939" ht="16.5" hidden="1" customHeight="1" x14ac:dyDescent="0.3"/>
    <row r="940" ht="16.5" hidden="1" customHeight="1" x14ac:dyDescent="0.3"/>
    <row r="941" ht="16.5" hidden="1" customHeight="1" x14ac:dyDescent="0.3"/>
    <row r="942" ht="16.5" hidden="1" customHeight="1" x14ac:dyDescent="0.3"/>
    <row r="943" ht="16.5" hidden="1" customHeight="1" x14ac:dyDescent="0.3"/>
    <row r="944" ht="16.5" hidden="1" customHeight="1" x14ac:dyDescent="0.3"/>
    <row r="945" ht="16.5" hidden="1" customHeight="1" x14ac:dyDescent="0.3"/>
    <row r="946" ht="16.5" hidden="1" customHeight="1" x14ac:dyDescent="0.3"/>
    <row r="947" ht="16.5" hidden="1" customHeight="1" x14ac:dyDescent="0.3"/>
    <row r="948" ht="16.5" hidden="1" customHeight="1" x14ac:dyDescent="0.3"/>
    <row r="949" ht="16.5" hidden="1" customHeight="1" x14ac:dyDescent="0.3"/>
    <row r="950" ht="16.5" hidden="1" customHeight="1" x14ac:dyDescent="0.3"/>
    <row r="951" ht="16.5" hidden="1" customHeight="1" x14ac:dyDescent="0.3"/>
    <row r="952" ht="16.5" hidden="1" customHeight="1" x14ac:dyDescent="0.3"/>
    <row r="953" ht="16.5" hidden="1" customHeight="1" x14ac:dyDescent="0.3"/>
    <row r="954" ht="16.5" hidden="1" customHeight="1" x14ac:dyDescent="0.3"/>
    <row r="955" ht="16.5" hidden="1" customHeight="1" x14ac:dyDescent="0.3"/>
    <row r="956" ht="16.5" hidden="1" customHeight="1" x14ac:dyDescent="0.3"/>
    <row r="957" ht="16.5" hidden="1" customHeight="1" x14ac:dyDescent="0.3"/>
    <row r="958" ht="16.5" hidden="1" customHeight="1" x14ac:dyDescent="0.3"/>
    <row r="959" ht="16.5" hidden="1" customHeight="1" x14ac:dyDescent="0.3"/>
    <row r="960" ht="16.5" hidden="1" customHeight="1" x14ac:dyDescent="0.3"/>
    <row r="961" ht="16.5" hidden="1" customHeight="1" x14ac:dyDescent="0.3"/>
    <row r="962" ht="16.5" hidden="1" customHeight="1" x14ac:dyDescent="0.3"/>
    <row r="963" ht="16.5" hidden="1" customHeight="1" x14ac:dyDescent="0.3"/>
    <row r="964" ht="16.5" hidden="1" customHeight="1" x14ac:dyDescent="0.3"/>
    <row r="965" ht="16.5" hidden="1" customHeight="1" x14ac:dyDescent="0.3"/>
    <row r="966" ht="16.5" hidden="1" customHeight="1" x14ac:dyDescent="0.3"/>
    <row r="967" ht="16.5" hidden="1" customHeight="1" x14ac:dyDescent="0.3"/>
    <row r="968" ht="16.5" hidden="1" customHeight="1" x14ac:dyDescent="0.3"/>
    <row r="969" ht="16.5" hidden="1" customHeight="1" x14ac:dyDescent="0.3"/>
    <row r="970" ht="16.5" hidden="1" customHeight="1" x14ac:dyDescent="0.3"/>
    <row r="971" ht="16.5" hidden="1" customHeight="1" x14ac:dyDescent="0.3"/>
    <row r="972" ht="16.5" hidden="1" customHeight="1" x14ac:dyDescent="0.3"/>
    <row r="973" ht="16.5" hidden="1" customHeight="1" x14ac:dyDescent="0.3"/>
    <row r="974" ht="16.5" hidden="1" customHeight="1" x14ac:dyDescent="0.3"/>
    <row r="975" ht="16.5" hidden="1" customHeight="1" x14ac:dyDescent="0.3"/>
    <row r="976" ht="16.5" hidden="1" customHeight="1" x14ac:dyDescent="0.3"/>
    <row r="977" ht="16.5" hidden="1" customHeight="1" x14ac:dyDescent="0.3"/>
    <row r="978" ht="16.5" hidden="1" customHeight="1" x14ac:dyDescent="0.3"/>
    <row r="979" ht="16.5" hidden="1" customHeight="1" x14ac:dyDescent="0.3"/>
    <row r="980" ht="16.5" hidden="1" customHeight="1" x14ac:dyDescent="0.3"/>
    <row r="981" ht="16.5" hidden="1" customHeight="1" x14ac:dyDescent="0.3"/>
    <row r="982" ht="16.5" hidden="1" customHeight="1" x14ac:dyDescent="0.3"/>
    <row r="983" ht="16.5" hidden="1" customHeight="1" x14ac:dyDescent="0.3"/>
    <row r="984" ht="16.5" hidden="1" customHeight="1" x14ac:dyDescent="0.3"/>
    <row r="985" ht="16.5" hidden="1" customHeight="1" x14ac:dyDescent="0.3"/>
    <row r="986" ht="16.5" hidden="1" customHeight="1" x14ac:dyDescent="0.3"/>
    <row r="987" ht="16.5" hidden="1" customHeight="1" x14ac:dyDescent="0.3"/>
    <row r="988" ht="16.5" hidden="1" customHeight="1" x14ac:dyDescent="0.3"/>
    <row r="989" ht="16.5" hidden="1" customHeight="1" x14ac:dyDescent="0.3"/>
    <row r="990" ht="16.5" hidden="1" customHeight="1" x14ac:dyDescent="0.3"/>
    <row r="991" ht="16.5" hidden="1" customHeight="1" x14ac:dyDescent="0.3"/>
    <row r="992" ht="16.5" hidden="1" customHeight="1" x14ac:dyDescent="0.3"/>
    <row r="993" ht="16.5" hidden="1" customHeight="1" x14ac:dyDescent="0.3"/>
    <row r="994" ht="16.5" hidden="1" customHeight="1" x14ac:dyDescent="0.3"/>
    <row r="995" ht="16.5" hidden="1" customHeight="1" x14ac:dyDescent="0.3"/>
    <row r="996" ht="16.5" hidden="1" customHeight="1" x14ac:dyDescent="0.3"/>
    <row r="997" ht="16.5" hidden="1" customHeight="1" x14ac:dyDescent="0.3"/>
    <row r="998" ht="16.5" hidden="1" customHeight="1" x14ac:dyDescent="0.3"/>
    <row r="999" ht="16.5" hidden="1" customHeight="1" x14ac:dyDescent="0.3"/>
    <row r="1000" ht="16.5" hidden="1" customHeight="1" x14ac:dyDescent="0.3"/>
    <row r="1001" ht="16.5" hidden="1" customHeight="1" x14ac:dyDescent="0.3"/>
    <row r="1002" ht="16.5" hidden="1" customHeight="1" x14ac:dyDescent="0.3"/>
    <row r="1003" ht="16.5" hidden="1" customHeight="1" x14ac:dyDescent="0.3"/>
    <row r="1004" ht="16.5" hidden="1" customHeight="1" x14ac:dyDescent="0.3"/>
    <row r="1005" ht="16.5" hidden="1" customHeight="1" x14ac:dyDescent="0.3"/>
    <row r="1006" ht="16.5" hidden="1" customHeight="1" x14ac:dyDescent="0.3"/>
    <row r="1007" ht="16.5" hidden="1" customHeight="1" x14ac:dyDescent="0.3"/>
    <row r="1008" ht="16.5" hidden="1" customHeight="1" x14ac:dyDescent="0.3"/>
    <row r="1009" ht="16.5" hidden="1" customHeight="1" x14ac:dyDescent="0.3"/>
    <row r="1010" ht="16.5" hidden="1" customHeight="1" x14ac:dyDescent="0.3"/>
    <row r="1011" ht="16.5" hidden="1" customHeight="1" x14ac:dyDescent="0.3"/>
    <row r="1012" ht="16.5" hidden="1" customHeight="1" x14ac:dyDescent="0.3"/>
    <row r="1013" ht="16.5" hidden="1" customHeight="1" x14ac:dyDescent="0.3"/>
    <row r="1014" ht="16.5" hidden="1" customHeight="1" x14ac:dyDescent="0.3"/>
    <row r="1015" ht="16.5" hidden="1" customHeight="1" x14ac:dyDescent="0.3"/>
    <row r="1016" ht="16.5" hidden="1" customHeight="1" x14ac:dyDescent="0.3"/>
    <row r="1017" ht="16.5" hidden="1" customHeight="1" x14ac:dyDescent="0.3"/>
    <row r="1018" ht="16.5" hidden="1" customHeight="1" x14ac:dyDescent="0.3"/>
    <row r="1019" ht="16.5" hidden="1" customHeight="1" x14ac:dyDescent="0.3"/>
    <row r="1020" ht="16.5" hidden="1" customHeight="1" x14ac:dyDescent="0.3"/>
    <row r="1021" ht="16.5" hidden="1" customHeight="1" x14ac:dyDescent="0.3"/>
    <row r="1022" ht="16.5" hidden="1" customHeight="1" x14ac:dyDescent="0.3"/>
    <row r="1023" ht="16.5" hidden="1" customHeight="1" x14ac:dyDescent="0.3"/>
    <row r="1024" ht="16.5" hidden="1" customHeight="1" x14ac:dyDescent="0.3"/>
    <row r="1025" ht="16.5" hidden="1" customHeight="1" x14ac:dyDescent="0.3"/>
    <row r="1026" ht="16.5" hidden="1" customHeight="1" x14ac:dyDescent="0.3"/>
    <row r="1027" ht="16.5" hidden="1" customHeight="1" x14ac:dyDescent="0.3"/>
    <row r="1028" ht="16.5" hidden="1" customHeight="1" x14ac:dyDescent="0.3"/>
    <row r="1029" ht="16.5" hidden="1" customHeight="1" x14ac:dyDescent="0.3"/>
    <row r="1030" ht="16.5" hidden="1" customHeight="1" x14ac:dyDescent="0.3"/>
    <row r="1031" ht="16.5" hidden="1" customHeight="1" x14ac:dyDescent="0.3"/>
    <row r="1032" ht="16.5" hidden="1" customHeight="1" x14ac:dyDescent="0.3"/>
    <row r="1033" ht="16.5" hidden="1" customHeight="1" x14ac:dyDescent="0.3"/>
    <row r="1034" ht="16.5" hidden="1" customHeight="1" x14ac:dyDescent="0.3"/>
    <row r="1035" ht="16.5" hidden="1" customHeight="1" x14ac:dyDescent="0.3"/>
    <row r="1036" ht="16.5" hidden="1" customHeight="1" x14ac:dyDescent="0.3"/>
    <row r="1037" ht="16.5" hidden="1" customHeight="1" x14ac:dyDescent="0.3"/>
    <row r="1038" ht="16.5" hidden="1" customHeight="1" x14ac:dyDescent="0.3"/>
    <row r="1039" ht="16.5" hidden="1" customHeight="1" x14ac:dyDescent="0.3"/>
    <row r="1040" ht="16.5" hidden="1" customHeight="1" x14ac:dyDescent="0.3"/>
    <row r="1041" ht="16.5" hidden="1" customHeight="1" x14ac:dyDescent="0.3"/>
    <row r="1042" ht="16.5" hidden="1" customHeight="1" x14ac:dyDescent="0.3"/>
    <row r="1043" ht="16.5" hidden="1" customHeight="1" x14ac:dyDescent="0.3"/>
    <row r="1044" ht="16.5" hidden="1" customHeight="1" x14ac:dyDescent="0.3"/>
    <row r="1045" ht="16.5" hidden="1" customHeight="1" x14ac:dyDescent="0.3"/>
    <row r="1046" ht="16.5" hidden="1" customHeight="1" x14ac:dyDescent="0.3"/>
    <row r="1047" ht="16.5" hidden="1" customHeight="1" x14ac:dyDescent="0.3"/>
    <row r="1048" ht="16.5" hidden="1" customHeight="1" x14ac:dyDescent="0.3"/>
    <row r="1049" ht="16.5" hidden="1" customHeight="1" x14ac:dyDescent="0.3"/>
    <row r="1050" ht="16.5" hidden="1" customHeight="1" x14ac:dyDescent="0.3"/>
    <row r="1051" ht="16.5" hidden="1" customHeight="1" x14ac:dyDescent="0.3"/>
    <row r="1052" ht="16.5" hidden="1" customHeight="1" x14ac:dyDescent="0.3"/>
    <row r="1053" ht="16.5" hidden="1" customHeight="1" x14ac:dyDescent="0.3"/>
    <row r="1054" ht="16.5" hidden="1" customHeight="1" x14ac:dyDescent="0.3"/>
    <row r="1055" ht="16.5" hidden="1" customHeight="1" x14ac:dyDescent="0.3"/>
    <row r="1056" ht="16.5" hidden="1" customHeight="1" x14ac:dyDescent="0.3"/>
    <row r="1057" ht="16.5" hidden="1" customHeight="1" x14ac:dyDescent="0.3"/>
    <row r="1058" ht="16.5" hidden="1" customHeight="1" x14ac:dyDescent="0.3"/>
    <row r="1059" ht="16.5" hidden="1" customHeight="1" x14ac:dyDescent="0.3"/>
    <row r="1060" ht="16.5" hidden="1" customHeight="1" x14ac:dyDescent="0.3"/>
    <row r="1061" ht="16.5" hidden="1" customHeight="1" x14ac:dyDescent="0.3"/>
    <row r="1062" ht="16.5" hidden="1" customHeight="1" x14ac:dyDescent="0.3"/>
    <row r="1063" ht="16.5" hidden="1" customHeight="1" x14ac:dyDescent="0.3"/>
    <row r="1064" ht="16.5" hidden="1" customHeight="1" x14ac:dyDescent="0.3"/>
    <row r="1065" ht="16.5" hidden="1" customHeight="1" x14ac:dyDescent="0.3"/>
    <row r="1066" ht="16.5" hidden="1" customHeight="1" x14ac:dyDescent="0.3"/>
    <row r="1067" ht="16.5" hidden="1" customHeight="1" x14ac:dyDescent="0.3"/>
    <row r="1068" ht="16.5" hidden="1" customHeight="1" x14ac:dyDescent="0.3"/>
    <row r="1069" ht="16.5" hidden="1" customHeight="1" x14ac:dyDescent="0.3"/>
    <row r="1070" ht="16.5" hidden="1" customHeight="1" x14ac:dyDescent="0.3"/>
    <row r="1071" ht="16.5" hidden="1" customHeight="1" x14ac:dyDescent="0.3"/>
    <row r="1072" ht="16.5" hidden="1" customHeight="1" x14ac:dyDescent="0.3"/>
    <row r="1073" ht="16.5" hidden="1" customHeight="1" x14ac:dyDescent="0.3"/>
    <row r="1074" ht="16.5" hidden="1" customHeight="1" x14ac:dyDescent="0.3"/>
    <row r="1075" ht="16.5" hidden="1" customHeight="1" x14ac:dyDescent="0.3"/>
    <row r="1076" ht="16.5" hidden="1" customHeight="1" x14ac:dyDescent="0.3"/>
    <row r="1077" ht="16.5" hidden="1" customHeight="1" x14ac:dyDescent="0.3"/>
    <row r="1078" ht="16.5" hidden="1" customHeight="1" x14ac:dyDescent="0.3"/>
    <row r="1079" ht="16.5" hidden="1" customHeight="1" x14ac:dyDescent="0.3"/>
    <row r="1080" ht="16.5" hidden="1" customHeight="1" x14ac:dyDescent="0.3"/>
    <row r="1081" ht="16.5" hidden="1" customHeight="1" x14ac:dyDescent="0.3"/>
    <row r="1082" ht="16.5" hidden="1" customHeight="1" x14ac:dyDescent="0.3"/>
    <row r="1083" ht="16.5" hidden="1" customHeight="1" x14ac:dyDescent="0.3"/>
    <row r="1084" ht="16.5" hidden="1" customHeight="1" x14ac:dyDescent="0.3"/>
    <row r="1085" ht="16.5" hidden="1" customHeight="1" x14ac:dyDescent="0.3"/>
    <row r="1086" ht="16.5" hidden="1" customHeight="1" x14ac:dyDescent="0.3"/>
    <row r="1087" ht="16.5" hidden="1" customHeight="1" x14ac:dyDescent="0.3"/>
    <row r="1088" ht="16.5" hidden="1" customHeight="1" x14ac:dyDescent="0.3"/>
    <row r="1089" ht="16.5" hidden="1" customHeight="1" x14ac:dyDescent="0.3"/>
    <row r="1090" ht="16.5" hidden="1" customHeight="1" x14ac:dyDescent="0.3"/>
    <row r="1091" ht="16.5" hidden="1" customHeight="1" x14ac:dyDescent="0.3"/>
    <row r="1092" ht="16.5" hidden="1" customHeight="1" x14ac:dyDescent="0.3"/>
    <row r="1093" ht="16.5" hidden="1" customHeight="1" x14ac:dyDescent="0.3"/>
    <row r="1094" ht="16.5" hidden="1" customHeight="1" x14ac:dyDescent="0.3"/>
    <row r="1095" ht="16.5" hidden="1" customHeight="1" x14ac:dyDescent="0.3"/>
    <row r="1096" ht="16.5" hidden="1" customHeight="1" x14ac:dyDescent="0.3"/>
    <row r="1097" ht="16.5" hidden="1" customHeight="1" x14ac:dyDescent="0.3"/>
    <row r="1098" ht="16.5" hidden="1" customHeight="1" x14ac:dyDescent="0.3"/>
    <row r="1099" ht="16.5" hidden="1" customHeight="1" x14ac:dyDescent="0.3"/>
    <row r="1100" ht="16.5" hidden="1" customHeight="1" x14ac:dyDescent="0.3"/>
    <row r="1101" ht="16.5" hidden="1" customHeight="1" x14ac:dyDescent="0.3"/>
    <row r="1102" ht="16.5" hidden="1" customHeight="1" x14ac:dyDescent="0.3"/>
    <row r="1103" ht="16.5" hidden="1" customHeight="1" x14ac:dyDescent="0.3"/>
    <row r="1104" ht="16.5" hidden="1" customHeight="1" x14ac:dyDescent="0.3"/>
    <row r="1105" ht="16.5" hidden="1" customHeight="1" x14ac:dyDescent="0.3"/>
    <row r="1106" ht="16.5" hidden="1" customHeight="1" x14ac:dyDescent="0.3"/>
    <row r="1107" ht="16.5" hidden="1" customHeight="1" x14ac:dyDescent="0.3"/>
    <row r="1108" ht="16.5" hidden="1" customHeight="1" x14ac:dyDescent="0.3"/>
    <row r="1109" ht="16.5" hidden="1" customHeight="1" x14ac:dyDescent="0.3"/>
    <row r="1110" ht="16.5" hidden="1" customHeight="1" x14ac:dyDescent="0.3"/>
    <row r="1111" ht="16.5" hidden="1" customHeight="1" x14ac:dyDescent="0.3"/>
    <row r="1112" ht="16.5" hidden="1" customHeight="1" x14ac:dyDescent="0.3"/>
    <row r="1113" ht="16.5" hidden="1" customHeight="1" x14ac:dyDescent="0.3"/>
    <row r="1114" ht="16.5" hidden="1" customHeight="1" x14ac:dyDescent="0.3"/>
    <row r="1115" ht="16.5" hidden="1" customHeight="1" x14ac:dyDescent="0.3"/>
    <row r="1116" ht="16.5" hidden="1" customHeight="1" x14ac:dyDescent="0.3"/>
    <row r="1117" ht="16.5" hidden="1" customHeight="1" x14ac:dyDescent="0.3"/>
    <row r="1118" ht="16.5" hidden="1" customHeight="1" x14ac:dyDescent="0.3"/>
    <row r="1119" ht="16.5" hidden="1" customHeight="1" x14ac:dyDescent="0.3"/>
    <row r="1120" ht="16.5" hidden="1" customHeight="1" x14ac:dyDescent="0.3"/>
    <row r="1121" ht="16.5" hidden="1" customHeight="1" x14ac:dyDescent="0.3"/>
    <row r="1122" ht="16.5" hidden="1" customHeight="1" x14ac:dyDescent="0.3"/>
    <row r="1123" ht="16.5" hidden="1" customHeight="1" x14ac:dyDescent="0.3"/>
    <row r="1124" ht="16.5" hidden="1" customHeight="1" x14ac:dyDescent="0.3"/>
    <row r="1125" ht="16.5" hidden="1" customHeight="1" x14ac:dyDescent="0.3"/>
    <row r="1126" ht="16.5" hidden="1" customHeight="1" x14ac:dyDescent="0.3"/>
    <row r="1127" ht="16.5" hidden="1" customHeight="1" x14ac:dyDescent="0.3"/>
    <row r="1128" ht="16.5" hidden="1" customHeight="1" x14ac:dyDescent="0.3"/>
    <row r="1129" ht="16.5" hidden="1" customHeight="1" x14ac:dyDescent="0.3"/>
    <row r="1130" ht="16.5" hidden="1" customHeight="1" x14ac:dyDescent="0.3"/>
    <row r="1131" ht="16.5" hidden="1" customHeight="1" x14ac:dyDescent="0.3"/>
    <row r="1132" ht="16.5" hidden="1" customHeight="1" x14ac:dyDescent="0.3"/>
    <row r="1133" ht="16.5" hidden="1" customHeight="1" x14ac:dyDescent="0.3"/>
    <row r="1134" ht="16.5" hidden="1" customHeight="1" x14ac:dyDescent="0.3"/>
    <row r="1135" ht="16.5" hidden="1" customHeight="1" x14ac:dyDescent="0.3"/>
    <row r="1136" ht="16.5" hidden="1" customHeight="1" x14ac:dyDescent="0.3"/>
    <row r="1137" ht="16.5" hidden="1" customHeight="1" x14ac:dyDescent="0.3"/>
    <row r="1138" ht="16.5" hidden="1" customHeight="1" x14ac:dyDescent="0.3"/>
    <row r="1139" ht="16.5" hidden="1" customHeight="1" x14ac:dyDescent="0.3"/>
    <row r="1140" ht="16.5" hidden="1" customHeight="1" x14ac:dyDescent="0.3"/>
    <row r="1141" ht="16.5" hidden="1" customHeight="1" x14ac:dyDescent="0.3"/>
    <row r="1142" ht="16.5" hidden="1" customHeight="1" x14ac:dyDescent="0.3"/>
    <row r="1143" ht="16.5" hidden="1" customHeight="1" x14ac:dyDescent="0.3"/>
    <row r="1144" ht="16.5" hidden="1" customHeight="1" x14ac:dyDescent="0.3"/>
    <row r="1145" ht="16.5" hidden="1" customHeight="1" x14ac:dyDescent="0.3"/>
    <row r="1146" ht="16.5" hidden="1" customHeight="1" x14ac:dyDescent="0.3"/>
    <row r="1147" ht="16.5" hidden="1" customHeight="1" x14ac:dyDescent="0.3"/>
    <row r="1148" ht="16.5" hidden="1" customHeight="1" x14ac:dyDescent="0.3"/>
    <row r="1149" ht="16.5" hidden="1" customHeight="1" x14ac:dyDescent="0.3"/>
    <row r="1150" ht="16.5" hidden="1" customHeight="1" x14ac:dyDescent="0.3"/>
    <row r="1151" ht="16.5" hidden="1" customHeight="1" x14ac:dyDescent="0.3"/>
    <row r="1152" ht="16.5" hidden="1" customHeight="1" x14ac:dyDescent="0.3"/>
    <row r="1153" ht="16.5" hidden="1" customHeight="1" x14ac:dyDescent="0.3"/>
    <row r="1154" ht="16.5" hidden="1" customHeight="1" x14ac:dyDescent="0.3"/>
    <row r="1155" ht="16.5" hidden="1" customHeight="1" x14ac:dyDescent="0.3"/>
    <row r="1156" ht="16.5" hidden="1" customHeight="1" x14ac:dyDescent="0.3"/>
    <row r="1157" ht="16.5" hidden="1" customHeight="1" x14ac:dyDescent="0.3"/>
    <row r="1158" ht="16.5" hidden="1" customHeight="1" x14ac:dyDescent="0.3"/>
    <row r="1159" ht="16.5" hidden="1" customHeight="1" x14ac:dyDescent="0.3"/>
    <row r="1160" ht="16.5" hidden="1" customHeight="1" x14ac:dyDescent="0.3"/>
    <row r="1161" ht="16.5" hidden="1" customHeight="1" x14ac:dyDescent="0.3"/>
    <row r="1162" ht="16.5" hidden="1" customHeight="1" x14ac:dyDescent="0.3"/>
    <row r="1163" ht="16.5" hidden="1" customHeight="1" x14ac:dyDescent="0.3"/>
    <row r="1164" ht="16.5" hidden="1" customHeight="1" x14ac:dyDescent="0.3"/>
    <row r="1165" ht="16.5" hidden="1" customHeight="1" x14ac:dyDescent="0.3"/>
    <row r="1166" ht="16.5" hidden="1" customHeight="1" x14ac:dyDescent="0.3"/>
    <row r="1167" ht="16.5" hidden="1" customHeight="1" x14ac:dyDescent="0.3"/>
    <row r="1168" ht="16.5" hidden="1" customHeight="1" x14ac:dyDescent="0.3"/>
    <row r="1169" ht="16.5" hidden="1" customHeight="1" x14ac:dyDescent="0.3"/>
    <row r="1170" ht="16.5" hidden="1" customHeight="1" x14ac:dyDescent="0.3"/>
    <row r="1171" ht="16.5" hidden="1" customHeight="1" x14ac:dyDescent="0.3"/>
    <row r="1172" ht="16.5" hidden="1" customHeight="1" x14ac:dyDescent="0.3"/>
    <row r="1173" ht="16.5" hidden="1" customHeight="1" x14ac:dyDescent="0.3"/>
    <row r="1174" ht="16.5" hidden="1" customHeight="1" x14ac:dyDescent="0.3"/>
    <row r="1175" ht="16.5" hidden="1" customHeight="1" x14ac:dyDescent="0.3"/>
    <row r="1176" ht="16.5" hidden="1" customHeight="1" x14ac:dyDescent="0.3"/>
    <row r="1177" ht="16.5" hidden="1" customHeight="1" x14ac:dyDescent="0.3"/>
    <row r="1178" ht="16.5" hidden="1" customHeight="1" x14ac:dyDescent="0.3"/>
    <row r="1179" ht="16.5" hidden="1" customHeight="1" x14ac:dyDescent="0.3"/>
    <row r="1180" ht="16.5" hidden="1" customHeight="1" x14ac:dyDescent="0.3"/>
    <row r="1181" ht="16.5" hidden="1" customHeight="1" x14ac:dyDescent="0.3"/>
    <row r="1182" ht="16.5" hidden="1" customHeight="1" x14ac:dyDescent="0.3"/>
    <row r="1183" ht="16.5" hidden="1" customHeight="1" x14ac:dyDescent="0.3"/>
    <row r="1184" ht="16.5" hidden="1" customHeight="1" x14ac:dyDescent="0.3"/>
    <row r="1185" ht="16.5" hidden="1" customHeight="1" x14ac:dyDescent="0.3"/>
    <row r="1186" ht="16.5" hidden="1" customHeight="1" x14ac:dyDescent="0.3"/>
    <row r="1187" ht="16.5" hidden="1" customHeight="1" x14ac:dyDescent="0.3"/>
    <row r="1188" ht="16.5" hidden="1" customHeight="1" x14ac:dyDescent="0.3"/>
    <row r="1189" ht="16.5" hidden="1" customHeight="1" x14ac:dyDescent="0.3"/>
    <row r="1190" ht="16.5" hidden="1" customHeight="1" x14ac:dyDescent="0.3"/>
    <row r="1191" ht="16.5" hidden="1" customHeight="1" x14ac:dyDescent="0.3"/>
    <row r="1192" ht="16.5" hidden="1" customHeight="1" x14ac:dyDescent="0.3"/>
    <row r="1193" ht="16.5" hidden="1" customHeight="1" x14ac:dyDescent="0.3"/>
    <row r="1194" ht="16.5" hidden="1" customHeight="1" x14ac:dyDescent="0.3"/>
    <row r="1195" ht="16.5" hidden="1" customHeight="1" x14ac:dyDescent="0.3"/>
    <row r="1196" ht="16.5" hidden="1" customHeight="1" x14ac:dyDescent="0.3"/>
    <row r="1197" ht="16.5" hidden="1" customHeight="1" x14ac:dyDescent="0.3"/>
    <row r="1198" ht="16.5" hidden="1" customHeight="1" x14ac:dyDescent="0.3"/>
    <row r="1199" ht="16.5" hidden="1" customHeight="1" x14ac:dyDescent="0.3"/>
    <row r="1200" ht="16.5" hidden="1" customHeight="1" x14ac:dyDescent="0.3"/>
    <row r="1201" ht="16.5" hidden="1" customHeight="1" x14ac:dyDescent="0.3"/>
    <row r="1202" ht="16.5" hidden="1" customHeight="1" x14ac:dyDescent="0.3"/>
    <row r="1203" ht="16.5" hidden="1" customHeight="1" x14ac:dyDescent="0.3"/>
    <row r="1204" ht="16.5" hidden="1" customHeight="1" x14ac:dyDescent="0.3"/>
    <row r="1205" ht="16.5" hidden="1" customHeight="1" x14ac:dyDescent="0.3"/>
    <row r="1206" ht="16.5" hidden="1" customHeight="1" x14ac:dyDescent="0.3"/>
    <row r="1207" ht="16.5" hidden="1" customHeight="1" x14ac:dyDescent="0.3"/>
    <row r="1208" ht="16.5" hidden="1" customHeight="1" x14ac:dyDescent="0.3"/>
    <row r="1209" ht="16.5" hidden="1" customHeight="1" x14ac:dyDescent="0.3"/>
    <row r="1210" ht="16.5" hidden="1" customHeight="1" x14ac:dyDescent="0.3"/>
    <row r="1211" ht="16.5" hidden="1" customHeight="1" x14ac:dyDescent="0.3"/>
    <row r="1212" ht="16.5" hidden="1" customHeight="1" x14ac:dyDescent="0.3"/>
    <row r="1213" ht="16.5" hidden="1" customHeight="1" x14ac:dyDescent="0.3"/>
    <row r="1214" ht="16.5" hidden="1" customHeight="1" x14ac:dyDescent="0.3"/>
    <row r="1215" ht="16.5" hidden="1" customHeight="1" x14ac:dyDescent="0.3"/>
    <row r="1216" ht="16.5" hidden="1" customHeight="1" x14ac:dyDescent="0.3"/>
    <row r="1217" ht="16.5" hidden="1" customHeight="1" x14ac:dyDescent="0.3"/>
    <row r="1218" ht="16.5" hidden="1" customHeight="1" x14ac:dyDescent="0.3"/>
    <row r="1219" ht="16.5" hidden="1" customHeight="1" x14ac:dyDescent="0.3"/>
    <row r="1220" ht="16.5" hidden="1" customHeight="1" x14ac:dyDescent="0.3"/>
    <row r="1221" ht="16.5" hidden="1" customHeight="1" x14ac:dyDescent="0.3"/>
    <row r="1222" ht="16.5" hidden="1" customHeight="1" x14ac:dyDescent="0.3"/>
    <row r="1223" ht="16.5" hidden="1" customHeight="1" x14ac:dyDescent="0.3"/>
    <row r="1224" ht="16.5" hidden="1" customHeight="1" x14ac:dyDescent="0.3"/>
    <row r="1225" ht="16.5" hidden="1" customHeight="1" x14ac:dyDescent="0.3"/>
    <row r="1226" ht="16.5" hidden="1" customHeight="1" x14ac:dyDescent="0.3"/>
    <row r="1227" ht="16.5" hidden="1" customHeight="1" x14ac:dyDescent="0.3"/>
    <row r="1228" ht="16.5" hidden="1" customHeight="1" x14ac:dyDescent="0.3"/>
    <row r="1229" ht="16.5" hidden="1" customHeight="1" x14ac:dyDescent="0.3"/>
    <row r="1230" ht="16.5" hidden="1" customHeight="1" x14ac:dyDescent="0.3"/>
    <row r="1231" ht="16.5" hidden="1" customHeight="1" x14ac:dyDescent="0.3"/>
    <row r="1232" ht="16.5" hidden="1" customHeight="1" x14ac:dyDescent="0.3"/>
    <row r="1233" ht="16.5" hidden="1" customHeight="1" x14ac:dyDescent="0.3"/>
    <row r="1234" ht="16.5" hidden="1" customHeight="1" x14ac:dyDescent="0.3"/>
    <row r="1235" ht="16.5" hidden="1" customHeight="1" x14ac:dyDescent="0.3"/>
    <row r="1236" ht="16.5" hidden="1" customHeight="1" x14ac:dyDescent="0.3"/>
    <row r="1237" ht="16.5" hidden="1" customHeight="1" x14ac:dyDescent="0.3"/>
    <row r="1238" ht="16.5" hidden="1" customHeight="1" x14ac:dyDescent="0.3"/>
    <row r="1239" ht="16.5" hidden="1" customHeight="1" x14ac:dyDescent="0.3"/>
    <row r="1240" ht="16.5" hidden="1" customHeight="1" x14ac:dyDescent="0.3"/>
    <row r="1241" ht="16.5" hidden="1" customHeight="1" x14ac:dyDescent="0.3"/>
    <row r="1242" ht="16.5" hidden="1" customHeight="1" x14ac:dyDescent="0.3"/>
    <row r="1243" ht="16.5" hidden="1" customHeight="1" x14ac:dyDescent="0.3"/>
    <row r="1244" ht="16.5" hidden="1" customHeight="1" x14ac:dyDescent="0.3"/>
    <row r="1245" ht="16.5" hidden="1" customHeight="1" x14ac:dyDescent="0.3"/>
    <row r="1246" ht="16.5" hidden="1" customHeight="1" x14ac:dyDescent="0.3"/>
    <row r="1247" ht="16.5" hidden="1" customHeight="1" x14ac:dyDescent="0.3"/>
    <row r="1248" ht="16.5" hidden="1" customHeight="1" x14ac:dyDescent="0.3"/>
    <row r="1249" ht="16.5" hidden="1" customHeight="1" x14ac:dyDescent="0.3"/>
    <row r="1250" ht="16.5" hidden="1" customHeight="1" x14ac:dyDescent="0.3"/>
    <row r="1251" ht="16.5" hidden="1" customHeight="1" x14ac:dyDescent="0.3"/>
    <row r="1252" ht="16.5" hidden="1" customHeight="1" x14ac:dyDescent="0.3"/>
    <row r="1253" ht="16.5" hidden="1" customHeight="1" x14ac:dyDescent="0.3"/>
    <row r="1254" ht="16.5" hidden="1" customHeight="1" x14ac:dyDescent="0.3"/>
    <row r="1255" ht="16.5" hidden="1" customHeight="1" x14ac:dyDescent="0.3"/>
    <row r="1256" ht="16.5" hidden="1" customHeight="1" x14ac:dyDescent="0.3"/>
    <row r="1257" ht="16.5" hidden="1" customHeight="1" x14ac:dyDescent="0.3"/>
    <row r="1258" ht="16.5" hidden="1" customHeight="1" x14ac:dyDescent="0.3"/>
    <row r="1259" ht="16.5" hidden="1" customHeight="1" x14ac:dyDescent="0.3"/>
    <row r="1260" ht="16.5" hidden="1" customHeight="1" x14ac:dyDescent="0.3"/>
    <row r="1261" ht="16.5" hidden="1" customHeight="1" x14ac:dyDescent="0.3"/>
    <row r="1262" ht="16.5" hidden="1" customHeight="1" x14ac:dyDescent="0.3"/>
    <row r="1263" ht="16.5" hidden="1" customHeight="1" x14ac:dyDescent="0.3"/>
    <row r="1264" ht="16.5" hidden="1" customHeight="1" x14ac:dyDescent="0.3"/>
    <row r="1265" ht="16.5" hidden="1" customHeight="1" x14ac:dyDescent="0.3"/>
    <row r="1266" ht="16.5" hidden="1" customHeight="1" x14ac:dyDescent="0.3"/>
    <row r="1267" ht="16.5" hidden="1" customHeight="1" x14ac:dyDescent="0.3"/>
    <row r="1268" ht="16.5" hidden="1" customHeight="1" x14ac:dyDescent="0.3"/>
    <row r="1269" ht="16.5" hidden="1" customHeight="1" x14ac:dyDescent="0.3"/>
    <row r="1270" ht="16.5" hidden="1" customHeight="1" x14ac:dyDescent="0.3"/>
    <row r="1271" ht="16.5" hidden="1" customHeight="1" x14ac:dyDescent="0.3"/>
    <row r="1272" ht="16.5" hidden="1" customHeight="1" x14ac:dyDescent="0.3"/>
    <row r="1273" ht="16.5" hidden="1" customHeight="1" x14ac:dyDescent="0.3"/>
    <row r="1274" ht="16.5" hidden="1" customHeight="1" x14ac:dyDescent="0.3"/>
    <row r="1275" ht="16.5" hidden="1" customHeight="1" x14ac:dyDescent="0.3"/>
    <row r="1276" ht="16.5" hidden="1" customHeight="1" x14ac:dyDescent="0.3"/>
    <row r="1277" ht="16.5" hidden="1" customHeight="1" x14ac:dyDescent="0.3"/>
    <row r="1278" ht="16.5" hidden="1" customHeight="1" x14ac:dyDescent="0.3"/>
    <row r="1279" ht="16.5" hidden="1" customHeight="1" x14ac:dyDescent="0.3"/>
    <row r="1280" ht="16.5" hidden="1" customHeight="1" x14ac:dyDescent="0.3"/>
    <row r="1281" ht="16.5" hidden="1" customHeight="1" x14ac:dyDescent="0.3"/>
    <row r="1282" ht="16.5" hidden="1" customHeight="1" x14ac:dyDescent="0.3"/>
    <row r="1283" ht="16.5" hidden="1" customHeight="1" x14ac:dyDescent="0.3"/>
    <row r="1284" ht="16.5" hidden="1" customHeight="1" x14ac:dyDescent="0.3"/>
    <row r="1285" ht="16.5" hidden="1" customHeight="1" x14ac:dyDescent="0.3"/>
    <row r="1286" ht="16.5" hidden="1" customHeight="1" x14ac:dyDescent="0.3"/>
    <row r="1287" ht="16.5" hidden="1" customHeight="1" x14ac:dyDescent="0.3"/>
    <row r="1288" ht="16.5" hidden="1" customHeight="1" x14ac:dyDescent="0.3"/>
    <row r="1289" ht="16.5" hidden="1" customHeight="1" x14ac:dyDescent="0.3"/>
    <row r="1290" ht="16.5" hidden="1" customHeight="1" x14ac:dyDescent="0.3"/>
    <row r="1291" ht="16.5" hidden="1" customHeight="1" x14ac:dyDescent="0.3"/>
    <row r="1292" ht="16.5" hidden="1" customHeight="1" x14ac:dyDescent="0.3"/>
    <row r="1293" ht="16.5" hidden="1" customHeight="1" x14ac:dyDescent="0.3"/>
    <row r="1294" ht="16.5" hidden="1" customHeight="1" x14ac:dyDescent="0.3"/>
    <row r="1295" ht="16.5" hidden="1" customHeight="1" x14ac:dyDescent="0.3"/>
    <row r="1296" ht="16.5" hidden="1" customHeight="1" x14ac:dyDescent="0.3"/>
    <row r="1297" ht="16.5" hidden="1" customHeight="1" x14ac:dyDescent="0.3"/>
    <row r="1298" ht="16.5" hidden="1" customHeight="1" x14ac:dyDescent="0.3"/>
    <row r="1299" ht="16.5" hidden="1" customHeight="1" x14ac:dyDescent="0.3"/>
    <row r="1300" ht="16.5" hidden="1" customHeight="1" x14ac:dyDescent="0.3"/>
    <row r="1301" ht="16.5" hidden="1" customHeight="1" x14ac:dyDescent="0.3"/>
    <row r="1302" ht="16.5" hidden="1" customHeight="1" x14ac:dyDescent="0.3"/>
    <row r="1303" ht="16.5" hidden="1" customHeight="1" x14ac:dyDescent="0.3"/>
    <row r="1304" ht="16.5" hidden="1" customHeight="1" x14ac:dyDescent="0.3"/>
    <row r="1305" ht="16.5" hidden="1" customHeight="1" x14ac:dyDescent="0.3"/>
    <row r="1306" ht="16.5" hidden="1" customHeight="1" x14ac:dyDescent="0.3"/>
    <row r="1307" ht="16.5" hidden="1" customHeight="1" x14ac:dyDescent="0.3"/>
    <row r="1308" ht="16.5" hidden="1" customHeight="1" x14ac:dyDescent="0.3"/>
    <row r="1309" ht="16.5" hidden="1" customHeight="1" x14ac:dyDescent="0.3"/>
    <row r="1310" ht="16.5" hidden="1" customHeight="1" x14ac:dyDescent="0.3"/>
    <row r="1311" ht="16.5" hidden="1" customHeight="1" x14ac:dyDescent="0.3"/>
    <row r="1312" ht="16.5" hidden="1" customHeight="1" x14ac:dyDescent="0.3"/>
    <row r="1313" ht="16.5" hidden="1" customHeight="1" x14ac:dyDescent="0.3"/>
    <row r="1314" ht="16.5" hidden="1" customHeight="1" x14ac:dyDescent="0.3"/>
    <row r="1315" ht="16.5" hidden="1" customHeight="1" x14ac:dyDescent="0.3"/>
    <row r="1316" ht="16.5" hidden="1" customHeight="1" x14ac:dyDescent="0.3"/>
    <row r="1317" ht="16.5" hidden="1" customHeight="1" x14ac:dyDescent="0.3"/>
    <row r="1318" ht="16.5" hidden="1" customHeight="1" x14ac:dyDescent="0.3"/>
    <row r="1319" ht="16.5" hidden="1" customHeight="1" x14ac:dyDescent="0.3"/>
    <row r="1320" ht="16.5" hidden="1" customHeight="1" x14ac:dyDescent="0.3"/>
    <row r="1321" ht="16.5" hidden="1" customHeight="1" x14ac:dyDescent="0.3"/>
    <row r="1322" ht="16.5" hidden="1" customHeight="1" x14ac:dyDescent="0.3"/>
    <row r="1323" ht="16.5" hidden="1" customHeight="1" x14ac:dyDescent="0.3"/>
    <row r="1324" ht="16.5" hidden="1" customHeight="1" x14ac:dyDescent="0.3"/>
    <row r="1325" ht="16.5" hidden="1" customHeight="1" x14ac:dyDescent="0.3"/>
    <row r="1326" ht="16.5" hidden="1" customHeight="1" x14ac:dyDescent="0.3"/>
    <row r="1327" ht="16.5" hidden="1" customHeight="1" x14ac:dyDescent="0.3"/>
    <row r="1328" ht="16.5" hidden="1" customHeight="1" x14ac:dyDescent="0.3"/>
    <row r="1329" ht="16.5" hidden="1" customHeight="1" x14ac:dyDescent="0.3"/>
    <row r="1330" ht="16.5" hidden="1" customHeight="1" x14ac:dyDescent="0.3"/>
    <row r="1331" ht="16.5" hidden="1" customHeight="1" x14ac:dyDescent="0.3"/>
    <row r="1332" ht="16.5" hidden="1" customHeight="1" x14ac:dyDescent="0.3"/>
    <row r="1333" ht="16.5" hidden="1" customHeight="1" x14ac:dyDescent="0.3"/>
    <row r="1334" ht="16.5" hidden="1" customHeight="1" x14ac:dyDescent="0.3"/>
    <row r="1335" ht="16.5" hidden="1" customHeight="1" x14ac:dyDescent="0.3"/>
    <row r="1336" ht="16.5" hidden="1" customHeight="1" x14ac:dyDescent="0.3"/>
    <row r="1337" ht="16.5" hidden="1" customHeight="1" x14ac:dyDescent="0.3"/>
    <row r="1338" ht="16.5" hidden="1" customHeight="1" x14ac:dyDescent="0.3"/>
    <row r="1339" ht="16.5" hidden="1" customHeight="1" x14ac:dyDescent="0.3"/>
    <row r="1340" ht="16.5" hidden="1" customHeight="1" x14ac:dyDescent="0.3"/>
    <row r="1341" ht="16.5" hidden="1" customHeight="1" x14ac:dyDescent="0.3"/>
    <row r="1342" ht="16.5" hidden="1" customHeight="1" x14ac:dyDescent="0.3"/>
    <row r="1343" ht="16.5" hidden="1" customHeight="1" x14ac:dyDescent="0.3"/>
    <row r="1344" ht="16.5" hidden="1" customHeight="1" x14ac:dyDescent="0.3"/>
    <row r="1345" ht="16.5" hidden="1" customHeight="1" x14ac:dyDescent="0.3"/>
    <row r="1346" ht="16.5" hidden="1" customHeight="1" x14ac:dyDescent="0.3"/>
    <row r="1347" ht="16.5" hidden="1" customHeight="1" x14ac:dyDescent="0.3"/>
    <row r="1348" ht="16.5" hidden="1" customHeight="1" x14ac:dyDescent="0.3"/>
    <row r="1349" ht="16.5" hidden="1" customHeight="1" x14ac:dyDescent="0.3"/>
    <row r="1350" ht="16.5" hidden="1" customHeight="1" x14ac:dyDescent="0.3"/>
    <row r="1351" ht="16.5" hidden="1" customHeight="1" x14ac:dyDescent="0.3"/>
    <row r="1352" ht="16.5" hidden="1" customHeight="1" x14ac:dyDescent="0.3"/>
    <row r="1353" ht="16.5" hidden="1" customHeight="1" x14ac:dyDescent="0.3"/>
    <row r="1354" ht="16.5" hidden="1" customHeight="1" x14ac:dyDescent="0.3"/>
    <row r="1355" ht="16.5" hidden="1" customHeight="1" x14ac:dyDescent="0.3"/>
    <row r="1356" ht="16.5" hidden="1" customHeight="1" x14ac:dyDescent="0.3"/>
    <row r="1357" ht="16.5" hidden="1" customHeight="1" x14ac:dyDescent="0.3"/>
    <row r="1358" ht="16.5" hidden="1" customHeight="1" x14ac:dyDescent="0.3"/>
    <row r="1359" ht="16.5" hidden="1" customHeight="1" x14ac:dyDescent="0.3"/>
    <row r="1360" ht="16.5" hidden="1" customHeight="1" x14ac:dyDescent="0.3"/>
    <row r="1361" ht="16.5" hidden="1" customHeight="1" x14ac:dyDescent="0.3"/>
    <row r="1362" ht="16.5" hidden="1" customHeight="1" x14ac:dyDescent="0.3"/>
    <row r="1363" ht="16.5" hidden="1" customHeight="1" x14ac:dyDescent="0.3"/>
    <row r="1364" ht="16.5" hidden="1" customHeight="1" x14ac:dyDescent="0.3"/>
    <row r="1365" ht="16.5" hidden="1" customHeight="1" x14ac:dyDescent="0.3"/>
    <row r="1366" ht="16.5" hidden="1" customHeight="1" x14ac:dyDescent="0.3"/>
    <row r="1367" ht="16.5" hidden="1" customHeight="1" x14ac:dyDescent="0.3"/>
    <row r="1368" ht="16.5" hidden="1" customHeight="1" x14ac:dyDescent="0.3"/>
    <row r="1369" ht="16.5" hidden="1" customHeight="1" x14ac:dyDescent="0.3"/>
    <row r="1370" ht="16.5" hidden="1" customHeight="1" x14ac:dyDescent="0.3"/>
    <row r="1371" ht="16.5" hidden="1" customHeight="1" x14ac:dyDescent="0.3"/>
    <row r="1372" ht="16.5" hidden="1" customHeight="1" x14ac:dyDescent="0.3"/>
    <row r="1373" ht="16.5" hidden="1" customHeight="1" x14ac:dyDescent="0.3"/>
    <row r="1374" ht="16.5" hidden="1" customHeight="1" x14ac:dyDescent="0.3"/>
    <row r="1375" ht="16.5" hidden="1" customHeight="1" x14ac:dyDescent="0.3"/>
    <row r="1376" ht="16.5" hidden="1" customHeight="1" x14ac:dyDescent="0.3"/>
    <row r="1377" ht="16.5" hidden="1" customHeight="1" x14ac:dyDescent="0.3"/>
    <row r="1378" ht="16.5" hidden="1" customHeight="1" x14ac:dyDescent="0.3"/>
    <row r="1379" ht="16.5" hidden="1" customHeight="1" x14ac:dyDescent="0.3"/>
    <row r="1380" ht="16.5" hidden="1" customHeight="1" x14ac:dyDescent="0.3"/>
    <row r="1381" ht="16.5" hidden="1" customHeight="1" x14ac:dyDescent="0.3"/>
    <row r="1382" ht="16.5" hidden="1" customHeight="1" x14ac:dyDescent="0.3"/>
    <row r="1383" ht="16.5" hidden="1" customHeight="1" x14ac:dyDescent="0.3"/>
    <row r="1384" ht="16.5" hidden="1" customHeight="1" x14ac:dyDescent="0.3"/>
    <row r="1385" ht="16.5" hidden="1" customHeight="1" x14ac:dyDescent="0.3"/>
    <row r="1386" ht="16.5" hidden="1" customHeight="1" x14ac:dyDescent="0.3"/>
    <row r="1387" ht="16.5" hidden="1" customHeight="1" x14ac:dyDescent="0.3"/>
    <row r="1388" ht="16.5" hidden="1" customHeight="1" x14ac:dyDescent="0.3"/>
    <row r="1389" ht="16.5" hidden="1" customHeight="1" x14ac:dyDescent="0.3"/>
    <row r="1390" ht="16.5" hidden="1" customHeight="1" x14ac:dyDescent="0.3"/>
    <row r="1391" ht="16.5" hidden="1" customHeight="1" x14ac:dyDescent="0.3"/>
    <row r="1392" ht="16.5" hidden="1" customHeight="1" x14ac:dyDescent="0.3"/>
    <row r="1393" ht="16.5" hidden="1" customHeight="1" x14ac:dyDescent="0.3"/>
    <row r="1394" ht="16.5" hidden="1" customHeight="1" x14ac:dyDescent="0.3"/>
    <row r="1395" ht="16.5" hidden="1" customHeight="1" x14ac:dyDescent="0.3"/>
    <row r="1396" ht="16.5" hidden="1" customHeight="1" x14ac:dyDescent="0.3"/>
    <row r="1397" ht="16.5" hidden="1" customHeight="1" x14ac:dyDescent="0.3"/>
    <row r="1398" ht="16.5" hidden="1" customHeight="1" x14ac:dyDescent="0.3"/>
    <row r="1399" ht="16.5" hidden="1" customHeight="1" x14ac:dyDescent="0.3"/>
    <row r="1400" ht="16.5" hidden="1" customHeight="1" x14ac:dyDescent="0.3"/>
    <row r="1401" ht="16.5" hidden="1" customHeight="1" x14ac:dyDescent="0.3"/>
    <row r="1402" ht="16.5" hidden="1" customHeight="1" x14ac:dyDescent="0.3"/>
    <row r="1403" ht="16.5" hidden="1" customHeight="1" x14ac:dyDescent="0.3"/>
    <row r="1404" ht="16.5" hidden="1" customHeight="1" x14ac:dyDescent="0.3"/>
    <row r="1405" ht="16.5" hidden="1" customHeight="1" x14ac:dyDescent="0.3"/>
    <row r="1406" ht="16.5" hidden="1" customHeight="1" x14ac:dyDescent="0.3"/>
    <row r="1407" ht="16.5" hidden="1" customHeight="1" x14ac:dyDescent="0.3"/>
    <row r="1408" ht="16.5" hidden="1" customHeight="1" x14ac:dyDescent="0.3"/>
    <row r="1409" ht="16.5" hidden="1" customHeight="1" x14ac:dyDescent="0.3"/>
    <row r="1410" ht="16.5" hidden="1" customHeight="1" x14ac:dyDescent="0.3"/>
    <row r="1411" ht="16.5" hidden="1" customHeight="1" x14ac:dyDescent="0.3"/>
    <row r="1412" ht="16.5" hidden="1" customHeight="1" x14ac:dyDescent="0.3"/>
    <row r="1413" ht="16.5" hidden="1" customHeight="1" x14ac:dyDescent="0.3"/>
    <row r="1414" ht="16.5" hidden="1" customHeight="1" x14ac:dyDescent="0.3"/>
    <row r="1415" ht="16.5" hidden="1" customHeight="1" x14ac:dyDescent="0.3"/>
    <row r="1416" ht="16.5" hidden="1" customHeight="1" x14ac:dyDescent="0.3"/>
    <row r="1417" ht="16.5" hidden="1" customHeight="1" x14ac:dyDescent="0.3"/>
    <row r="1418" ht="16.5" hidden="1" customHeight="1" x14ac:dyDescent="0.3"/>
    <row r="1419" ht="16.5" hidden="1" customHeight="1" x14ac:dyDescent="0.3"/>
    <row r="1420" ht="16.5" hidden="1" customHeight="1" x14ac:dyDescent="0.3"/>
    <row r="1421" ht="16.5" hidden="1" customHeight="1" x14ac:dyDescent="0.3"/>
    <row r="1422" ht="16.5" hidden="1" customHeight="1" x14ac:dyDescent="0.3"/>
    <row r="1423" ht="16.5" hidden="1" customHeight="1" x14ac:dyDescent="0.3"/>
    <row r="1424" ht="16.5" hidden="1" customHeight="1" x14ac:dyDescent="0.3"/>
    <row r="1425" ht="16.5" hidden="1" customHeight="1" x14ac:dyDescent="0.3"/>
    <row r="1426" ht="16.5" hidden="1" customHeight="1" x14ac:dyDescent="0.3"/>
    <row r="1427" ht="16.5" hidden="1" customHeight="1" x14ac:dyDescent="0.3"/>
    <row r="1428" ht="16.5" hidden="1" customHeight="1" x14ac:dyDescent="0.3"/>
    <row r="1429" ht="16.5" hidden="1" customHeight="1" x14ac:dyDescent="0.3"/>
    <row r="1430" ht="16.5" hidden="1" customHeight="1" x14ac:dyDescent="0.3"/>
    <row r="1431" ht="16.5" hidden="1" customHeight="1" x14ac:dyDescent="0.3"/>
    <row r="1432" ht="16.5" hidden="1" customHeight="1" x14ac:dyDescent="0.3"/>
    <row r="1433" ht="16.5" hidden="1" customHeight="1" x14ac:dyDescent="0.3"/>
    <row r="1434" ht="16.5" hidden="1" customHeight="1" x14ac:dyDescent="0.3"/>
    <row r="1435" ht="16.5" hidden="1" customHeight="1" x14ac:dyDescent="0.3"/>
    <row r="1436" ht="16.5" hidden="1" customHeight="1" x14ac:dyDescent="0.3"/>
    <row r="1437" ht="16.5" hidden="1" customHeight="1" x14ac:dyDescent="0.3"/>
    <row r="1438" ht="16.5" hidden="1" customHeight="1" x14ac:dyDescent="0.3"/>
    <row r="1439" ht="16.5" hidden="1" customHeight="1" x14ac:dyDescent="0.3"/>
    <row r="1440" ht="16.5" hidden="1" customHeight="1" x14ac:dyDescent="0.3"/>
    <row r="1441" ht="16.5" hidden="1" customHeight="1" x14ac:dyDescent="0.3"/>
    <row r="1442" ht="16.5" hidden="1" customHeight="1" x14ac:dyDescent="0.3"/>
    <row r="1443" ht="16.5" hidden="1" customHeight="1" x14ac:dyDescent="0.3"/>
    <row r="1444" ht="16.5" hidden="1" customHeight="1" x14ac:dyDescent="0.3"/>
    <row r="1445" ht="16.5" hidden="1" customHeight="1" x14ac:dyDescent="0.3"/>
    <row r="1446" ht="16.5" hidden="1" customHeight="1" x14ac:dyDescent="0.3"/>
    <row r="1447" ht="16.5" hidden="1" customHeight="1" x14ac:dyDescent="0.3"/>
    <row r="1448" ht="16.5" hidden="1" customHeight="1" x14ac:dyDescent="0.3"/>
    <row r="1449" ht="16.5" hidden="1" customHeight="1" x14ac:dyDescent="0.3"/>
    <row r="1450" ht="16.5" hidden="1" customHeight="1" x14ac:dyDescent="0.3"/>
    <row r="1451" ht="16.5" hidden="1" customHeight="1" x14ac:dyDescent="0.3"/>
    <row r="1452" ht="16.5" hidden="1" customHeight="1" x14ac:dyDescent="0.3"/>
    <row r="1453" ht="16.5" hidden="1" customHeight="1" x14ac:dyDescent="0.3"/>
    <row r="1454" ht="16.5" hidden="1" customHeight="1" x14ac:dyDescent="0.3"/>
    <row r="1455" ht="16.5" hidden="1" customHeight="1" x14ac:dyDescent="0.3"/>
    <row r="1456" ht="16.5" hidden="1" customHeight="1" x14ac:dyDescent="0.3"/>
    <row r="1457" ht="16.5" hidden="1" customHeight="1" x14ac:dyDescent="0.3"/>
    <row r="1458" ht="16.5" hidden="1" customHeight="1" x14ac:dyDescent="0.3"/>
    <row r="1459" ht="16.5" hidden="1" customHeight="1" x14ac:dyDescent="0.3"/>
    <row r="1460" ht="16.5" hidden="1" customHeight="1" x14ac:dyDescent="0.3"/>
    <row r="1461" ht="16.5" hidden="1" customHeight="1" x14ac:dyDescent="0.3"/>
    <row r="1462" ht="16.5" hidden="1" customHeight="1" x14ac:dyDescent="0.3"/>
    <row r="1463" ht="16.5" hidden="1" customHeight="1" x14ac:dyDescent="0.3"/>
    <row r="1464" ht="16.5" hidden="1" customHeight="1" x14ac:dyDescent="0.3"/>
    <row r="1465" ht="16.5" hidden="1" customHeight="1" x14ac:dyDescent="0.3"/>
    <row r="1466" ht="16.5" hidden="1" customHeight="1" x14ac:dyDescent="0.3"/>
    <row r="1467" ht="16.5" hidden="1" customHeight="1" x14ac:dyDescent="0.3"/>
    <row r="1468" ht="16.5" hidden="1" customHeight="1" x14ac:dyDescent="0.3"/>
    <row r="1469" ht="16.5" hidden="1" customHeight="1" x14ac:dyDescent="0.3"/>
    <row r="1470" ht="16.5" hidden="1" customHeight="1" x14ac:dyDescent="0.3"/>
    <row r="1471" ht="16.5" hidden="1" customHeight="1" x14ac:dyDescent="0.3"/>
    <row r="1472" ht="16.5" hidden="1" customHeight="1" x14ac:dyDescent="0.3"/>
    <row r="1473" ht="16.5" hidden="1" customHeight="1" x14ac:dyDescent="0.3"/>
    <row r="1474" ht="16.5" hidden="1" customHeight="1" x14ac:dyDescent="0.3"/>
    <row r="1475" ht="16.5" hidden="1" customHeight="1" x14ac:dyDescent="0.3"/>
    <row r="1476" ht="16.5" hidden="1" customHeight="1" x14ac:dyDescent="0.3"/>
    <row r="1477" ht="16.5" hidden="1" customHeight="1" x14ac:dyDescent="0.3"/>
    <row r="1478" ht="16.5" hidden="1" customHeight="1" x14ac:dyDescent="0.3"/>
    <row r="1479" ht="16.5" hidden="1" customHeight="1" x14ac:dyDescent="0.3"/>
    <row r="1480" ht="16.5" hidden="1" customHeight="1" x14ac:dyDescent="0.3"/>
    <row r="1481" ht="16.5" hidden="1" customHeight="1" x14ac:dyDescent="0.3"/>
    <row r="1482" ht="16.5" hidden="1" customHeight="1" x14ac:dyDescent="0.3"/>
    <row r="1483" ht="16.5" hidden="1" customHeight="1" x14ac:dyDescent="0.3"/>
    <row r="1484" ht="16.5" hidden="1" customHeight="1" x14ac:dyDescent="0.3"/>
    <row r="1485" ht="16.5" hidden="1" customHeight="1" x14ac:dyDescent="0.3"/>
    <row r="1486" ht="16.5" hidden="1" customHeight="1" x14ac:dyDescent="0.3"/>
    <row r="1487" ht="16.5" hidden="1" customHeight="1" x14ac:dyDescent="0.3"/>
    <row r="1488" ht="16.5" hidden="1" customHeight="1" x14ac:dyDescent="0.3"/>
    <row r="1489" ht="16.5" hidden="1" customHeight="1" x14ac:dyDescent="0.3"/>
    <row r="1490" ht="16.5" hidden="1" customHeight="1" x14ac:dyDescent="0.3"/>
    <row r="1491" ht="16.5" hidden="1" customHeight="1" x14ac:dyDescent="0.3"/>
    <row r="1492" ht="16.5" hidden="1" customHeight="1" x14ac:dyDescent="0.3"/>
    <row r="1493" ht="16.5" hidden="1" customHeight="1" x14ac:dyDescent="0.3"/>
    <row r="1494" ht="16.5" hidden="1" customHeight="1" x14ac:dyDescent="0.3"/>
    <row r="1495" ht="16.5" hidden="1" customHeight="1" x14ac:dyDescent="0.3"/>
    <row r="1496" ht="16.5" hidden="1" customHeight="1" x14ac:dyDescent="0.3"/>
    <row r="1497" ht="16.5" hidden="1" customHeight="1" x14ac:dyDescent="0.3"/>
    <row r="1498" ht="16.5" hidden="1" customHeight="1" x14ac:dyDescent="0.3"/>
    <row r="1499" ht="16.5" hidden="1" customHeight="1" x14ac:dyDescent="0.3"/>
    <row r="1500" ht="16.5" hidden="1" customHeight="1" x14ac:dyDescent="0.3"/>
    <row r="1501" ht="16.5" hidden="1" customHeight="1" x14ac:dyDescent="0.3"/>
    <row r="1502" ht="16.5" hidden="1" customHeight="1" x14ac:dyDescent="0.3"/>
    <row r="1503" ht="16.5" hidden="1" customHeight="1" x14ac:dyDescent="0.3"/>
    <row r="1504" ht="16.5" hidden="1" customHeight="1" x14ac:dyDescent="0.3"/>
    <row r="1505" ht="16.5" hidden="1" customHeight="1" x14ac:dyDescent="0.3"/>
    <row r="1506" ht="16.5" hidden="1" customHeight="1" x14ac:dyDescent="0.3"/>
    <row r="1507" ht="16.5" hidden="1" customHeight="1" x14ac:dyDescent="0.3"/>
    <row r="1508" ht="16.5" hidden="1" customHeight="1" x14ac:dyDescent="0.3"/>
    <row r="1509" ht="16.5" hidden="1" customHeight="1" x14ac:dyDescent="0.3"/>
    <row r="1510" ht="16.5" hidden="1" customHeight="1" x14ac:dyDescent="0.3"/>
    <row r="1511" ht="16.5" hidden="1" customHeight="1" x14ac:dyDescent="0.3"/>
    <row r="1512" ht="16.5" hidden="1" customHeight="1" x14ac:dyDescent="0.3"/>
    <row r="1513" ht="16.5" hidden="1" customHeight="1" x14ac:dyDescent="0.3"/>
    <row r="1514" ht="16.5" hidden="1" customHeight="1" x14ac:dyDescent="0.3"/>
    <row r="1515" ht="16.5" hidden="1" customHeight="1" x14ac:dyDescent="0.3"/>
    <row r="1516" ht="16.5" hidden="1" customHeight="1" x14ac:dyDescent="0.3"/>
    <row r="1517" ht="16.5" hidden="1" customHeight="1" x14ac:dyDescent="0.3"/>
    <row r="1518" ht="16.5" hidden="1" customHeight="1" x14ac:dyDescent="0.3"/>
    <row r="1519" ht="16.5" hidden="1" customHeight="1" x14ac:dyDescent="0.3"/>
    <row r="1520" ht="16.5" hidden="1" customHeight="1" x14ac:dyDescent="0.3"/>
    <row r="1521" ht="16.5" hidden="1" customHeight="1" x14ac:dyDescent="0.3"/>
    <row r="1522" ht="16.5" hidden="1" customHeight="1" x14ac:dyDescent="0.3"/>
    <row r="1523" ht="16.5" hidden="1" customHeight="1" x14ac:dyDescent="0.3"/>
    <row r="1524" ht="16.5" hidden="1" customHeight="1" x14ac:dyDescent="0.3"/>
    <row r="1525" ht="16.5" hidden="1" customHeight="1" x14ac:dyDescent="0.3"/>
    <row r="1526" ht="16.5" hidden="1" customHeight="1" x14ac:dyDescent="0.3"/>
    <row r="1527" ht="16.5" hidden="1" customHeight="1" x14ac:dyDescent="0.3"/>
    <row r="1528" ht="16.5" hidden="1" customHeight="1" x14ac:dyDescent="0.3"/>
    <row r="1529" ht="16.5" hidden="1" customHeight="1" x14ac:dyDescent="0.3"/>
    <row r="1530" ht="16.5" hidden="1" customHeight="1" x14ac:dyDescent="0.3"/>
    <row r="1531" ht="16.5" hidden="1" customHeight="1" x14ac:dyDescent="0.3"/>
    <row r="1532" ht="16.5" hidden="1" customHeight="1" x14ac:dyDescent="0.3"/>
    <row r="1533" ht="16.5" hidden="1" customHeight="1" x14ac:dyDescent="0.3"/>
    <row r="1534" ht="16.5" hidden="1" customHeight="1" x14ac:dyDescent="0.3"/>
    <row r="1535" ht="16.5" hidden="1" customHeight="1" x14ac:dyDescent="0.3"/>
    <row r="1536" ht="16.5" hidden="1" customHeight="1" x14ac:dyDescent="0.3"/>
    <row r="1537" ht="16.5" hidden="1" customHeight="1" x14ac:dyDescent="0.3"/>
    <row r="1538" ht="16.5" hidden="1" customHeight="1" x14ac:dyDescent="0.3"/>
    <row r="1539" ht="16.5" hidden="1" customHeight="1" x14ac:dyDescent="0.3"/>
    <row r="1540" ht="16.5" hidden="1" customHeight="1" x14ac:dyDescent="0.3"/>
    <row r="1541" ht="16.5" hidden="1" customHeight="1" x14ac:dyDescent="0.3"/>
    <row r="1542" ht="16.5" hidden="1" customHeight="1" x14ac:dyDescent="0.3"/>
    <row r="1543" ht="16.5" hidden="1" customHeight="1" x14ac:dyDescent="0.3"/>
    <row r="1544" ht="16.5" hidden="1" customHeight="1" x14ac:dyDescent="0.3"/>
    <row r="1545" ht="16.5" hidden="1" customHeight="1" x14ac:dyDescent="0.3"/>
    <row r="1546" ht="16.5" hidden="1" customHeight="1" x14ac:dyDescent="0.3"/>
    <row r="1547" ht="16.5" hidden="1" customHeight="1" x14ac:dyDescent="0.3"/>
    <row r="1548" ht="16.5" hidden="1" customHeight="1" x14ac:dyDescent="0.3"/>
    <row r="1549" ht="16.5" hidden="1" customHeight="1" x14ac:dyDescent="0.3"/>
    <row r="1550" ht="16.5" hidden="1" customHeight="1" x14ac:dyDescent="0.3"/>
    <row r="1551" ht="16.5" hidden="1" customHeight="1" x14ac:dyDescent="0.3"/>
    <row r="1552" ht="16.5" hidden="1" customHeight="1" x14ac:dyDescent="0.3"/>
    <row r="1553" ht="16.5" hidden="1" customHeight="1" x14ac:dyDescent="0.3"/>
    <row r="1554" ht="16.5" hidden="1" customHeight="1" x14ac:dyDescent="0.3"/>
    <row r="1555" ht="16.5" hidden="1" customHeight="1" x14ac:dyDescent="0.3"/>
    <row r="1556" ht="16.5" hidden="1" customHeight="1" x14ac:dyDescent="0.3"/>
    <row r="1557" ht="16.5" hidden="1" customHeight="1" x14ac:dyDescent="0.3"/>
    <row r="1558" ht="16.5" hidden="1" customHeight="1" x14ac:dyDescent="0.3"/>
    <row r="1559" ht="16.5" hidden="1" customHeight="1" x14ac:dyDescent="0.3"/>
    <row r="1560" ht="16.5" hidden="1" customHeight="1" x14ac:dyDescent="0.3"/>
    <row r="1561" ht="16.5" hidden="1" customHeight="1" x14ac:dyDescent="0.3"/>
    <row r="1562" ht="16.5" hidden="1" customHeight="1" x14ac:dyDescent="0.3"/>
    <row r="1563" ht="16.5" hidden="1" customHeight="1" x14ac:dyDescent="0.3"/>
    <row r="1564" ht="16.5" hidden="1" customHeight="1" x14ac:dyDescent="0.3"/>
    <row r="1565" ht="16.5" hidden="1" customHeight="1" x14ac:dyDescent="0.3"/>
    <row r="1566" ht="16.5" hidden="1" customHeight="1" x14ac:dyDescent="0.3"/>
    <row r="1567" ht="16.5" hidden="1" customHeight="1" x14ac:dyDescent="0.3"/>
    <row r="1568" ht="16.5" hidden="1" customHeight="1" x14ac:dyDescent="0.3"/>
    <row r="1569" ht="16.5" hidden="1" customHeight="1" x14ac:dyDescent="0.3"/>
    <row r="1570" ht="16.5" hidden="1" customHeight="1" x14ac:dyDescent="0.3"/>
    <row r="1571" ht="16.5" hidden="1" customHeight="1" x14ac:dyDescent="0.3"/>
    <row r="1572" ht="16.5" hidden="1" customHeight="1" x14ac:dyDescent="0.3"/>
    <row r="1573" ht="16.5" hidden="1" customHeight="1" x14ac:dyDescent="0.3"/>
    <row r="1574" ht="16.5" hidden="1" customHeight="1" x14ac:dyDescent="0.3"/>
    <row r="1575" ht="16.5" hidden="1" customHeight="1" x14ac:dyDescent="0.3"/>
    <row r="1576" ht="16.5" hidden="1" customHeight="1" x14ac:dyDescent="0.3"/>
    <row r="1577" ht="16.5" hidden="1" customHeight="1" x14ac:dyDescent="0.3"/>
    <row r="1578" ht="16.5" hidden="1" customHeight="1" x14ac:dyDescent="0.3"/>
    <row r="1579" ht="16.5" hidden="1" customHeight="1" x14ac:dyDescent="0.3"/>
    <row r="1580" ht="16.5" hidden="1" customHeight="1" x14ac:dyDescent="0.3"/>
    <row r="1581" ht="16.5" hidden="1" customHeight="1" x14ac:dyDescent="0.3"/>
    <row r="1582" ht="16.5" hidden="1" customHeight="1" x14ac:dyDescent="0.3"/>
    <row r="1583" ht="16.5" hidden="1" customHeight="1" x14ac:dyDescent="0.3"/>
    <row r="1584" ht="16.5" hidden="1" customHeight="1" x14ac:dyDescent="0.3"/>
    <row r="1585" ht="16.5" hidden="1" customHeight="1" x14ac:dyDescent="0.3"/>
    <row r="1586" ht="16.5" hidden="1" customHeight="1" x14ac:dyDescent="0.3"/>
    <row r="1587" ht="16.5" hidden="1" customHeight="1" x14ac:dyDescent="0.3"/>
    <row r="1588" ht="16.5" hidden="1" customHeight="1" x14ac:dyDescent="0.3"/>
    <row r="1589" ht="16.5" hidden="1" customHeight="1" x14ac:dyDescent="0.3"/>
    <row r="1590" ht="16.5" hidden="1" customHeight="1" x14ac:dyDescent="0.3"/>
    <row r="1591" ht="16.5" hidden="1" customHeight="1" x14ac:dyDescent="0.3"/>
    <row r="1592" ht="16.5" hidden="1" customHeight="1" x14ac:dyDescent="0.3"/>
    <row r="1593" ht="16.5" hidden="1" customHeight="1" x14ac:dyDescent="0.3"/>
    <row r="1594" ht="16.5" hidden="1" customHeight="1" x14ac:dyDescent="0.3"/>
    <row r="1595" ht="16.5" hidden="1" customHeight="1" x14ac:dyDescent="0.3"/>
    <row r="1596" ht="16.5" hidden="1" customHeight="1" x14ac:dyDescent="0.3"/>
    <row r="1597" ht="16.5" hidden="1" customHeight="1" x14ac:dyDescent="0.3"/>
    <row r="1598" ht="16.5" hidden="1" customHeight="1" x14ac:dyDescent="0.3"/>
    <row r="1599" ht="16.5" hidden="1" customHeight="1" x14ac:dyDescent="0.3"/>
    <row r="1600" ht="16.5" hidden="1" customHeight="1" x14ac:dyDescent="0.3"/>
    <row r="1601" ht="16.5" hidden="1" customHeight="1" x14ac:dyDescent="0.3"/>
    <row r="1602" ht="16.5" hidden="1" customHeight="1" x14ac:dyDescent="0.3"/>
    <row r="1603" ht="16.5" hidden="1" customHeight="1" x14ac:dyDescent="0.3"/>
    <row r="1604" ht="16.5" hidden="1" customHeight="1" x14ac:dyDescent="0.3"/>
    <row r="1605" ht="16.5" hidden="1" customHeight="1" x14ac:dyDescent="0.3"/>
    <row r="1606" ht="16.5" hidden="1" customHeight="1" x14ac:dyDescent="0.3"/>
    <row r="1607" ht="16.5" hidden="1" customHeight="1" x14ac:dyDescent="0.3"/>
    <row r="1608" ht="16.5" hidden="1" customHeight="1" x14ac:dyDescent="0.3"/>
    <row r="1609" ht="16.5" hidden="1" customHeight="1" x14ac:dyDescent="0.3"/>
    <row r="1610" ht="16.5" hidden="1" customHeight="1" x14ac:dyDescent="0.3"/>
    <row r="1611" ht="16.5" hidden="1" customHeight="1" x14ac:dyDescent="0.3"/>
    <row r="1612" ht="16.5" hidden="1" customHeight="1" x14ac:dyDescent="0.3"/>
    <row r="1613" ht="16.5" hidden="1" customHeight="1" x14ac:dyDescent="0.3"/>
    <row r="1614" ht="16.5" hidden="1" customHeight="1" x14ac:dyDescent="0.3"/>
    <row r="1615" ht="16.5" hidden="1" customHeight="1" x14ac:dyDescent="0.3"/>
    <row r="1616" ht="16.5" hidden="1" customHeight="1" x14ac:dyDescent="0.3"/>
    <row r="1617" ht="16.5" hidden="1" customHeight="1" x14ac:dyDescent="0.3"/>
    <row r="1618" ht="16.5" hidden="1" customHeight="1" x14ac:dyDescent="0.3"/>
    <row r="1619" ht="16.5" hidden="1" customHeight="1" x14ac:dyDescent="0.3"/>
    <row r="1620" ht="16.5" hidden="1" customHeight="1" x14ac:dyDescent="0.3"/>
    <row r="1621" ht="16.5" hidden="1" customHeight="1" x14ac:dyDescent="0.3"/>
    <row r="1622" ht="16.5" hidden="1" customHeight="1" x14ac:dyDescent="0.3"/>
    <row r="1623" ht="16.5" hidden="1" customHeight="1" x14ac:dyDescent="0.3"/>
    <row r="1624" ht="16.5" hidden="1" customHeight="1" x14ac:dyDescent="0.3"/>
    <row r="1625" ht="16.5" hidden="1" customHeight="1" x14ac:dyDescent="0.3"/>
    <row r="1626" ht="16.5" hidden="1" customHeight="1" x14ac:dyDescent="0.3"/>
    <row r="1627" ht="16.5" hidden="1" customHeight="1" x14ac:dyDescent="0.3"/>
    <row r="1628" ht="16.5" hidden="1" customHeight="1" x14ac:dyDescent="0.3"/>
    <row r="1629" ht="16.5" hidden="1" customHeight="1" x14ac:dyDescent="0.3"/>
    <row r="1630" ht="16.5" hidden="1" customHeight="1" x14ac:dyDescent="0.3"/>
    <row r="1631" ht="16.5" hidden="1" customHeight="1" x14ac:dyDescent="0.3"/>
    <row r="1632" ht="16.5" hidden="1" customHeight="1" x14ac:dyDescent="0.3"/>
    <row r="1633" ht="16.5" hidden="1" customHeight="1" x14ac:dyDescent="0.3"/>
    <row r="1634" ht="16.5" hidden="1" customHeight="1" x14ac:dyDescent="0.3"/>
    <row r="1635" ht="16.5" hidden="1" customHeight="1" x14ac:dyDescent="0.3"/>
    <row r="1636" ht="16.5" hidden="1" customHeight="1" x14ac:dyDescent="0.3"/>
    <row r="1637" ht="16.5" hidden="1" customHeight="1" x14ac:dyDescent="0.3"/>
    <row r="1638" ht="16.5" hidden="1" customHeight="1" x14ac:dyDescent="0.3"/>
    <row r="1639" ht="16.5" hidden="1" customHeight="1" x14ac:dyDescent="0.3"/>
    <row r="1640" ht="16.5" hidden="1" customHeight="1" x14ac:dyDescent="0.3"/>
    <row r="1641" ht="16.5" hidden="1" customHeight="1" x14ac:dyDescent="0.3"/>
    <row r="1642" ht="16.5" hidden="1" customHeight="1" x14ac:dyDescent="0.3"/>
    <row r="1643" ht="16.5" hidden="1" customHeight="1" x14ac:dyDescent="0.3"/>
    <row r="1644" ht="16.5" hidden="1" customHeight="1" x14ac:dyDescent="0.3"/>
    <row r="1645" ht="16.5" hidden="1" customHeight="1" x14ac:dyDescent="0.3"/>
    <row r="1646" ht="16.5" hidden="1" customHeight="1" x14ac:dyDescent="0.3"/>
    <row r="1647" ht="16.5" hidden="1" customHeight="1" x14ac:dyDescent="0.3"/>
    <row r="1648" ht="16.5" hidden="1" customHeight="1" x14ac:dyDescent="0.3"/>
    <row r="1649" ht="16.5" hidden="1" customHeight="1" x14ac:dyDescent="0.3"/>
    <row r="1650" ht="16.5" hidden="1" customHeight="1" x14ac:dyDescent="0.3"/>
    <row r="1651" ht="16.5" hidden="1" customHeight="1" x14ac:dyDescent="0.3"/>
    <row r="1652" ht="16.5" hidden="1" customHeight="1" x14ac:dyDescent="0.3"/>
    <row r="1653" ht="16.5" hidden="1" customHeight="1" x14ac:dyDescent="0.3"/>
    <row r="1654" ht="16.5" hidden="1" customHeight="1" x14ac:dyDescent="0.3"/>
    <row r="1655" ht="16.5" hidden="1" customHeight="1" x14ac:dyDescent="0.3"/>
    <row r="1656" ht="16.5" hidden="1" customHeight="1" x14ac:dyDescent="0.3"/>
    <row r="1657" ht="16.5" hidden="1" customHeight="1" x14ac:dyDescent="0.3"/>
    <row r="1658" ht="16.5" hidden="1" customHeight="1" x14ac:dyDescent="0.3"/>
    <row r="1659" ht="16.5" hidden="1" customHeight="1" x14ac:dyDescent="0.3"/>
    <row r="1660" ht="16.5" hidden="1" customHeight="1" x14ac:dyDescent="0.3"/>
    <row r="1661" ht="16.5" hidden="1" customHeight="1" x14ac:dyDescent="0.3"/>
    <row r="1662" ht="16.5" hidden="1" customHeight="1" x14ac:dyDescent="0.3"/>
    <row r="1663" ht="16.5" hidden="1" customHeight="1" x14ac:dyDescent="0.3"/>
    <row r="1664" ht="16.5" hidden="1" customHeight="1" x14ac:dyDescent="0.3"/>
    <row r="1665" ht="16.5" hidden="1" customHeight="1" x14ac:dyDescent="0.3"/>
    <row r="1666" ht="16.5" hidden="1" customHeight="1" x14ac:dyDescent="0.3"/>
    <row r="1667" ht="16.5" hidden="1" customHeight="1" x14ac:dyDescent="0.3"/>
    <row r="1668" ht="16.5" hidden="1" customHeight="1" x14ac:dyDescent="0.3"/>
    <row r="1669" ht="16.5" hidden="1" customHeight="1" x14ac:dyDescent="0.3"/>
    <row r="1670" ht="16.5" hidden="1" customHeight="1" x14ac:dyDescent="0.3"/>
    <row r="1671" ht="16.5" hidden="1" customHeight="1" x14ac:dyDescent="0.3"/>
    <row r="1672" ht="16.5" hidden="1" customHeight="1" x14ac:dyDescent="0.3"/>
    <row r="1673" ht="16.5" hidden="1" customHeight="1" x14ac:dyDescent="0.3"/>
    <row r="1674" ht="16.5" hidden="1" customHeight="1" x14ac:dyDescent="0.3"/>
    <row r="1675" ht="16.5" hidden="1" customHeight="1" x14ac:dyDescent="0.3"/>
    <row r="1676" ht="16.5" hidden="1" customHeight="1" x14ac:dyDescent="0.3"/>
    <row r="1677" ht="16.5" hidden="1" customHeight="1" x14ac:dyDescent="0.3"/>
    <row r="1678" ht="16.5" hidden="1" customHeight="1" x14ac:dyDescent="0.3"/>
    <row r="1679" ht="16.5" hidden="1" customHeight="1" x14ac:dyDescent="0.3"/>
    <row r="1680" ht="16.5" hidden="1" customHeight="1" x14ac:dyDescent="0.3"/>
    <row r="1681" ht="16.5" hidden="1" customHeight="1" x14ac:dyDescent="0.3"/>
    <row r="1682" ht="16.5" hidden="1" customHeight="1" x14ac:dyDescent="0.3"/>
    <row r="1683" ht="16.5" hidden="1" customHeight="1" x14ac:dyDescent="0.3"/>
    <row r="1684" ht="16.5" hidden="1" customHeight="1" x14ac:dyDescent="0.3"/>
    <row r="1685" ht="16.5" hidden="1" customHeight="1" x14ac:dyDescent="0.3"/>
    <row r="1686" ht="16.5" hidden="1" customHeight="1" x14ac:dyDescent="0.3"/>
    <row r="1687" ht="16.5" hidden="1" customHeight="1" x14ac:dyDescent="0.3"/>
    <row r="1688" ht="16.5" hidden="1" customHeight="1" x14ac:dyDescent="0.3"/>
    <row r="1689" ht="16.5" hidden="1" customHeight="1" x14ac:dyDescent="0.3"/>
    <row r="1690" ht="16.5" hidden="1" customHeight="1" x14ac:dyDescent="0.3"/>
    <row r="1691" ht="16.5" hidden="1" customHeight="1" x14ac:dyDescent="0.3"/>
    <row r="1692" ht="16.5" hidden="1" customHeight="1" x14ac:dyDescent="0.3"/>
    <row r="1693" ht="16.5" hidden="1" customHeight="1" x14ac:dyDescent="0.3"/>
    <row r="1694" ht="16.5" hidden="1" customHeight="1" x14ac:dyDescent="0.3"/>
    <row r="1695" ht="16.5" hidden="1" customHeight="1" x14ac:dyDescent="0.3"/>
    <row r="1696" ht="16.5" hidden="1" customHeight="1" x14ac:dyDescent="0.3"/>
    <row r="1697" ht="16.5" hidden="1" customHeight="1" x14ac:dyDescent="0.3"/>
    <row r="1698" ht="16.5" hidden="1" customHeight="1" x14ac:dyDescent="0.3"/>
    <row r="1699" ht="16.5" hidden="1" customHeight="1" x14ac:dyDescent="0.3"/>
    <row r="1700" ht="16.5" hidden="1" customHeight="1" x14ac:dyDescent="0.3"/>
    <row r="1701" ht="16.5" hidden="1" customHeight="1" x14ac:dyDescent="0.3"/>
    <row r="1702" ht="16.5" hidden="1" customHeight="1" x14ac:dyDescent="0.3"/>
    <row r="1703" ht="16.5" hidden="1" customHeight="1" x14ac:dyDescent="0.3"/>
    <row r="1704" ht="16.5" hidden="1" customHeight="1" x14ac:dyDescent="0.3"/>
    <row r="1705" ht="16.5" hidden="1" customHeight="1" x14ac:dyDescent="0.3"/>
    <row r="1706" ht="16.5" hidden="1" customHeight="1" x14ac:dyDescent="0.3"/>
    <row r="1707" ht="16.5" hidden="1" customHeight="1" x14ac:dyDescent="0.3"/>
    <row r="1708" ht="16.5" hidden="1" customHeight="1" x14ac:dyDescent="0.3"/>
    <row r="1709" ht="16.5" hidden="1" customHeight="1" x14ac:dyDescent="0.3"/>
    <row r="1710" ht="16.5" hidden="1" customHeight="1" x14ac:dyDescent="0.3"/>
    <row r="1711" ht="16.5" hidden="1" customHeight="1" x14ac:dyDescent="0.3"/>
    <row r="1712" ht="16.5" hidden="1" customHeight="1" x14ac:dyDescent="0.3"/>
    <row r="1713" ht="16.5" hidden="1" customHeight="1" x14ac:dyDescent="0.3"/>
    <row r="1714" ht="16.5" hidden="1" customHeight="1" x14ac:dyDescent="0.3"/>
    <row r="1715" ht="16.5" hidden="1" customHeight="1" x14ac:dyDescent="0.3"/>
    <row r="1716" ht="16.5" hidden="1" customHeight="1" x14ac:dyDescent="0.3"/>
    <row r="1717" ht="16.5" hidden="1" customHeight="1" x14ac:dyDescent="0.3"/>
    <row r="1718" ht="16.5" hidden="1" customHeight="1" x14ac:dyDescent="0.3"/>
    <row r="1719" ht="16.5" hidden="1" customHeight="1" x14ac:dyDescent="0.3"/>
    <row r="1720" ht="16.5" hidden="1" customHeight="1" x14ac:dyDescent="0.3"/>
    <row r="1721" ht="16.5" hidden="1" customHeight="1" x14ac:dyDescent="0.3"/>
    <row r="1722" ht="16.5" hidden="1" customHeight="1" x14ac:dyDescent="0.3"/>
    <row r="1723" ht="16.5" hidden="1" customHeight="1" x14ac:dyDescent="0.3"/>
    <row r="1724" ht="16.5" hidden="1" customHeight="1" x14ac:dyDescent="0.3"/>
    <row r="1725" ht="16.5" hidden="1" customHeight="1" x14ac:dyDescent="0.3"/>
    <row r="1726" ht="16.5" hidden="1" customHeight="1" x14ac:dyDescent="0.3"/>
    <row r="1727" ht="16.5" hidden="1" customHeight="1" x14ac:dyDescent="0.3"/>
    <row r="1728" ht="16.5" hidden="1" customHeight="1" x14ac:dyDescent="0.3"/>
    <row r="1729" spans="5:5" ht="16.5" hidden="1" customHeight="1" x14ac:dyDescent="0.3"/>
    <row r="1730" spans="5:5" ht="16.5" hidden="1" customHeight="1" x14ac:dyDescent="0.3"/>
    <row r="1731" spans="5:5" ht="16.5" hidden="1" customHeight="1" x14ac:dyDescent="0.3"/>
    <row r="1732" spans="5:5" ht="16.5" hidden="1" customHeight="1" x14ac:dyDescent="0.3"/>
    <row r="1733" spans="5:5" ht="16.5" hidden="1" customHeight="1" x14ac:dyDescent="0.3"/>
    <row r="1734" spans="5:5" ht="16.5" hidden="1" customHeight="1" x14ac:dyDescent="0.3"/>
    <row r="1735" spans="5:5" ht="16.5" hidden="1" customHeight="1" x14ac:dyDescent="0.3"/>
    <row r="1736" spans="5:5" ht="16.5" hidden="1" customHeight="1" x14ac:dyDescent="0.3"/>
    <row r="1737" spans="5:5" ht="16.5" hidden="1" customHeight="1" x14ac:dyDescent="0.3"/>
    <row r="1738" spans="5:5" ht="16.5" hidden="1" customHeight="1" x14ac:dyDescent="0.3"/>
    <row r="1739" spans="5:5" ht="16.5" hidden="1" customHeight="1" x14ac:dyDescent="0.3"/>
    <row r="1740" spans="5:5" ht="16.5" hidden="1" customHeight="1" x14ac:dyDescent="0.3"/>
    <row r="1741" spans="5:5" ht="16.5" hidden="1" customHeight="1" x14ac:dyDescent="0.3"/>
    <row r="1742" spans="5:5" ht="16.5" hidden="1" customHeight="1" x14ac:dyDescent="0.3"/>
    <row r="1743" spans="5:5" ht="16.5" hidden="1" customHeight="1" x14ac:dyDescent="0.3">
      <c r="E1743" s="63">
        <v>0</v>
      </c>
    </row>
  </sheetData>
  <sheetProtection algorithmName="SHA-512" hashValue="O84i7Q3wA5bJF08ioMyHIYOdzBTypbIcy3dovCHuiM1Dpf21q0JCrCilc0dyCtX9CiMbIX0sNvvr7MhcbYRHhQ==" saltValue="PKP4vT1/BsV6NDOIUtFgBA==" spinCount="100000" sheet="1" objects="1" scenarios="1"/>
  <sortState xmlns:xlrd2="http://schemas.microsoft.com/office/spreadsheetml/2017/richdata2" ref="J294:J297">
    <sortCondition ref="J294"/>
  </sortState>
  <mergeCells count="33">
    <mergeCell ref="D282:K283"/>
    <mergeCell ref="B279:K281"/>
    <mergeCell ref="A3:B4"/>
    <mergeCell ref="B5:B6"/>
    <mergeCell ref="B8:B10"/>
    <mergeCell ref="A59:A66"/>
    <mergeCell ref="F3:G3"/>
    <mergeCell ref="F5:G6"/>
    <mergeCell ref="C19:D20"/>
    <mergeCell ref="F19:G20"/>
    <mergeCell ref="B19:B20"/>
    <mergeCell ref="F22:G23"/>
    <mergeCell ref="C82:F82"/>
    <mergeCell ref="B111:F111"/>
    <mergeCell ref="C113:G113"/>
    <mergeCell ref="B144:F144"/>
    <mergeCell ref="G82:J82"/>
    <mergeCell ref="H113:K113"/>
    <mergeCell ref="G111:J111"/>
    <mergeCell ref="J144:K144"/>
    <mergeCell ref="B82:B83"/>
    <mergeCell ref="K19:K20"/>
    <mergeCell ref="I22:I23"/>
    <mergeCell ref="K22:K23"/>
    <mergeCell ref="H19:H20"/>
    <mergeCell ref="J19:J20"/>
    <mergeCell ref="J13:J14"/>
    <mergeCell ref="I13:I14"/>
    <mergeCell ref="H13:H14"/>
    <mergeCell ref="A69:A76"/>
    <mergeCell ref="E19:E20"/>
    <mergeCell ref="I19:I20"/>
    <mergeCell ref="A44:A56"/>
  </mergeCells>
  <conditionalFormatting sqref="C43:C44 C56 C54">
    <cfRule type="expression" dxfId="223" priority="184">
      <formula>$H$422=1</formula>
    </cfRule>
  </conditionalFormatting>
  <conditionalFormatting sqref="D43:D44 D58 D54">
    <cfRule type="expression" dxfId="222" priority="183">
      <formula>$H$423=1</formula>
    </cfRule>
  </conditionalFormatting>
  <conditionalFormatting sqref="E43:E44 E58 E54">
    <cfRule type="expression" dxfId="221" priority="182">
      <formula>$H$424=1</formula>
    </cfRule>
  </conditionalFormatting>
  <conditionalFormatting sqref="E45">
    <cfRule type="expression" dxfId="220" priority="181">
      <formula>$H$424=1</formula>
    </cfRule>
  </conditionalFormatting>
  <conditionalFormatting sqref="D76">
    <cfRule type="expression" dxfId="219" priority="170">
      <formula>$H$423=1</formula>
    </cfRule>
  </conditionalFormatting>
  <conditionalFormatting sqref="E56">
    <cfRule type="expression" dxfId="218" priority="180">
      <formula>$H$424=1</formula>
    </cfRule>
  </conditionalFormatting>
  <conditionalFormatting sqref="E69:E70">
    <cfRule type="expression" dxfId="217" priority="179">
      <formula>$H$424=1</formula>
    </cfRule>
  </conditionalFormatting>
  <conditionalFormatting sqref="E72">
    <cfRule type="expression" dxfId="216" priority="178">
      <formula>$H$424=1</formula>
    </cfRule>
  </conditionalFormatting>
  <conditionalFormatting sqref="E74">
    <cfRule type="expression" dxfId="215" priority="177">
      <formula>$H$424=1</formula>
    </cfRule>
  </conditionalFormatting>
  <conditionalFormatting sqref="E76">
    <cfRule type="expression" dxfId="214" priority="176">
      <formula>$H$424=1</formula>
    </cfRule>
  </conditionalFormatting>
  <conditionalFormatting sqref="D45">
    <cfRule type="expression" dxfId="213" priority="175">
      <formula>$H$423=1</formula>
    </cfRule>
  </conditionalFormatting>
  <conditionalFormatting sqref="C76">
    <cfRule type="expression" dxfId="212" priority="165">
      <formula>$H$422=1</formula>
    </cfRule>
  </conditionalFormatting>
  <conditionalFormatting sqref="D56">
    <cfRule type="expression" dxfId="211" priority="174">
      <formula>$H$423=1</formula>
    </cfRule>
  </conditionalFormatting>
  <conditionalFormatting sqref="D69:D70">
    <cfRule type="expression" dxfId="210" priority="173">
      <formula>$H$423=1</formula>
    </cfRule>
  </conditionalFormatting>
  <conditionalFormatting sqref="D72">
    <cfRule type="expression" dxfId="209" priority="172">
      <formula>$H$423=1</formula>
    </cfRule>
  </conditionalFormatting>
  <conditionalFormatting sqref="D74">
    <cfRule type="expression" dxfId="208" priority="171">
      <formula>$H$423=1</formula>
    </cfRule>
  </conditionalFormatting>
  <conditionalFormatting sqref="C45">
    <cfRule type="expression" dxfId="207" priority="169">
      <formula>$H$422=1</formula>
    </cfRule>
  </conditionalFormatting>
  <conditionalFormatting sqref="C69:C70">
    <cfRule type="expression" dxfId="206" priority="168">
      <formula>$H$422=1</formula>
    </cfRule>
  </conditionalFormatting>
  <conditionalFormatting sqref="C72">
    <cfRule type="expression" dxfId="205" priority="167">
      <formula>$H$422=1</formula>
    </cfRule>
  </conditionalFormatting>
  <conditionalFormatting sqref="C74">
    <cfRule type="expression" dxfId="204" priority="166">
      <formula>$H$422=1</formula>
    </cfRule>
  </conditionalFormatting>
  <conditionalFormatting sqref="F43:F44 F58 F54">
    <cfRule type="expression" dxfId="203" priority="164">
      <formula>$H$425=1</formula>
    </cfRule>
  </conditionalFormatting>
  <conditionalFormatting sqref="F45">
    <cfRule type="expression" dxfId="202" priority="163">
      <formula>$H$425=1</formula>
    </cfRule>
  </conditionalFormatting>
  <conditionalFormatting sqref="F56">
    <cfRule type="expression" dxfId="201" priority="162">
      <formula>$H$425=1</formula>
    </cfRule>
  </conditionalFormatting>
  <conditionalFormatting sqref="F69:F70">
    <cfRule type="expression" dxfId="200" priority="161">
      <formula>$H$425=1</formula>
    </cfRule>
  </conditionalFormatting>
  <conditionalFormatting sqref="F72">
    <cfRule type="expression" dxfId="199" priority="160">
      <formula>$H$425=1</formula>
    </cfRule>
  </conditionalFormatting>
  <conditionalFormatting sqref="F74">
    <cfRule type="expression" dxfId="198" priority="159">
      <formula>$H$425=1</formula>
    </cfRule>
  </conditionalFormatting>
  <conditionalFormatting sqref="F76">
    <cfRule type="expression" dxfId="197" priority="158">
      <formula>$H$425=1</formula>
    </cfRule>
  </conditionalFormatting>
  <conditionalFormatting sqref="G43:G44 G58 G54">
    <cfRule type="expression" dxfId="196" priority="157">
      <formula>$H$426=1</formula>
    </cfRule>
  </conditionalFormatting>
  <conditionalFormatting sqref="G45">
    <cfRule type="expression" dxfId="195" priority="156">
      <formula>$H$426=1</formula>
    </cfRule>
  </conditionalFormatting>
  <conditionalFormatting sqref="G56">
    <cfRule type="expression" dxfId="194" priority="155">
      <formula>$H$426=1</formula>
    </cfRule>
  </conditionalFormatting>
  <conditionalFormatting sqref="G69:G70">
    <cfRule type="expression" dxfId="193" priority="154">
      <formula>$H$426=1</formula>
    </cfRule>
  </conditionalFormatting>
  <conditionalFormatting sqref="G72">
    <cfRule type="expression" dxfId="192" priority="153">
      <formula>$H$426=1</formula>
    </cfRule>
  </conditionalFormatting>
  <conditionalFormatting sqref="G74">
    <cfRule type="expression" dxfId="191" priority="152">
      <formula>$H$426=1</formula>
    </cfRule>
  </conditionalFormatting>
  <conditionalFormatting sqref="G76">
    <cfRule type="expression" dxfId="190" priority="151">
      <formula>$H$426=1</formula>
    </cfRule>
  </conditionalFormatting>
  <conditionalFormatting sqref="H45">
    <cfRule type="expression" dxfId="189" priority="150">
      <formula>$H$427=1</formula>
    </cfRule>
  </conditionalFormatting>
  <conditionalFormatting sqref="H69:H70">
    <cfRule type="expression" dxfId="188" priority="149">
      <formula>$H$427=1</formula>
    </cfRule>
  </conditionalFormatting>
  <conditionalFormatting sqref="H56">
    <cfRule type="expression" dxfId="187" priority="148">
      <formula>$H$427=1</formula>
    </cfRule>
  </conditionalFormatting>
  <conditionalFormatting sqref="H72">
    <cfRule type="expression" dxfId="186" priority="147">
      <formula>$H$427=1</formula>
    </cfRule>
  </conditionalFormatting>
  <conditionalFormatting sqref="H74">
    <cfRule type="expression" dxfId="185" priority="146">
      <formula>$H$427=1</formula>
    </cfRule>
  </conditionalFormatting>
  <conditionalFormatting sqref="H76">
    <cfRule type="expression" dxfId="184" priority="145">
      <formula>$H$427=1</formula>
    </cfRule>
  </conditionalFormatting>
  <conditionalFormatting sqref="C58">
    <cfRule type="expression" dxfId="183" priority="144">
      <formula>$H$422=1</formula>
    </cfRule>
  </conditionalFormatting>
  <conditionalFormatting sqref="D56">
    <cfRule type="expression" dxfId="182" priority="143">
      <formula>H423=0</formula>
    </cfRule>
  </conditionalFormatting>
  <conditionalFormatting sqref="E56">
    <cfRule type="expression" dxfId="181" priority="142">
      <formula>H424=0</formula>
    </cfRule>
  </conditionalFormatting>
  <conditionalFormatting sqref="F56">
    <cfRule type="expression" dxfId="180" priority="141">
      <formula>H425=0</formula>
    </cfRule>
  </conditionalFormatting>
  <conditionalFormatting sqref="G56">
    <cfRule type="expression" dxfId="179" priority="140">
      <formula>H426=0</formula>
    </cfRule>
  </conditionalFormatting>
  <conditionalFormatting sqref="H56">
    <cfRule type="expression" dxfId="178" priority="139">
      <formula>H427=0</formula>
    </cfRule>
  </conditionalFormatting>
  <conditionalFormatting sqref="E46:E47">
    <cfRule type="expression" dxfId="177" priority="138">
      <formula>$H$424=1</formula>
    </cfRule>
  </conditionalFormatting>
  <conditionalFormatting sqref="D46:D47">
    <cfRule type="expression" dxfId="176" priority="137">
      <formula>$H$423=1</formula>
    </cfRule>
  </conditionalFormatting>
  <conditionalFormatting sqref="C46:C47">
    <cfRule type="expression" dxfId="175" priority="136">
      <formula>$H$422=1</formula>
    </cfRule>
  </conditionalFormatting>
  <conditionalFormatting sqref="F46:F47">
    <cfRule type="expression" dxfId="174" priority="135">
      <formula>$H$425=1</formula>
    </cfRule>
  </conditionalFormatting>
  <conditionalFormatting sqref="G46:G47">
    <cfRule type="expression" dxfId="173" priority="134">
      <formula>$H$426=1</formula>
    </cfRule>
  </conditionalFormatting>
  <conditionalFormatting sqref="H46:H47">
    <cfRule type="expression" dxfId="172" priority="133">
      <formula>$H$427=1</formula>
    </cfRule>
  </conditionalFormatting>
  <conditionalFormatting sqref="E50">
    <cfRule type="expression" dxfId="171" priority="132">
      <formula>$H$424=1</formula>
    </cfRule>
  </conditionalFormatting>
  <conditionalFormatting sqref="D50">
    <cfRule type="expression" dxfId="170" priority="131">
      <formula>$H$423=1</formula>
    </cfRule>
  </conditionalFormatting>
  <conditionalFormatting sqref="C50">
    <cfRule type="expression" dxfId="169" priority="130">
      <formula>$H$422=1</formula>
    </cfRule>
  </conditionalFormatting>
  <conditionalFormatting sqref="F50">
    <cfRule type="expression" dxfId="168" priority="129">
      <formula>$H$425=1</formula>
    </cfRule>
  </conditionalFormatting>
  <conditionalFormatting sqref="G50">
    <cfRule type="expression" dxfId="167" priority="128">
      <formula>$H$426=1</formula>
    </cfRule>
  </conditionalFormatting>
  <conditionalFormatting sqref="H50">
    <cfRule type="expression" dxfId="166" priority="127">
      <formula>$H$427=1</formula>
    </cfRule>
  </conditionalFormatting>
  <conditionalFormatting sqref="E77">
    <cfRule type="expression" dxfId="165" priority="126">
      <formula>$H$424=1</formula>
    </cfRule>
  </conditionalFormatting>
  <conditionalFormatting sqref="D77">
    <cfRule type="expression" dxfId="164" priority="125">
      <formula>$H$423=1</formula>
    </cfRule>
  </conditionalFormatting>
  <conditionalFormatting sqref="C77">
    <cfRule type="expression" dxfId="163" priority="124">
      <formula>$H$422=1</formula>
    </cfRule>
  </conditionalFormatting>
  <conditionalFormatting sqref="F77">
    <cfRule type="expression" dxfId="162" priority="123">
      <formula>$H$425=1</formula>
    </cfRule>
  </conditionalFormatting>
  <conditionalFormatting sqref="G77">
    <cfRule type="expression" dxfId="161" priority="122">
      <formula>$H$426=1</formula>
    </cfRule>
  </conditionalFormatting>
  <conditionalFormatting sqref="H77">
    <cfRule type="expression" dxfId="160" priority="121">
      <formula>$H$427=1</formula>
    </cfRule>
  </conditionalFormatting>
  <conditionalFormatting sqref="E68">
    <cfRule type="expression" dxfId="159" priority="120">
      <formula>$H$424=1</formula>
    </cfRule>
  </conditionalFormatting>
  <conditionalFormatting sqref="D68">
    <cfRule type="expression" dxfId="158" priority="119">
      <formula>$H$423=1</formula>
    </cfRule>
  </conditionalFormatting>
  <conditionalFormatting sqref="F68">
    <cfRule type="expression" dxfId="157" priority="118">
      <formula>$H$425=1</formula>
    </cfRule>
  </conditionalFormatting>
  <conditionalFormatting sqref="G68">
    <cfRule type="expression" dxfId="156" priority="117">
      <formula>$H$426=1</formula>
    </cfRule>
  </conditionalFormatting>
  <conditionalFormatting sqref="H68">
    <cfRule type="expression" dxfId="155" priority="116">
      <formula>$H$427=1</formula>
    </cfRule>
  </conditionalFormatting>
  <conditionalFormatting sqref="C68">
    <cfRule type="expression" dxfId="154" priority="115">
      <formula>$H$422=1</formula>
    </cfRule>
  </conditionalFormatting>
  <conditionalFormatting sqref="E57">
    <cfRule type="expression" dxfId="153" priority="114">
      <formula>$H$424=1</formula>
    </cfRule>
  </conditionalFormatting>
  <conditionalFormatting sqref="D57">
    <cfRule type="expression" dxfId="152" priority="113">
      <formula>$H$423=1</formula>
    </cfRule>
  </conditionalFormatting>
  <conditionalFormatting sqref="F57">
    <cfRule type="expression" dxfId="151" priority="112">
      <formula>$H$425=1</formula>
    </cfRule>
  </conditionalFormatting>
  <conditionalFormatting sqref="G57">
    <cfRule type="expression" dxfId="150" priority="111">
      <formula>$H$426=1</formula>
    </cfRule>
  </conditionalFormatting>
  <conditionalFormatting sqref="H57">
    <cfRule type="expression" dxfId="149" priority="110">
      <formula>$H$427=1</formula>
    </cfRule>
  </conditionalFormatting>
  <conditionalFormatting sqref="C57">
    <cfRule type="expression" dxfId="148" priority="109">
      <formula>$H$422=1</formula>
    </cfRule>
  </conditionalFormatting>
  <conditionalFormatting sqref="E52">
    <cfRule type="expression" dxfId="147" priority="108">
      <formula>$H$424=1</formula>
    </cfRule>
  </conditionalFormatting>
  <conditionalFormatting sqref="D52">
    <cfRule type="expression" dxfId="146" priority="107">
      <formula>$H$423=1</formula>
    </cfRule>
  </conditionalFormatting>
  <conditionalFormatting sqref="C52">
    <cfRule type="expression" dxfId="145" priority="106">
      <formula>$H$422=1</formula>
    </cfRule>
  </conditionalFormatting>
  <conditionalFormatting sqref="F52">
    <cfRule type="expression" dxfId="144" priority="105">
      <formula>$H$425=1</formula>
    </cfRule>
  </conditionalFormatting>
  <conditionalFormatting sqref="G52">
    <cfRule type="expression" dxfId="143" priority="104">
      <formula>$H$426=1</formula>
    </cfRule>
  </conditionalFormatting>
  <conditionalFormatting sqref="H52">
    <cfRule type="expression" dxfId="142" priority="103">
      <formula>$H$427=1</formula>
    </cfRule>
  </conditionalFormatting>
  <conditionalFormatting sqref="C64">
    <cfRule type="expression" dxfId="141" priority="102">
      <formula>$H$422=1</formula>
    </cfRule>
  </conditionalFormatting>
  <conditionalFormatting sqref="D64">
    <cfRule type="expression" dxfId="140" priority="101">
      <formula>$H$423=1</formula>
    </cfRule>
  </conditionalFormatting>
  <conditionalFormatting sqref="E64">
    <cfRule type="expression" dxfId="139" priority="100">
      <formula>$H$424=1</formula>
    </cfRule>
  </conditionalFormatting>
  <conditionalFormatting sqref="F64">
    <cfRule type="expression" dxfId="138" priority="99">
      <formula>$H$425=1</formula>
    </cfRule>
  </conditionalFormatting>
  <conditionalFormatting sqref="G64">
    <cfRule type="expression" dxfId="137" priority="98">
      <formula>$H$426=1</formula>
    </cfRule>
  </conditionalFormatting>
  <conditionalFormatting sqref="H64">
    <cfRule type="expression" dxfId="136" priority="97">
      <formula>$H$427=1</formula>
    </cfRule>
  </conditionalFormatting>
  <conditionalFormatting sqref="C60">
    <cfRule type="expression" dxfId="135" priority="96">
      <formula>$H$422=1</formula>
    </cfRule>
  </conditionalFormatting>
  <conditionalFormatting sqref="E60">
    <cfRule type="expression" dxfId="134" priority="95">
      <formula>$H$424=1</formula>
    </cfRule>
  </conditionalFormatting>
  <conditionalFormatting sqref="D60">
    <cfRule type="expression" dxfId="133" priority="94">
      <formula>$H$423=1</formula>
    </cfRule>
  </conditionalFormatting>
  <conditionalFormatting sqref="F60">
    <cfRule type="expression" dxfId="132" priority="93">
      <formula>$H$425=1</formula>
    </cfRule>
  </conditionalFormatting>
  <conditionalFormatting sqref="G60">
    <cfRule type="expression" dxfId="131" priority="92">
      <formula>$H$426=1</formula>
    </cfRule>
  </conditionalFormatting>
  <conditionalFormatting sqref="H60">
    <cfRule type="expression" dxfId="130" priority="91">
      <formula>$H$427=1</formula>
    </cfRule>
  </conditionalFormatting>
  <conditionalFormatting sqref="D60">
    <cfRule type="expression" dxfId="129" priority="90">
      <formula>H423=0</formula>
    </cfRule>
  </conditionalFormatting>
  <conditionalFormatting sqref="E60">
    <cfRule type="expression" dxfId="128" priority="89">
      <formula>H424=0</formula>
    </cfRule>
  </conditionalFormatting>
  <conditionalFormatting sqref="F60">
    <cfRule type="expression" dxfId="127" priority="88">
      <formula>H425=0</formula>
    </cfRule>
  </conditionalFormatting>
  <conditionalFormatting sqref="G60">
    <cfRule type="expression" dxfId="126" priority="87">
      <formula>H426=0</formula>
    </cfRule>
  </conditionalFormatting>
  <conditionalFormatting sqref="H60">
    <cfRule type="expression" dxfId="125" priority="86">
      <formula>H427=0</formula>
    </cfRule>
  </conditionalFormatting>
  <conditionalFormatting sqref="E62">
    <cfRule type="expression" dxfId="124" priority="85">
      <formula>$H$424=1</formula>
    </cfRule>
  </conditionalFormatting>
  <conditionalFormatting sqref="D62">
    <cfRule type="expression" dxfId="123" priority="84">
      <formula>$H$423=1</formula>
    </cfRule>
  </conditionalFormatting>
  <conditionalFormatting sqref="C62">
    <cfRule type="expression" dxfId="122" priority="83">
      <formula>$H$422=1</formula>
    </cfRule>
  </conditionalFormatting>
  <conditionalFormatting sqref="F62">
    <cfRule type="expression" dxfId="121" priority="82">
      <formula>$H$425=1</formula>
    </cfRule>
  </conditionalFormatting>
  <conditionalFormatting sqref="G62">
    <cfRule type="expression" dxfId="120" priority="81">
      <formula>$H$426=1</formula>
    </cfRule>
  </conditionalFormatting>
  <conditionalFormatting sqref="H62">
    <cfRule type="expression" dxfId="119" priority="80">
      <formula>$H$427=1</formula>
    </cfRule>
  </conditionalFormatting>
  <conditionalFormatting sqref="C63">
    <cfRule type="expression" dxfId="118" priority="79">
      <formula>H422=0</formula>
    </cfRule>
  </conditionalFormatting>
  <conditionalFormatting sqref="D63">
    <cfRule type="expression" dxfId="117" priority="78">
      <formula>H423=0</formula>
    </cfRule>
  </conditionalFormatting>
  <conditionalFormatting sqref="E63">
    <cfRule type="expression" dxfId="116" priority="77">
      <formula>H424=0</formula>
    </cfRule>
  </conditionalFormatting>
  <conditionalFormatting sqref="F63">
    <cfRule type="expression" dxfId="115" priority="76">
      <formula>H425=0</formula>
    </cfRule>
  </conditionalFormatting>
  <conditionalFormatting sqref="G63">
    <cfRule type="expression" dxfId="114" priority="75">
      <formula>H426=0</formula>
    </cfRule>
  </conditionalFormatting>
  <conditionalFormatting sqref="H63">
    <cfRule type="expression" dxfId="113" priority="74">
      <formula>H427=0</formula>
    </cfRule>
  </conditionalFormatting>
  <conditionalFormatting sqref="C65">
    <cfRule type="expression" dxfId="112" priority="73">
      <formula>H$422=0</formula>
    </cfRule>
  </conditionalFormatting>
  <conditionalFormatting sqref="D65">
    <cfRule type="expression" dxfId="111" priority="72">
      <formula>H$423=0</formula>
    </cfRule>
  </conditionalFormatting>
  <conditionalFormatting sqref="E65">
    <cfRule type="expression" dxfId="110" priority="71">
      <formula>H424=0</formula>
    </cfRule>
  </conditionalFormatting>
  <conditionalFormatting sqref="F65">
    <cfRule type="expression" dxfId="109" priority="70">
      <formula>H425=0</formula>
    </cfRule>
  </conditionalFormatting>
  <conditionalFormatting sqref="G65">
    <cfRule type="expression" dxfId="108" priority="69">
      <formula>H426=0</formula>
    </cfRule>
  </conditionalFormatting>
  <conditionalFormatting sqref="H65">
    <cfRule type="expression" dxfId="107" priority="68">
      <formula>H427=0</formula>
    </cfRule>
  </conditionalFormatting>
  <conditionalFormatting sqref="C66">
    <cfRule type="expression" dxfId="106" priority="67">
      <formula>$H$422=1</formula>
    </cfRule>
  </conditionalFormatting>
  <conditionalFormatting sqref="D66">
    <cfRule type="expression" dxfId="105" priority="66">
      <formula>$H$423=1</formula>
    </cfRule>
  </conditionalFormatting>
  <conditionalFormatting sqref="E66">
    <cfRule type="expression" dxfId="104" priority="65">
      <formula>$H$424=1</formula>
    </cfRule>
  </conditionalFormatting>
  <conditionalFormatting sqref="F66">
    <cfRule type="expression" dxfId="103" priority="64">
      <formula>$H$425=1</formula>
    </cfRule>
  </conditionalFormatting>
  <conditionalFormatting sqref="G66">
    <cfRule type="expression" dxfId="102" priority="63">
      <formula>$H$426=1</formula>
    </cfRule>
  </conditionalFormatting>
  <conditionalFormatting sqref="H66">
    <cfRule type="expression" dxfId="101" priority="62">
      <formula>$H$427=1</formula>
    </cfRule>
  </conditionalFormatting>
  <conditionalFormatting sqref="C67">
    <cfRule type="expression" dxfId="100" priority="61">
      <formula>H$422=0</formula>
    </cfRule>
  </conditionalFormatting>
  <conditionalFormatting sqref="D67">
    <cfRule type="expression" dxfId="99" priority="60">
      <formula>H$423=0</formula>
    </cfRule>
  </conditionalFormatting>
  <conditionalFormatting sqref="E67">
    <cfRule type="expression" dxfId="98" priority="59">
      <formula>H424=0</formula>
    </cfRule>
  </conditionalFormatting>
  <conditionalFormatting sqref="F67">
    <cfRule type="expression" dxfId="97" priority="58">
      <formula>H425=0</formula>
    </cfRule>
  </conditionalFormatting>
  <conditionalFormatting sqref="G67">
    <cfRule type="expression" dxfId="96" priority="57">
      <formula>H426=0</formula>
    </cfRule>
  </conditionalFormatting>
  <conditionalFormatting sqref="H67">
    <cfRule type="expression" dxfId="95" priority="56">
      <formula>H427=0</formula>
    </cfRule>
  </conditionalFormatting>
  <conditionalFormatting sqref="C531">
    <cfRule type="expression" dxfId="94" priority="55">
      <formula>$H$422=1</formula>
    </cfRule>
  </conditionalFormatting>
  <conditionalFormatting sqref="D531">
    <cfRule type="expression" dxfId="93" priority="54">
      <formula>$H$423=1</formula>
    </cfRule>
  </conditionalFormatting>
  <conditionalFormatting sqref="E531">
    <cfRule type="expression" dxfId="92" priority="53">
      <formula>$H$424=1</formula>
    </cfRule>
  </conditionalFormatting>
  <conditionalFormatting sqref="F531">
    <cfRule type="expression" dxfId="91" priority="52">
      <formula>$H$425=1</formula>
    </cfRule>
  </conditionalFormatting>
  <conditionalFormatting sqref="G531">
    <cfRule type="expression" dxfId="90" priority="51">
      <formula>$H$426=1</formula>
    </cfRule>
  </conditionalFormatting>
  <conditionalFormatting sqref="H531">
    <cfRule type="expression" dxfId="89" priority="50">
      <formula>$H$427=1</formula>
    </cfRule>
  </conditionalFormatting>
  <conditionalFormatting sqref="I43:I44 I58">
    <cfRule type="expression" dxfId="88" priority="49">
      <formula>$H$428=1</formula>
    </cfRule>
  </conditionalFormatting>
  <conditionalFormatting sqref="I69:I70">
    <cfRule type="expression" dxfId="87" priority="48">
      <formula>$H$428=1</formula>
    </cfRule>
  </conditionalFormatting>
  <conditionalFormatting sqref="I56">
    <cfRule type="expression" dxfId="86" priority="47">
      <formula>$H$428=1</formula>
    </cfRule>
  </conditionalFormatting>
  <conditionalFormatting sqref="I72">
    <cfRule type="expression" dxfId="85" priority="46">
      <formula>$H$428=1</formula>
    </cfRule>
  </conditionalFormatting>
  <conditionalFormatting sqref="I74">
    <cfRule type="expression" dxfId="84" priority="45">
      <formula>$H$428=1</formula>
    </cfRule>
  </conditionalFormatting>
  <conditionalFormatting sqref="I76">
    <cfRule type="expression" dxfId="83" priority="44">
      <formula>$H$428=1</formula>
    </cfRule>
  </conditionalFormatting>
  <conditionalFormatting sqref="I56">
    <cfRule type="expression" dxfId="82" priority="43">
      <formula>I428=0</formula>
    </cfRule>
  </conditionalFormatting>
  <conditionalFormatting sqref="I46">
    <cfRule type="expression" dxfId="81" priority="42">
      <formula>$H$428=1</formula>
    </cfRule>
  </conditionalFormatting>
  <conditionalFormatting sqref="I50">
    <cfRule type="expression" dxfId="80" priority="41">
      <formula>$H$428=1</formula>
    </cfRule>
  </conditionalFormatting>
  <conditionalFormatting sqref="I68">
    <cfRule type="expression" dxfId="79" priority="40">
      <formula>$H$428=1</formula>
    </cfRule>
  </conditionalFormatting>
  <conditionalFormatting sqref="I57">
    <cfRule type="expression" dxfId="78" priority="39">
      <formula>$H$428=1</formula>
    </cfRule>
  </conditionalFormatting>
  <conditionalFormatting sqref="I52">
    <cfRule type="expression" dxfId="77" priority="38">
      <formula>$H$428=1</formula>
    </cfRule>
  </conditionalFormatting>
  <conditionalFormatting sqref="I64">
    <cfRule type="expression" dxfId="76" priority="37">
      <formula>$H$428=1</formula>
    </cfRule>
  </conditionalFormatting>
  <conditionalFormatting sqref="I60">
    <cfRule type="expression" dxfId="75" priority="36">
      <formula>$H$428=1</formula>
    </cfRule>
  </conditionalFormatting>
  <conditionalFormatting sqref="I60">
    <cfRule type="expression" dxfId="74" priority="35">
      <formula>I428=0</formula>
    </cfRule>
  </conditionalFormatting>
  <conditionalFormatting sqref="I62">
    <cfRule type="expression" dxfId="73" priority="34">
      <formula>$H$428=1</formula>
    </cfRule>
  </conditionalFormatting>
  <conditionalFormatting sqref="I63">
    <cfRule type="expression" dxfId="72" priority="33">
      <formula>I427=0</formula>
    </cfRule>
  </conditionalFormatting>
  <conditionalFormatting sqref="I65">
    <cfRule type="expression" dxfId="71" priority="32">
      <formula>I427=0</formula>
    </cfRule>
  </conditionalFormatting>
  <conditionalFormatting sqref="I66">
    <cfRule type="expression" dxfId="70" priority="31">
      <formula>$H$428=1</formula>
    </cfRule>
  </conditionalFormatting>
  <conditionalFormatting sqref="I67">
    <cfRule type="expression" dxfId="69" priority="30">
      <formula>I427=0</formula>
    </cfRule>
  </conditionalFormatting>
  <conditionalFormatting sqref="I53">
    <cfRule type="expression" dxfId="68" priority="29">
      <formula>$H$428=1</formula>
    </cfRule>
  </conditionalFormatting>
  <conditionalFormatting sqref="H54">
    <cfRule type="expression" dxfId="67" priority="28">
      <formula>H427=1</formula>
    </cfRule>
  </conditionalFormatting>
  <conditionalFormatting sqref="H58">
    <cfRule type="expression" dxfId="66" priority="27">
      <formula>H427=1</formula>
    </cfRule>
  </conditionalFormatting>
  <conditionalFormatting sqref="I77">
    <cfRule type="expression" dxfId="65" priority="26">
      <formula>H428=1</formula>
    </cfRule>
  </conditionalFormatting>
  <conditionalFormatting sqref="I54">
    <cfRule type="expression" dxfId="64" priority="25">
      <formula>H428=1</formula>
    </cfRule>
  </conditionalFormatting>
  <conditionalFormatting sqref="H15:H18 H21:H23">
    <cfRule type="expression" dxfId="63" priority="22">
      <formula>$F$291</formula>
    </cfRule>
  </conditionalFormatting>
  <conditionalFormatting sqref="H24">
    <cfRule type="expression" dxfId="62" priority="13">
      <formula>$F$291</formula>
    </cfRule>
  </conditionalFormatting>
  <conditionalFormatting sqref="A11 A19">
    <cfRule type="expression" dxfId="61" priority="11">
      <formula>$F$291</formula>
    </cfRule>
  </conditionalFormatting>
  <conditionalFormatting sqref="A2">
    <cfRule type="expression" dxfId="60" priority="10">
      <formula>$F$291</formula>
    </cfRule>
  </conditionalFormatting>
  <conditionalFormatting sqref="H6">
    <cfRule type="expression" dxfId="59" priority="9">
      <formula>$F$291</formula>
    </cfRule>
  </conditionalFormatting>
  <conditionalFormatting sqref="J17">
    <cfRule type="expression" dxfId="58" priority="8">
      <formula>$F$291</formula>
    </cfRule>
  </conditionalFormatting>
  <conditionalFormatting sqref="L17">
    <cfRule type="expression" dxfId="57" priority="7">
      <formula>$F$291</formula>
    </cfRule>
  </conditionalFormatting>
  <conditionalFormatting sqref="J22">
    <cfRule type="expression" dxfId="56" priority="6">
      <formula>$F$291</formula>
    </cfRule>
  </conditionalFormatting>
  <conditionalFormatting sqref="C60">
    <cfRule type="expression" dxfId="55" priority="320">
      <formula>AND(H422=1,C384&gt;$C$48)</formula>
    </cfRule>
    <cfRule type="expression" dxfId="54" priority="321">
      <formula>H422=0</formula>
    </cfRule>
  </conditionalFormatting>
  <conditionalFormatting sqref="C56">
    <cfRule type="expression" dxfId="53" priority="322">
      <formula>AND(H422=1,C368&gt;$C$48)</formula>
    </cfRule>
    <cfRule type="expression" dxfId="52" priority="323">
      <formula>H422=0</formula>
    </cfRule>
  </conditionalFormatting>
  <conditionalFormatting sqref="E211:E213">
    <cfRule type="expression" dxfId="51" priority="2">
      <formula>$E$210="Incluir"</formula>
    </cfRule>
  </conditionalFormatting>
  <conditionalFormatting sqref="E218">
    <cfRule type="expression" dxfId="50" priority="1">
      <formula>$E$217="Incluir"</formula>
    </cfRule>
  </conditionalFormatting>
  <conditionalFormatting sqref="H23">
    <cfRule type="expression" dxfId="49" priority="340">
      <formula>$D$31=$B$353</formula>
    </cfRule>
  </conditionalFormatting>
  <dataValidations count="16">
    <dataValidation type="decimal" operator="greaterThanOrEqual" allowBlank="1" showInputMessage="1" showErrorMessage="1" sqref="E152 E156 E159 E162" xr:uid="{3EE9B4E9-6B0A-42DF-8264-612730E6753D}">
      <formula1>0</formula1>
    </dataValidation>
    <dataValidation type="whole" operator="greaterThanOrEqual" allowBlank="1" showInputMessage="1" showErrorMessage="1" sqref="C109:F109 C142:F142" xr:uid="{3D6BBA08-C4F0-4C86-B671-1333E0423F49}">
      <formula1>0</formula1>
    </dataValidation>
    <dataValidation type="whole" operator="greaterThanOrEqual" allowBlank="1" showInputMessage="1" showErrorMessage="1" errorTitle="iNimbus VoIP" error="Coloque un número mayor que cero" sqref="E240" xr:uid="{D006E29D-FDB5-4A9C-8992-6A8464F6A01B}">
      <formula1>0</formula1>
    </dataValidation>
    <dataValidation type="list" allowBlank="1" showInputMessage="1" showErrorMessage="1" sqref="C106:F106 I106 C138:E138" xr:uid="{3C926024-2383-412E-AE1D-74080E236EC9}">
      <formula1>$B$359:$B$360</formula1>
    </dataValidation>
    <dataValidation type="list" allowBlank="1" showInputMessage="1" showErrorMessage="1" sqref="C105:F105 C137:E137" xr:uid="{83426914-7598-4B7E-AB1A-A862C9E55F52}">
      <formula1>$B$355:$B$356</formula1>
    </dataValidation>
    <dataValidation type="list" allowBlank="1" showInputMessage="1" showErrorMessage="1" sqref="D35" xr:uid="{470A6FFD-CDC1-40C2-B13E-FB5E0952F1AE}">
      <formula1>$C$354:$C$360</formula1>
    </dataValidation>
    <dataValidation type="list" allowBlank="1" showInputMessage="1" showErrorMessage="1" sqref="D37" xr:uid="{47BD6EB8-233B-49E3-AE16-3CD5A346B89B}">
      <formula1>$D$354:$D$360</formula1>
    </dataValidation>
    <dataValidation type="list" allowBlank="1" showInputMessage="1" showErrorMessage="1" sqref="D31" xr:uid="{3A48C95D-C646-4278-8990-13B558E45394}">
      <formula1>$B$352:$B$353</formula1>
    </dataValidation>
    <dataValidation type="list" allowBlank="1" showInputMessage="1" showErrorMessage="1" sqref="D39" xr:uid="{7BB896F7-8C3A-4D23-9C26-DCFFEDD3BC93}">
      <formula1>$B$358:$B$360</formula1>
    </dataValidation>
    <dataValidation type="list" allowBlank="1" showInputMessage="1" showErrorMessage="1" sqref="E151 E217 E155 E231 E210 E178" xr:uid="{FEFFA24C-E8DA-4A1B-855D-29CE2A182E06}">
      <formula1>$H$291:$H$292</formula1>
    </dataValidation>
    <dataValidation type="whole" allowBlank="1" showInputMessage="1" showErrorMessage="1" sqref="E186" xr:uid="{59212C92-2E83-473B-94DB-2B6A67760CB3}">
      <formula1>0</formula1>
      <formula2>60</formula2>
    </dataValidation>
    <dataValidation type="list" allowBlank="1" showInputMessage="1" showErrorMessage="1" sqref="E227" xr:uid="{909090FE-E84B-4CF4-8BBB-20ACCEF74CD0}">
      <formula1>$B$291:$B$292</formula1>
    </dataValidation>
    <dataValidation type="list" allowBlank="1" showInputMessage="1" showErrorMessage="1" sqref="E233" xr:uid="{5395071D-EEA9-48E9-84F1-87AEDBCEF4DF}">
      <formula1>$H$349:$H$351</formula1>
    </dataValidation>
    <dataValidation type="list" errorStyle="warning" allowBlank="1" showInputMessage="1" showErrorMessage="1" sqref="E168" xr:uid="{D61A0464-8B0E-41D5-A1F6-B3182ACAA3BF}">
      <formula1>$D$291:$D$292</formula1>
    </dataValidation>
    <dataValidation type="list" allowBlank="1" showInputMessage="1" showErrorMessage="1" sqref="E196" xr:uid="{706637E7-C82B-4E42-97CF-B7ACC0AA9598}">
      <formula1>$J$289:$J$292</formula1>
    </dataValidation>
    <dataValidation type="decimal" allowBlank="1" showInputMessage="1" showErrorMessage="1" sqref="B17" xr:uid="{9262B257-920F-40C4-B515-971DCE9FC23D}">
      <formula1>0</formula1>
      <formula2>0.45</formula2>
    </dataValidation>
  </dataValidations>
  <hyperlinks>
    <hyperlink ref="B1" location="PRINCIPAL!D31" tooltip="ir a Financiación" display="Financiación" xr:uid="{8B165633-A3BB-45C4-9A73-84EC40CC495A}"/>
    <hyperlink ref="C1" location="PRINCIPAL!D35" tooltip="ir a PBX" display="iNimbusVoIP" xr:uid="{33EC24C8-0542-41C6-9B4E-E5CA69B5A2E2}"/>
    <hyperlink ref="E1" location="PRINCIPAL!E151" tooltip="ir a Instalación" display="Instalación" xr:uid="{DF8BE0DD-8CFB-4765-BDBF-A396E5B851E1}"/>
    <hyperlink ref="F1" location="PRINCIPAL!E168" tooltip="ir a Servicios de Operador" display="Servicios Operador" xr:uid="{1B1CB972-8263-4EE9-AA5B-0625C15A3840}"/>
    <hyperlink ref="G1" location="PROPUESTA!B12" tooltip="ir a la PROPUESTA" display="PROPUESTA" xr:uid="{CE101799-F822-49EF-8D60-37D56FA7DF7A}"/>
    <hyperlink ref="D1" location="PRINCIPAL!C109" tooltip="ir a terminales" display="Terminales" xr:uid="{34EF1041-CFF7-4509-AE83-CB8E7B73F84D}"/>
  </hyperlinks>
  <pageMargins left="0.25" right="0.25" top="0.75" bottom="0.75" header="0.3" footer="0.3"/>
  <pageSetup paperSize="9" scale="5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12" activePane="bottomLeft" state="frozen"/>
      <selection pane="bottomLeft" activeCell="C34" sqref="C34"/>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3" t="s">
        <v>242</v>
      </c>
      <c r="C1" s="300" t="s">
        <v>245</v>
      </c>
      <c r="D1" s="300" t="s">
        <v>257</v>
      </c>
      <c r="E1" s="300" t="s">
        <v>243</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273</v>
      </c>
    </row>
    <row r="10" spans="1:6" x14ac:dyDescent="0.3"/>
    <row r="11" spans="1:6" x14ac:dyDescent="0.3"/>
    <row r="12" spans="1:6" ht="28.5" x14ac:dyDescent="0.4">
      <c r="A12" s="23" t="s">
        <v>217</v>
      </c>
      <c r="B12" s="24"/>
      <c r="D12" s="29"/>
      <c r="E12" s="29"/>
    </row>
    <row r="13" spans="1:6" x14ac:dyDescent="0.3">
      <c r="A13" s="25" t="s">
        <v>218</v>
      </c>
      <c r="B13" s="28"/>
      <c r="D13" s="30"/>
      <c r="E13" s="33"/>
    </row>
    <row r="14" spans="1:6" x14ac:dyDescent="0.3">
      <c r="A14" s="25" t="s">
        <v>219</v>
      </c>
      <c r="B14" s="28"/>
      <c r="C14" s="28"/>
      <c r="D14" s="31"/>
      <c r="E14" s="34"/>
    </row>
    <row r="15" spans="1:6" x14ac:dyDescent="0.3">
      <c r="A15" s="26"/>
      <c r="B15" s="28"/>
      <c r="C15" s="28"/>
      <c r="D15" s="30"/>
      <c r="E15" s="33"/>
    </row>
    <row r="16" spans="1:6" x14ac:dyDescent="0.3">
      <c r="A16" s="25" t="s">
        <v>220</v>
      </c>
      <c r="B16" s="27"/>
      <c r="C16" s="27"/>
      <c r="D16" s="31"/>
      <c r="E16" s="34"/>
    </row>
    <row r="17" spans="1:5" x14ac:dyDescent="0.3">
      <c r="A17" s="25" t="s">
        <v>221</v>
      </c>
      <c r="B17" s="27"/>
      <c r="C17" s="27"/>
      <c r="D17" s="32"/>
      <c r="E17" s="35"/>
    </row>
    <row r="18" spans="1:5" x14ac:dyDescent="0.3">
      <c r="A18" s="310"/>
      <c r="B18" s="311"/>
      <c r="C18" s="312" t="s">
        <v>222</v>
      </c>
      <c r="D18" s="312" t="s">
        <v>224</v>
      </c>
      <c r="E18" s="312" t="s">
        <v>256</v>
      </c>
    </row>
    <row r="19" spans="1:5" x14ac:dyDescent="0.3">
      <c r="A19" s="321" t="s">
        <v>497</v>
      </c>
      <c r="B19" s="322"/>
      <c r="C19" s="323">
        <v>1</v>
      </c>
      <c r="D19" s="324">
        <f>PRINCIPAL!C5</f>
        <v>0</v>
      </c>
      <c r="E19" s="325">
        <f>IF(AND(C19="",D19=""),"",C19*D19)</f>
        <v>0</v>
      </c>
    </row>
    <row r="20" spans="1:5" ht="39.950000000000003" customHeight="1" x14ac:dyDescent="0.3">
      <c r="A20" s="314" t="str">
        <f>PRINCIPAL!A3</f>
        <v>Por Definir</v>
      </c>
      <c r="B20" s="301" t="str">
        <f>IF(PRINCIPAL!B8=0,"Por definir","Suministro e instalación de " &amp;IF(PRINCIPAL!VALIDADOR_INIMBUSESP,PRINCIPAL!I45,INDEX(PRINCIPAL!C45:I49,1,PRINCIPAL!D366-1)))</f>
        <v>Por definir</v>
      </c>
      <c r="C20" s="302"/>
      <c r="D20" s="303"/>
      <c r="E20" s="315"/>
    </row>
    <row r="21" spans="1:5" ht="18.75" x14ac:dyDescent="0.3">
      <c r="A21" s="316"/>
      <c r="B21" s="320" t="s">
        <v>491</v>
      </c>
      <c r="C21" s="302"/>
      <c r="D21" s="303"/>
      <c r="E21" s="315" t="str">
        <f>IF(AND(C21="",D21=""),"",C21*D21)</f>
        <v/>
      </c>
    </row>
    <row r="22" spans="1:5" ht="17.25" x14ac:dyDescent="0.3">
      <c r="A22" s="316"/>
      <c r="B22" s="326" t="str">
        <f>"Terminal de Operadora: "&amp;IF(PRINCIPAL!D366&lt;=1,"Por Definir",INDEX(PRINCIPAL!C55:I55,1,PRINCIPAL!D366-1))</f>
        <v>Terminal de Operadora: Por Definir</v>
      </c>
      <c r="C22" s="302"/>
      <c r="D22" s="303"/>
      <c r="E22" s="315" t="str">
        <f>IF(AND(C22="",D22=""),"",C22*D22)</f>
        <v/>
      </c>
    </row>
    <row r="23" spans="1:5" ht="60" customHeight="1" x14ac:dyDescent="0.3">
      <c r="A23" s="316"/>
      <c r="B23" s="326" t="str">
        <f>"Terminal(es) Adicional(es) incluídos en la propuesta: "&amp;PRINCIPAL!N374</f>
        <v>Terminal(es) Adicional(es) incluídos en la propuesta: No se ha seleccionado ninguno</v>
      </c>
      <c r="C23" s="305"/>
      <c r="D23" s="303"/>
      <c r="E23" s="315"/>
    </row>
    <row r="24" spans="1:5" ht="60" customHeight="1" x14ac:dyDescent="0.3">
      <c r="A24" s="316"/>
      <c r="B24" s="365"/>
      <c r="C24" s="366"/>
      <c r="D24" s="303"/>
      <c r="E24" s="315"/>
    </row>
    <row r="25" spans="1:5" ht="17.25" x14ac:dyDescent="0.3">
      <c r="A25" s="316"/>
      <c r="B25" s="326" t="s">
        <v>24</v>
      </c>
      <c r="C25" s="306" t="str">
        <f>INDEX(PRINCIPAL!$C$59:$I$66,1,PRINCIPAL!$D$366-1)</f>
        <v xml:space="preserve"> Incluída</v>
      </c>
      <c r="D25" s="303"/>
      <c r="E25" s="315"/>
    </row>
    <row r="26" spans="1:5" ht="17.25" x14ac:dyDescent="0.3">
      <c r="A26" s="316"/>
      <c r="B26" s="326" t="s">
        <v>265</v>
      </c>
      <c r="C26" s="306" t="str">
        <f>INDEX(PRINCIPAL!$C$59:$I$66,3,PRINCIPAL!$D$366-1)</f>
        <v>Incluida</v>
      </c>
      <c r="D26" s="303"/>
      <c r="E26" s="315"/>
    </row>
    <row r="27" spans="1:5" ht="17.25" x14ac:dyDescent="0.3">
      <c r="A27" s="316"/>
      <c r="B27" s="326" t="s">
        <v>266</v>
      </c>
      <c r="C27" s="306" t="str">
        <f>INDEX(PRINCIPAL!$C$59:$I$66,4,PRINCIPAL!$D$366-1)</f>
        <v>1 Año</v>
      </c>
      <c r="D27" s="303"/>
      <c r="E27" s="315"/>
    </row>
    <row r="28" spans="1:5" ht="17.25" x14ac:dyDescent="0.3">
      <c r="A28" s="316"/>
      <c r="B28" s="327" t="s">
        <v>68</v>
      </c>
      <c r="C28" s="306" t="str">
        <f>INDEX(PRINCIPAL!$C$59:$I$66,6,PRINCIPAL!$D$366-1)</f>
        <v>No Incluída</v>
      </c>
      <c r="D28" s="303"/>
      <c r="E28" s="315"/>
    </row>
    <row r="29" spans="1:5" ht="17.25" x14ac:dyDescent="0.3">
      <c r="A29" s="316"/>
      <c r="B29" s="327" t="s">
        <v>69</v>
      </c>
      <c r="C29" s="306" t="str">
        <f>INDEX(PRINCIPAL!$C$59:$I$66,8,PRINCIPAL!$D$366-1)</f>
        <v>No Incluída</v>
      </c>
      <c r="D29" s="303"/>
      <c r="E29" s="315"/>
    </row>
    <row r="30" spans="1:5" ht="17.25" x14ac:dyDescent="0.3">
      <c r="A30" s="316"/>
      <c r="B30" s="327"/>
      <c r="C30" s="306"/>
      <c r="D30" s="303"/>
      <c r="E30" s="315"/>
    </row>
    <row r="31" spans="1:5" x14ac:dyDescent="0.3">
      <c r="A31" s="321" t="s">
        <v>496</v>
      </c>
      <c r="B31" s="322"/>
      <c r="C31" s="328">
        <v>1</v>
      </c>
      <c r="D31" s="329">
        <f>PRINCIPAL!D5</f>
        <v>0</v>
      </c>
      <c r="E31" s="330">
        <f>D31*C31</f>
        <v>0</v>
      </c>
    </row>
    <row r="32" spans="1:5" ht="17.25" x14ac:dyDescent="0.3">
      <c r="A32" s="316"/>
      <c r="B32" s="301" t="str">
        <f>"Tarifa "&amp;PRINCIPAL!E168&amp;" de Llamadas iNimbus"</f>
        <v>Tarifa PLANA de Llamadas iNimbus</v>
      </c>
      <c r="C32" s="307">
        <v>1</v>
      </c>
      <c r="D32" s="303">
        <f>PRINCIPAL!I469+PRINCIPAL!I477+PRINCIPAL!I480+PRINCIPAL!I481+PRINCIPAL!J486</f>
        <v>0</v>
      </c>
      <c r="E32" s="315"/>
    </row>
    <row r="33" spans="1:5" s="336" customFormat="1" ht="24.95" customHeight="1" x14ac:dyDescent="0.3">
      <c r="A33" s="337"/>
      <c r="B33" s="338" t="s">
        <v>491</v>
      </c>
      <c r="C33" s="339"/>
      <c r="D33" s="340"/>
      <c r="E33" s="341"/>
    </row>
    <row r="34" spans="1:5" ht="17.25" x14ac:dyDescent="0.3">
      <c r="A34" s="316"/>
      <c r="B34" s="326" t="s">
        <v>274</v>
      </c>
      <c r="C34" s="307">
        <f>PRINCIPAL!K367</f>
        <v>0</v>
      </c>
      <c r="D34" s="303"/>
      <c r="E34" s="315"/>
    </row>
    <row r="35" spans="1:5" ht="17.25" x14ac:dyDescent="0.3">
      <c r="A35" s="316"/>
      <c r="B35" s="326" t="s">
        <v>275</v>
      </c>
      <c r="C35" s="307">
        <f>IF(PRINCIPAL!E168=PRINCIPAL!D291,INDEX(PRINCIPAL!$C$70:$I$76,2,PRINCIPAL!$D$366-1),PRINCIPAL!M489)</f>
        <v>1</v>
      </c>
      <c r="D35" s="303"/>
      <c r="E35" s="315"/>
    </row>
    <row r="36" spans="1:5" ht="17.25" x14ac:dyDescent="0.3">
      <c r="A36" s="316"/>
      <c r="B36" s="326" t="s">
        <v>276</v>
      </c>
      <c r="C36" s="307" t="str">
        <f>IF(PRINCIPAL!$E$168=PRINCIPAL!$D$291,INDEX(PRINCIPAL!$C$70:$I$76,3,PRINCIPAL!$D$366-1),PRINCIPAL!$E$196&amp;" (*)")</f>
        <v>ilimitadas</v>
      </c>
      <c r="D36" s="303"/>
      <c r="E36" s="315"/>
    </row>
    <row r="37" spans="1:5" ht="17.25" x14ac:dyDescent="0.3">
      <c r="A37" s="316"/>
      <c r="B37" s="326" t="s">
        <v>27</v>
      </c>
      <c r="C37" s="307" t="str">
        <f>IF(PRINCIPAL!$E$168=PRINCIPAL!$D$291,INDEX(PRINCIPAL!$C$70:$I$76,3,PRINCIPAL!$D$366-1),PRINCIPAL!$E$196&amp;" (*)")</f>
        <v>ilimitadas</v>
      </c>
      <c r="D37" s="303"/>
      <c r="E37" s="315"/>
    </row>
    <row r="38" spans="1:5" ht="17.25" x14ac:dyDescent="0.3">
      <c r="A38" s="316"/>
      <c r="B38" s="326" t="s">
        <v>252</v>
      </c>
      <c r="C38" s="307" t="str">
        <f>IF(PRINCIPAL!$E$168=PRINCIPAL!$D$291,INDEX(PRINCIPAL!$C$70:$I$76,3,PRINCIPAL!$D$366-1),PRINCIPAL!$E$196&amp;" (*)")</f>
        <v>ilimitadas</v>
      </c>
      <c r="D38" s="303"/>
      <c r="E38" s="315"/>
    </row>
    <row r="39" spans="1:5" ht="17.25" x14ac:dyDescent="0.3">
      <c r="A39" s="316"/>
      <c r="B39" s="304"/>
      <c r="C39" s="307"/>
      <c r="D39" s="303"/>
      <c r="E39" s="315"/>
    </row>
    <row r="40" spans="1:5" ht="17.25" x14ac:dyDescent="0.3">
      <c r="A40" s="316"/>
      <c r="B40" s="304"/>
      <c r="C40" s="307"/>
      <c r="D40" s="303"/>
      <c r="E40" s="315"/>
    </row>
    <row r="41" spans="1:5" ht="17.25" x14ac:dyDescent="0.3">
      <c r="A41" s="331"/>
      <c r="B41" s="342" t="s">
        <v>277</v>
      </c>
      <c r="C41" s="302">
        <f>PRINCIPAL!H482</f>
        <v>0</v>
      </c>
      <c r="D41" s="303">
        <f>(C41)*PRINCIPAL!G482</f>
        <v>0</v>
      </c>
      <c r="E41" s="315"/>
    </row>
    <row r="42" spans="1:5" ht="17.25" x14ac:dyDescent="0.3">
      <c r="A42" s="316"/>
      <c r="B42" s="326" t="s">
        <v>278</v>
      </c>
      <c r="C42" s="302" t="str">
        <f>IF(PRINCIPAL!H487&gt;0,"Incluida","No Incluida")</f>
        <v>No Incluida</v>
      </c>
      <c r="D42" s="303">
        <f>PRINCIPAL!I487</f>
        <v>0</v>
      </c>
      <c r="E42" s="315"/>
    </row>
    <row r="43" spans="1:5" ht="17.25" x14ac:dyDescent="0.3">
      <c r="A43" s="316"/>
      <c r="B43" s="326" t="s">
        <v>524</v>
      </c>
      <c r="C43" s="302" t="str">
        <f>IF(PRINCIPAL!E217=PRINCIPAL!$H$291,"Incluida","No Incluida")</f>
        <v>No Incluida</v>
      </c>
      <c r="D43" s="303">
        <f>PRINCIPAL!I488</f>
        <v>0</v>
      </c>
      <c r="E43" s="315"/>
    </row>
    <row r="44" spans="1:5" ht="17.25" x14ac:dyDescent="0.3">
      <c r="A44" s="316"/>
      <c r="B44" s="326" t="s">
        <v>29</v>
      </c>
      <c r="C44" s="308" t="str">
        <f>"Gratis"</f>
        <v>Gratis</v>
      </c>
      <c r="D44" s="303"/>
      <c r="E44" s="315"/>
    </row>
    <row r="45" spans="1:5" ht="17.25" x14ac:dyDescent="0.3">
      <c r="A45" s="316"/>
      <c r="B45" s="326" t="s">
        <v>492</v>
      </c>
      <c r="C45" s="308" t="str">
        <f>IF(PRINCIPAL!E168=PRINCIPAL!D291,INDEX(PRINCIPAL!$C$70:$I$76,7,PRINCIPAL!$D$366-1),IF(PRINCIPAL!E227=PRINCIPAL!B292,"Fibra 300Mb",PRINCIPAL!B291))</f>
        <v>No Incluída</v>
      </c>
      <c r="D45" s="303">
        <f>PRINCIPAL!I490</f>
        <v>0</v>
      </c>
      <c r="E45" s="315"/>
    </row>
    <row r="46" spans="1:5" ht="17.25" x14ac:dyDescent="0.3">
      <c r="A46" s="316"/>
      <c r="B46" s="326" t="s">
        <v>493</v>
      </c>
      <c r="C46" s="307">
        <f>PRINCIPAL!H492</f>
        <v>0</v>
      </c>
      <c r="D46" s="303">
        <f>PRINCIPAL!G491*C46</f>
        <v>0</v>
      </c>
      <c r="E46" s="315"/>
    </row>
    <row r="47" spans="1:5" ht="17.25" x14ac:dyDescent="0.3">
      <c r="A47" s="316"/>
      <c r="B47" s="326" t="s">
        <v>494</v>
      </c>
      <c r="C47" s="307">
        <f>PRINCIPAL!H491</f>
        <v>0</v>
      </c>
      <c r="D47" s="303">
        <f>PRINCIPAL!G492*C47</f>
        <v>0</v>
      </c>
      <c r="E47" s="315"/>
    </row>
    <row r="48" spans="1:5" ht="17.25" x14ac:dyDescent="0.3">
      <c r="A48" s="317"/>
      <c r="B48" s="343"/>
      <c r="C48" s="332"/>
      <c r="D48" s="318"/>
      <c r="E48" s="319"/>
    </row>
    <row r="49" spans="1:5" x14ac:dyDescent="0.3">
      <c r="A49" s="321" t="s">
        <v>498</v>
      </c>
      <c r="B49" s="322"/>
      <c r="C49" s="328">
        <f>IF(PRINCIPAL!E5&gt;0,1,0)</f>
        <v>0</v>
      </c>
      <c r="D49" s="329">
        <f>D50</f>
        <v>0</v>
      </c>
      <c r="E49" s="330">
        <f>D49*C49</f>
        <v>0</v>
      </c>
    </row>
    <row r="50" spans="1:5" ht="17.25" x14ac:dyDescent="0.3">
      <c r="A50" s="331"/>
      <c r="B50" s="309" t="s">
        <v>495</v>
      </c>
      <c r="C50" s="302">
        <f>PRINCIPAL!H500</f>
        <v>0</v>
      </c>
      <c r="D50" s="303">
        <f>PRINCIPAL!G500*C50</f>
        <v>0</v>
      </c>
      <c r="E50" s="315"/>
    </row>
    <row r="51" spans="1:5" ht="17.25" x14ac:dyDescent="0.3">
      <c r="A51" s="333"/>
      <c r="B51" s="334"/>
      <c r="C51" s="335"/>
      <c r="D51" s="318"/>
      <c r="E51" s="319"/>
    </row>
    <row r="52" spans="1:5" x14ac:dyDescent="0.3">
      <c r="C52" s="63"/>
      <c r="D52" s="63"/>
      <c r="E52" s="63"/>
    </row>
    <row r="53" spans="1:5" ht="18.75" x14ac:dyDescent="0.3">
      <c r="A53" s="420" t="s">
        <v>523</v>
      </c>
      <c r="B53" s="421"/>
      <c r="C53" s="418" t="str">
        <f>"Sub Total "&amp;PRINCIPAL!B5&amp;" Meses:"</f>
        <v>Sub Total 24 Meses:</v>
      </c>
      <c r="D53" s="419"/>
      <c r="E53" s="157">
        <f>SUM(E19:E52)</f>
        <v>0</v>
      </c>
    </row>
    <row r="54" spans="1:5" ht="17.25" thickBot="1" x14ac:dyDescent="0.35">
      <c r="A54" s="36" t="s">
        <v>234</v>
      </c>
      <c r="B54" s="37" t="s">
        <v>235</v>
      </c>
      <c r="C54" s="38" t="s">
        <v>236</v>
      </c>
      <c r="D54" s="55">
        <v>0.21</v>
      </c>
      <c r="E54" s="39">
        <f>E53*D54</f>
        <v>0</v>
      </c>
    </row>
    <row r="55" spans="1:5" ht="17.25" thickTop="1" x14ac:dyDescent="0.3">
      <c r="A55" s="36" t="s">
        <v>552</v>
      </c>
      <c r="B55" s="5"/>
      <c r="C55" s="63"/>
      <c r="D55" s="63"/>
      <c r="E55" s="63"/>
    </row>
    <row r="56" spans="1:5" ht="18.75" x14ac:dyDescent="0.3">
      <c r="A56" s="414"/>
      <c r="B56" s="415"/>
      <c r="C56" s="158" t="str">
        <f>"Total cuota "&amp;PRINCIPAL!B5&amp;" Meses:"</f>
        <v>Total cuota 24 Meses:</v>
      </c>
      <c r="D56" s="40"/>
      <c r="E56" s="41">
        <f>E53+E54</f>
        <v>0</v>
      </c>
    </row>
    <row r="57" spans="1:5" x14ac:dyDescent="0.3">
      <c r="A57" s="5"/>
      <c r="B57" s="5"/>
    </row>
    <row r="58" spans="1:5" x14ac:dyDescent="0.3"/>
    <row r="59" spans="1:5" x14ac:dyDescent="0.3">
      <c r="A59" s="47" t="s">
        <v>279</v>
      </c>
      <c r="B59" s="57"/>
      <c r="C59" s="57"/>
      <c r="D59" s="57"/>
      <c r="E59" s="58"/>
    </row>
    <row r="60" spans="1:5" x14ac:dyDescent="0.3">
      <c r="A60" s="59"/>
      <c r="B60" s="3"/>
      <c r="C60" s="3"/>
      <c r="D60" s="3"/>
      <c r="E60" s="60"/>
    </row>
    <row r="61" spans="1:5" x14ac:dyDescent="0.3">
      <c r="A61" s="48"/>
      <c r="B61" s="2"/>
      <c r="C61" s="2"/>
      <c r="D61" s="2"/>
      <c r="E61" s="61"/>
    </row>
    <row r="62" spans="1:5" x14ac:dyDescent="0.3">
      <c r="A62" s="373" t="str">
        <f>IF(PRINCIPAL!$E$168=PRINCIPAL!$D$291,"",PRINCIPAL!$E$196&amp;" (*): Son el total de Minutos a REPARTIR entre todos los destinos Nacionales, Internacionales Zona 1 y Móviles Nacionales")</f>
        <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16" t="s">
        <v>267</v>
      </c>
      <c r="B66" s="416"/>
      <c r="C66" s="416"/>
      <c r="D66" s="416"/>
      <c r="E66" s="416"/>
    </row>
    <row r="67" spans="1:6" ht="20.100000000000001" customHeight="1" x14ac:dyDescent="0.3">
      <c r="A67" s="416"/>
      <c r="B67" s="416"/>
      <c r="C67" s="416"/>
      <c r="D67" s="416"/>
      <c r="E67" s="416"/>
    </row>
    <row r="68" spans="1:6" ht="20.100000000000001" customHeight="1" x14ac:dyDescent="0.3">
      <c r="A68" s="416"/>
      <c r="B68" s="416"/>
      <c r="C68" s="416"/>
      <c r="D68" s="416"/>
      <c r="E68" s="416"/>
    </row>
    <row r="69" spans="1:6" ht="20.100000000000001" customHeight="1" x14ac:dyDescent="0.3">
      <c r="A69" s="417" t="s">
        <v>268</v>
      </c>
      <c r="B69" s="417"/>
      <c r="C69" s="417"/>
      <c r="D69" s="417"/>
      <c r="E69" s="417"/>
    </row>
    <row r="70" spans="1:6" ht="20.100000000000001" customHeight="1" x14ac:dyDescent="0.3">
      <c r="A70" s="417"/>
      <c r="B70" s="417"/>
      <c r="C70" s="417"/>
      <c r="D70" s="417"/>
      <c r="E70" s="417"/>
    </row>
    <row r="71" spans="1:6" ht="20.100000000000001" customHeight="1" x14ac:dyDescent="0.3">
      <c r="A71" s="417"/>
      <c r="B71" s="417"/>
      <c r="C71" s="417"/>
      <c r="D71" s="417"/>
      <c r="E71" s="417"/>
    </row>
    <row r="72" spans="1:6" x14ac:dyDescent="0.3"/>
    <row r="73" spans="1:6" ht="17.25" x14ac:dyDescent="0.3">
      <c r="A73" s="62" t="s">
        <v>281</v>
      </c>
      <c r="B73" s="53"/>
      <c r="C73" s="52"/>
      <c r="D73" s="52"/>
      <c r="E73" s="52"/>
      <c r="F73" s="52"/>
    </row>
    <row r="74" spans="1:6" x14ac:dyDescent="0.3">
      <c r="A74" s="49"/>
      <c r="B74" s="62" t="s">
        <v>282</v>
      </c>
      <c r="C74" s="52"/>
      <c r="D74" s="52"/>
      <c r="E74" s="52"/>
      <c r="F74" s="52"/>
    </row>
    <row r="75" spans="1:6" x14ac:dyDescent="0.3">
      <c r="A75" s="49"/>
      <c r="B75" s="62" t="s">
        <v>280</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8" priority="76" stopIfTrue="1">
      <formula>$N13=TRUE</formula>
    </cfRule>
  </conditionalFormatting>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5">
    <cfRule type="expression" dxfId="33" priority="61" stopIfTrue="1">
      <formula>$N15=TRUE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A54">
    <cfRule type="expression" dxfId="18" priority="34" stopIfTrue="1">
      <formula>$P53=TRUE</formula>
    </cfRule>
  </conditionalFormatting>
  <conditionalFormatting sqref="A19 A45 A38:A43 A35">
    <cfRule type="expression" dxfId="17" priority="33" stopIfTrue="1">
      <formula>$P19=TRUE</formula>
    </cfRule>
  </conditionalFormatting>
  <conditionalFormatting sqref="A20">
    <cfRule type="expression" dxfId="16" priority="32" stopIfTrue="1">
      <formula>$P20=TRUE</formula>
    </cfRule>
  </conditionalFormatting>
  <conditionalFormatting sqref="A21">
    <cfRule type="expression" dxfId="15" priority="31" stopIfTrue="1">
      <formula>$P21=TRUE</formula>
    </cfRule>
  </conditionalFormatting>
  <conditionalFormatting sqref="A22">
    <cfRule type="expression" dxfId="14" priority="30" stopIfTrue="1">
      <formula>$P22=TRUE</formula>
    </cfRule>
  </conditionalFormatting>
  <conditionalFormatting sqref="A23:A24">
    <cfRule type="expression" dxfId="13" priority="29" stopIfTrue="1">
      <formula>$P23=TRUE</formula>
    </cfRule>
  </conditionalFormatting>
  <conditionalFormatting sqref="A25 A27 A29:A30">
    <cfRule type="expression" dxfId="12" priority="20" stopIfTrue="1">
      <formula>$P25=TRUE</formula>
    </cfRule>
  </conditionalFormatting>
  <conditionalFormatting sqref="A26 A28">
    <cfRule type="expression" dxfId="11" priority="19" stopIfTrue="1">
      <formula>$P26=TRUE</formula>
    </cfRule>
  </conditionalFormatting>
  <conditionalFormatting sqref="A31">
    <cfRule type="expression" dxfId="10" priority="18" stopIfTrue="1">
      <formula>$P31=TRUE</formula>
    </cfRule>
  </conditionalFormatting>
  <conditionalFormatting sqref="A32:A33">
    <cfRule type="expression" dxfId="9" priority="17" stopIfTrue="1">
      <formula>$P32=TRUE</formula>
    </cfRule>
  </conditionalFormatting>
  <conditionalFormatting sqref="A34">
    <cfRule type="expression" dxfId="8" priority="16" stopIfTrue="1">
      <formula>$P34=TRUE</formula>
    </cfRule>
  </conditionalFormatting>
  <conditionalFormatting sqref="A36">
    <cfRule type="expression" dxfId="7" priority="14" stopIfTrue="1">
      <formula>$P36=TRUE</formula>
    </cfRule>
  </conditionalFormatting>
  <conditionalFormatting sqref="A37">
    <cfRule type="expression" dxfId="6" priority="13" stopIfTrue="1">
      <formula>$P37=TRUE</formula>
    </cfRule>
  </conditionalFormatting>
  <conditionalFormatting sqref="A44">
    <cfRule type="expression" dxfId="5" priority="11" stopIfTrue="1">
      <formula>$P44=TRUE</formula>
    </cfRule>
  </conditionalFormatting>
  <conditionalFormatting sqref="A50:A51">
    <cfRule type="expression" dxfId="4" priority="5" stopIfTrue="1">
      <formula>$P50=TRUE</formula>
    </cfRule>
  </conditionalFormatting>
  <conditionalFormatting sqref="A49">
    <cfRule type="expression" dxfId="3" priority="4" stopIfTrue="1">
      <formula>$P49=TRUE</formula>
    </cfRule>
  </conditionalFormatting>
  <conditionalFormatting sqref="A47:A48">
    <cfRule type="expression" dxfId="2" priority="3" stopIfTrue="1">
      <formula>$P47=TRUE</formula>
    </cfRule>
  </conditionalFormatting>
  <conditionalFormatting sqref="A46">
    <cfRule type="expression" dxfId="1" priority="2" stopIfTrue="1">
      <formula>$P46=TRUE</formula>
    </cfRule>
  </conditionalFormatting>
  <conditionalFormatting sqref="A55">
    <cfRule type="expression" dxfId="0" priority="1" stopIfTrue="1">
      <formula>$P54=TRUE</formula>
    </cfRule>
  </conditionalFormatting>
  <hyperlinks>
    <hyperlink ref="B1" location="PRINCIPAL!D31" tooltip="ir a Financiación" display="Financiación" xr:uid="{1708B9DC-ED49-445E-B700-A8FDD479C260}"/>
    <hyperlink ref="C1" location="PRINCIPAL!D35" tooltip="ir a Equipos" display="iNimbusVoIP" xr:uid="{6662D0F8-F072-400B-9041-1B1C78A88F37}"/>
    <hyperlink ref="D1" location="PRINCIPAL!E151" tooltip="ir a Instalación" display="Instalación" xr:uid="{99E701EB-D996-4337-989D-8782B4930180}"/>
    <hyperlink ref="E1" location="PRINCIPAL!E168" tooltip="ir a Servicios de Operador" display="Servicios Operador" xr:uid="{AF38E084-2621-498B-B487-535452E18E46}"/>
  </hyperlinks>
  <pageMargins left="0.7" right="0.7" top="0.75" bottom="0.75" header="0.3" footer="0.3"/>
  <pageSetup paperSize="9" scale="63"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6</vt:i4>
      </vt:variant>
    </vt:vector>
  </HeadingPairs>
  <TitlesOfParts>
    <vt:vector size="7" baseType="lpstr">
      <vt:lpstr>Inicio</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2019-12-02T11:35:30Z</cp:lastPrinted>
  <dcterms:created xsi:type="dcterms:W3CDTF">2019-04-26T10:39:15Z</dcterms:created>
  <dcterms:modified xsi:type="dcterms:W3CDTF">2020-03-18T10:05:40Z</dcterms:modified>
</cp:coreProperties>
</file>