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adelrosal\Documents\Beta\Power_iNimbusVoIP\"/>
    </mc:Choice>
  </mc:AlternateContent>
  <xr:revisionPtr revIDLastSave="0" documentId="13_ncr:1_{D5E460C8-7A74-4A8A-8279-F32E7CB2074E}" xr6:coauthVersionLast="44" xr6:coauthVersionMax="44" xr10:uidLastSave="{00000000-0000-0000-0000-000000000000}"/>
  <bookViews>
    <workbookView xWindow="21660" yWindow="1170" windowWidth="19215" windowHeight="10875" xr2:uid="{00AEE7A7-9CEC-4900-9E0C-01C797468721}"/>
  </bookViews>
  <sheets>
    <sheet name="Inicio" sheetId="6" r:id="rId1"/>
    <sheet name="PRINCIPAL" sheetId="8" state="veryHidden" r:id="rId2"/>
    <sheet name="PROPUESTA" sheetId="5" state="veryHidden" r:id="rId3"/>
  </sheets>
  <definedNames>
    <definedName name="_xlnm.Print_Area" localSheetId="2">PROPUESTA!$A$2:$E$71</definedName>
    <definedName name="COHEFICIEN">PRINCIPAL!$H$470</definedName>
    <definedName name="EXT_FINALE">PRINCIPAL!$D$386</definedName>
    <definedName name="Renting_Coef">PRINCIPAL!$C$550:$H$551</definedName>
    <definedName name="Renting_REF">PRINCIPAL!$C$549:$H$549</definedName>
    <definedName name="VALIDADOR_INIMBUSESP" localSheetId="1">PRINCIPAL!$E$387</definedName>
    <definedName name="VALIDADOR_INIMBUSESP">#REF!</definedName>
    <definedName name="Z_78BCF711_36CD_4005_AB9C_5BA306474D9D_.wvu.Cols" localSheetId="1" hidden="1">PRINCIPAL!$J:$XFD</definedName>
    <definedName name="Z_78BCF711_36CD_4005_AB9C_5BA306474D9D_.wvu.Cols" localSheetId="2" hidden="1">PROPUESTA!$G:$XFD</definedName>
    <definedName name="Z_78BCF711_36CD_4005_AB9C_5BA306474D9D_.wvu.Rows" localSheetId="1" hidden="1">PRINCIPAL!$109:$109</definedName>
  </definedNames>
  <calcPr calcId="191029"/>
  <customWorkbookViews>
    <customWorkbookView name="Propuesta" guid="{78BCF711-36CD-4005-AB9C-5BA306474D9D}" maximized="1" xWindow="1358" yWindow="-8" windowWidth="1936" windowHeight="1096"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04" i="8" l="1"/>
  <c r="K384" i="8" l="1"/>
  <c r="H516" i="8"/>
  <c r="I516" i="8" s="1"/>
  <c r="F188" i="8" l="1"/>
  <c r="B32" i="5"/>
  <c r="J385" i="8"/>
  <c r="K385" i="8" s="1"/>
  <c r="J384" i="8"/>
  <c r="J383" i="8"/>
  <c r="F189" i="8" l="1"/>
  <c r="F206" i="8" l="1"/>
  <c r="F198" i="8"/>
  <c r="A62" i="5" l="1"/>
  <c r="K309" i="8" l="1"/>
  <c r="K310" i="8"/>
  <c r="K311" i="8"/>
  <c r="K308" i="8"/>
  <c r="G389" i="8" l="1"/>
  <c r="H526" i="8"/>
  <c r="F389" i="8" l="1"/>
  <c r="F463" i="8" s="1"/>
  <c r="F462" i="8" l="1"/>
  <c r="F461" i="8"/>
  <c r="F457" i="8"/>
  <c r="F452" i="8"/>
  <c r="F446" i="8"/>
  <c r="F430" i="8"/>
  <c r="F434" i="8"/>
  <c r="F438" i="8"/>
  <c r="F422" i="8"/>
  <c r="F417" i="8"/>
  <c r="F413" i="8"/>
  <c r="F449" i="8"/>
  <c r="F448" i="8"/>
  <c r="F443" i="8"/>
  <c r="F431" i="8"/>
  <c r="F435" i="8"/>
  <c r="F429" i="8"/>
  <c r="F420" i="8"/>
  <c r="F416" i="8"/>
  <c r="F450" i="8"/>
  <c r="F444" i="8"/>
  <c r="F441" i="8"/>
  <c r="F432" i="8"/>
  <c r="F436" i="8"/>
  <c r="F421" i="8"/>
  <c r="F419" i="8"/>
  <c r="F415" i="8"/>
  <c r="F458" i="8"/>
  <c r="F451" i="8"/>
  <c r="F445" i="8"/>
  <c r="F440" i="8"/>
  <c r="F433" i="8"/>
  <c r="F437" i="8"/>
  <c r="F423" i="8"/>
  <c r="F418" i="8"/>
  <c r="F414" i="8"/>
  <c r="F460" i="8"/>
  <c r="F459" i="8"/>
  <c r="F394" i="8"/>
  <c r="F395" i="8"/>
  <c r="F392" i="8"/>
  <c r="F396" i="8"/>
  <c r="F400" i="8"/>
  <c r="F404" i="8"/>
  <c r="F408" i="8"/>
  <c r="F391" i="8"/>
  <c r="F393" i="8"/>
  <c r="F397" i="8"/>
  <c r="F401" i="8"/>
  <c r="F405" i="8"/>
  <c r="F409" i="8"/>
  <c r="F398" i="8"/>
  <c r="F402" i="8"/>
  <c r="F406" i="8"/>
  <c r="F410" i="8"/>
  <c r="F399" i="8"/>
  <c r="F403" i="8"/>
  <c r="F407" i="8"/>
  <c r="F411" i="8"/>
  <c r="J23" i="8" l="1"/>
  <c r="H23" i="8"/>
  <c r="G446" i="8"/>
  <c r="G445" i="8"/>
  <c r="G444" i="8"/>
  <c r="G443" i="8"/>
  <c r="G441" i="8" l="1"/>
  <c r="G440" i="8"/>
  <c r="G430" i="8"/>
  <c r="G431" i="8"/>
  <c r="G432" i="8"/>
  <c r="G433" i="8"/>
  <c r="G434" i="8"/>
  <c r="G435" i="8"/>
  <c r="G436" i="8"/>
  <c r="G437" i="8"/>
  <c r="G438" i="8"/>
  <c r="G429" i="8"/>
  <c r="C381" i="8" l="1"/>
  <c r="E383" i="8" s="1"/>
  <c r="F247" i="8"/>
  <c r="H530" i="8"/>
  <c r="H427" i="8"/>
  <c r="M427" i="8" s="1"/>
  <c r="N427" i="8" s="1"/>
  <c r="H426" i="8"/>
  <c r="H425" i="8"/>
  <c r="G426" i="8"/>
  <c r="G427" i="8"/>
  <c r="G425" i="8"/>
  <c r="G422" i="8"/>
  <c r="G423" i="8"/>
  <c r="H422" i="8"/>
  <c r="M422" i="8" s="1"/>
  <c r="I107" i="8"/>
  <c r="H107" i="8"/>
  <c r="F107" i="8"/>
  <c r="E107" i="8"/>
  <c r="D107" i="8"/>
  <c r="C107" i="8"/>
  <c r="G421" i="8"/>
  <c r="I427" i="8" l="1"/>
  <c r="I426" i="8"/>
  <c r="M425" i="8"/>
  <c r="N425" i="8" s="1"/>
  <c r="M426" i="8"/>
  <c r="N426" i="8" s="1"/>
  <c r="I425" i="8"/>
  <c r="I422" i="8"/>
  <c r="H421" i="8"/>
  <c r="M421" i="8" s="1"/>
  <c r="N421" i="8" s="1"/>
  <c r="N422" i="8"/>
  <c r="H423" i="8"/>
  <c r="I423" i="8" s="1"/>
  <c r="C387" i="8"/>
  <c r="H413" i="8"/>
  <c r="M413" i="8" s="1"/>
  <c r="H420" i="8"/>
  <c r="M420" i="8" s="1"/>
  <c r="H419" i="8"/>
  <c r="H418" i="8"/>
  <c r="M418" i="8" s="1"/>
  <c r="H417" i="8"/>
  <c r="H415" i="8"/>
  <c r="M415" i="8" s="1"/>
  <c r="H414" i="8"/>
  <c r="G420" i="8"/>
  <c r="G419" i="8"/>
  <c r="G418" i="8"/>
  <c r="G417" i="8"/>
  <c r="G416" i="8"/>
  <c r="G415" i="8"/>
  <c r="G414" i="8"/>
  <c r="G413" i="8"/>
  <c r="I56" i="8"/>
  <c r="H56" i="8"/>
  <c r="G56" i="8"/>
  <c r="F56" i="8"/>
  <c r="E56" i="8"/>
  <c r="D56" i="8"/>
  <c r="C56" i="8"/>
  <c r="H601" i="8"/>
  <c r="G601" i="8"/>
  <c r="F601" i="8"/>
  <c r="E601" i="8"/>
  <c r="D601" i="8"/>
  <c r="C601" i="8"/>
  <c r="D18" i="8" l="1"/>
  <c r="I421" i="8"/>
  <c r="N413" i="8"/>
  <c r="I417" i="8"/>
  <c r="I415" i="8"/>
  <c r="M419" i="8"/>
  <c r="N419" i="8" s="1"/>
  <c r="M414" i="8"/>
  <c r="N414" i="8" s="1"/>
  <c r="N418" i="8"/>
  <c r="M417" i="8"/>
  <c r="N417" i="8" s="1"/>
  <c r="N420" i="8"/>
  <c r="N415" i="8"/>
  <c r="I414" i="8"/>
  <c r="I418" i="8"/>
  <c r="I419" i="8"/>
  <c r="I420" i="8"/>
  <c r="F237" i="8"/>
  <c r="C473" i="8"/>
  <c r="P251" i="8" l="1"/>
  <c r="C43" i="5" l="1"/>
  <c r="B70" i="8"/>
  <c r="H489" i="8"/>
  <c r="H488" i="8"/>
  <c r="H515" i="8"/>
  <c r="G489" i="8"/>
  <c r="G488" i="8"/>
  <c r="D253" i="8"/>
  <c r="D236" i="8"/>
  <c r="D249" i="8"/>
  <c r="D251" i="8" s="1"/>
  <c r="G516" i="8"/>
  <c r="G515" i="8"/>
  <c r="H518" i="8" l="1"/>
  <c r="C206" i="8"/>
  <c r="I489" i="8"/>
  <c r="I515" i="8"/>
  <c r="C198" i="8" s="1"/>
  <c r="I488" i="8"/>
  <c r="M515" i="8"/>
  <c r="C253" i="8"/>
  <c r="H517" i="8"/>
  <c r="H521" i="8"/>
  <c r="H520" i="8"/>
  <c r="H519" i="8"/>
  <c r="H525" i="8"/>
  <c r="C41" i="5" l="1"/>
  <c r="M517" i="8"/>
  <c r="M524" i="8" s="1"/>
  <c r="P236" i="8"/>
  <c r="H523" i="8" s="1"/>
  <c r="G523" i="8"/>
  <c r="P188" i="8"/>
  <c r="C216" i="8" s="1"/>
  <c r="P229" i="8"/>
  <c r="H522" i="8" s="1"/>
  <c r="P249" i="8"/>
  <c r="H527" i="8" s="1"/>
  <c r="C47" i="5" s="1"/>
  <c r="D47" i="5" s="1"/>
  <c r="G518" i="8"/>
  <c r="G519" i="8"/>
  <c r="G520" i="8"/>
  <c r="G521" i="8"/>
  <c r="G525" i="8"/>
  <c r="I525" i="8" s="1"/>
  <c r="G527" i="8"/>
  <c r="C483" i="8"/>
  <c r="C247" i="8" l="1"/>
  <c r="D45" i="5"/>
  <c r="C46" i="5"/>
  <c r="C251" i="8"/>
  <c r="I523" i="8"/>
  <c r="I519" i="8"/>
  <c r="I518" i="8"/>
  <c r="I521" i="8"/>
  <c r="I520" i="8"/>
  <c r="J521" i="8" l="1"/>
  <c r="C236" i="8"/>
  <c r="D43" i="5"/>
  <c r="J146" i="8"/>
  <c r="E387" i="8"/>
  <c r="C388" i="8"/>
  <c r="H438" i="8"/>
  <c r="H440" i="8"/>
  <c r="M440" i="8" s="1"/>
  <c r="N440" i="8" s="1"/>
  <c r="H441" i="8"/>
  <c r="H437" i="8"/>
  <c r="H436" i="8"/>
  <c r="H435" i="8"/>
  <c r="H434" i="8"/>
  <c r="H433" i="8"/>
  <c r="H431" i="8"/>
  <c r="H430" i="8"/>
  <c r="H429" i="8"/>
  <c r="H432" i="8"/>
  <c r="I438" i="8" l="1"/>
  <c r="M438" i="8"/>
  <c r="N438" i="8" s="1"/>
  <c r="K145" i="8" l="1"/>
  <c r="N446" i="8" l="1"/>
  <c r="M446" i="8"/>
  <c r="N445" i="8"/>
  <c r="M445" i="8"/>
  <c r="N444" i="8"/>
  <c r="M444" i="8"/>
  <c r="M441" i="8"/>
  <c r="N441" i="8" s="1"/>
  <c r="M435" i="8"/>
  <c r="N435" i="8" s="1"/>
  <c r="M436" i="8"/>
  <c r="N436" i="8" s="1"/>
  <c r="M437" i="8"/>
  <c r="N437" i="8" s="1"/>
  <c r="I446" i="8"/>
  <c r="I445" i="8"/>
  <c r="I444" i="8"/>
  <c r="I441" i="8"/>
  <c r="I440" i="8"/>
  <c r="I435" i="8"/>
  <c r="I436" i="8"/>
  <c r="I437" i="8"/>
  <c r="M430" i="8"/>
  <c r="N430" i="8"/>
  <c r="M431" i="8"/>
  <c r="N431" i="8"/>
  <c r="M432" i="8"/>
  <c r="N432" i="8" s="1"/>
  <c r="M433" i="8"/>
  <c r="N433" i="8" s="1"/>
  <c r="M434" i="8"/>
  <c r="N434" i="8" s="1"/>
  <c r="M429" i="8"/>
  <c r="N429" i="8" s="1"/>
  <c r="I434" i="8"/>
  <c r="I433" i="8"/>
  <c r="I432" i="8"/>
  <c r="I430" i="8"/>
  <c r="I431" i="8"/>
  <c r="I429" i="8"/>
  <c r="K22" i="8" l="1"/>
  <c r="I22" i="8"/>
  <c r="K25" i="8"/>
  <c r="I25" i="8"/>
  <c r="D22" i="8"/>
  <c r="J20" i="8"/>
  <c r="H20" i="8"/>
  <c r="K12" i="8"/>
  <c r="I12" i="8"/>
  <c r="E17" i="8"/>
  <c r="E20" i="8"/>
  <c r="B20" i="8"/>
  <c r="J145" i="8" l="1"/>
  <c r="I145" i="8"/>
  <c r="H145" i="8"/>
  <c r="G145" i="8"/>
  <c r="F145" i="8"/>
  <c r="E145" i="8"/>
  <c r="D145" i="8"/>
  <c r="C145" i="8"/>
  <c r="G535" i="8"/>
  <c r="C259" i="8" s="1"/>
  <c r="G528" i="8"/>
  <c r="G517" i="8"/>
  <c r="G522" i="8"/>
  <c r="G526" i="8"/>
  <c r="D46" i="5" s="1"/>
  <c r="G499" i="8"/>
  <c r="G500" i="8"/>
  <c r="G501" i="8"/>
  <c r="G502" i="8"/>
  <c r="G503" i="8"/>
  <c r="G498" i="8"/>
  <c r="G471" i="8"/>
  <c r="C222" i="8" l="1"/>
  <c r="D41" i="5"/>
  <c r="C249" i="8"/>
  <c r="G393" i="8"/>
  <c r="G392" i="8"/>
  <c r="G391" i="8"/>
  <c r="B5" i="8" l="1"/>
  <c r="G22" i="8" l="1"/>
  <c r="C53" i="5"/>
  <c r="C56" i="5"/>
  <c r="I18" i="8"/>
  <c r="K18" i="8"/>
  <c r="G17" i="8"/>
  <c r="E462" i="8"/>
  <c r="G462" i="8" s="1"/>
  <c r="E461" i="8"/>
  <c r="G461" i="8" s="1"/>
  <c r="E460" i="8"/>
  <c r="G460" i="8" s="1"/>
  <c r="E459" i="8"/>
  <c r="G459" i="8" s="1"/>
  <c r="E458" i="8"/>
  <c r="G458" i="8" s="1"/>
  <c r="E457" i="8"/>
  <c r="G457" i="8" s="1"/>
  <c r="H560" i="8"/>
  <c r="H559" i="8"/>
  <c r="H558" i="8"/>
  <c r="H535" i="8"/>
  <c r="C42" i="5"/>
  <c r="I517" i="8"/>
  <c r="E511" i="8"/>
  <c r="G511" i="8" s="1"/>
  <c r="E510" i="8"/>
  <c r="G510" i="8" s="1"/>
  <c r="E509" i="8"/>
  <c r="G509" i="8" s="1"/>
  <c r="E508" i="8"/>
  <c r="G508" i="8" s="1"/>
  <c r="E507" i="8"/>
  <c r="G507" i="8" s="1"/>
  <c r="E506" i="8"/>
  <c r="G506" i="8" s="1"/>
  <c r="G487" i="8"/>
  <c r="I487" i="8" s="1"/>
  <c r="G486" i="8"/>
  <c r="I486" i="8" s="1"/>
  <c r="G485" i="8"/>
  <c r="D483" i="8"/>
  <c r="H485" i="8" s="1"/>
  <c r="G480" i="8"/>
  <c r="M479" i="8"/>
  <c r="G479" i="8"/>
  <c r="M478" i="8"/>
  <c r="G478" i="8"/>
  <c r="M477" i="8"/>
  <c r="G477" i="8"/>
  <c r="M476" i="8"/>
  <c r="G476" i="8"/>
  <c r="M475" i="8"/>
  <c r="G475" i="8"/>
  <c r="M474" i="8"/>
  <c r="G474" i="8"/>
  <c r="D473" i="8"/>
  <c r="H480" i="8" s="1"/>
  <c r="E463" i="8"/>
  <c r="G463" i="8" s="1"/>
  <c r="H452" i="8"/>
  <c r="G452" i="8"/>
  <c r="H451" i="8"/>
  <c r="G451" i="8"/>
  <c r="H450" i="8"/>
  <c r="G450" i="8"/>
  <c r="H449" i="8"/>
  <c r="G449" i="8"/>
  <c r="H448" i="8"/>
  <c r="G448" i="8"/>
  <c r="N411" i="8"/>
  <c r="M411" i="8"/>
  <c r="G411" i="8"/>
  <c r="I411" i="8" s="1"/>
  <c r="N410" i="8"/>
  <c r="G410" i="8"/>
  <c r="I410" i="8" s="1"/>
  <c r="N409" i="8"/>
  <c r="G409" i="8"/>
  <c r="I409" i="8" s="1"/>
  <c r="G408" i="8"/>
  <c r="G407" i="8"/>
  <c r="M407" i="8"/>
  <c r="G406" i="8"/>
  <c r="N406" i="8"/>
  <c r="G405" i="8"/>
  <c r="M405" i="8"/>
  <c r="G404" i="8"/>
  <c r="M404" i="8"/>
  <c r="G403" i="8"/>
  <c r="G402" i="8"/>
  <c r="G401" i="8"/>
  <c r="M401" i="8"/>
  <c r="N401" i="8" s="1"/>
  <c r="G400" i="8"/>
  <c r="G399" i="8"/>
  <c r="G398" i="8"/>
  <c r="G397" i="8"/>
  <c r="M397" i="8"/>
  <c r="G396" i="8"/>
  <c r="N396" i="8"/>
  <c r="G395" i="8"/>
  <c r="G394" i="8"/>
  <c r="N394" i="8"/>
  <c r="C57" i="8"/>
  <c r="D57" i="8" s="1"/>
  <c r="E57" i="8" s="1"/>
  <c r="F57" i="8" s="1"/>
  <c r="G57" i="8" s="1"/>
  <c r="H57" i="8" s="1"/>
  <c r="I57" i="8" s="1"/>
  <c r="D382" i="8"/>
  <c r="F383" i="8" s="1"/>
  <c r="G383" i="8" s="1"/>
  <c r="H416" i="8" s="1"/>
  <c r="F379" i="8"/>
  <c r="D379" i="8"/>
  <c r="G379" i="8" s="1"/>
  <c r="F378" i="8"/>
  <c r="D378" i="8"/>
  <c r="G378" i="8" s="1"/>
  <c r="F377" i="8"/>
  <c r="D377" i="8"/>
  <c r="G377" i="8" s="1"/>
  <c r="F376" i="8"/>
  <c r="D376" i="8"/>
  <c r="G376" i="8" s="1"/>
  <c r="F375" i="8"/>
  <c r="D375" i="8"/>
  <c r="G375" i="8" s="1"/>
  <c r="I375" i="8" s="1"/>
  <c r="F374" i="8"/>
  <c r="D374" i="8"/>
  <c r="G374" i="8" s="1"/>
  <c r="I374" i="8" s="1"/>
  <c r="G373" i="8"/>
  <c r="F373" i="8"/>
  <c r="P247" i="8"/>
  <c r="K112" i="8"/>
  <c r="J112" i="8"/>
  <c r="I112" i="8"/>
  <c r="H112" i="8"/>
  <c r="G112" i="8"/>
  <c r="F112" i="8"/>
  <c r="E112" i="8"/>
  <c r="D112" i="8"/>
  <c r="C112" i="8"/>
  <c r="C77" i="8"/>
  <c r="C76" i="8"/>
  <c r="G76" i="8" s="1"/>
  <c r="C67" i="8"/>
  <c r="D67" i="8" s="1"/>
  <c r="I67" i="8" s="1"/>
  <c r="C65" i="8"/>
  <c r="G65" i="8" s="1"/>
  <c r="I47" i="8"/>
  <c r="H77" i="8" l="1"/>
  <c r="I416" i="8"/>
  <c r="M416" i="8"/>
  <c r="N416" i="8" s="1"/>
  <c r="G66" i="8"/>
  <c r="D15" i="8"/>
  <c r="I535" i="8"/>
  <c r="I536" i="8" s="1"/>
  <c r="I537" i="8" s="1"/>
  <c r="E5" i="8" s="1"/>
  <c r="C50" i="5"/>
  <c r="D50" i="5" s="1"/>
  <c r="D49" i="5" s="1"/>
  <c r="I522" i="8"/>
  <c r="G28" i="8"/>
  <c r="G25" i="8"/>
  <c r="F66" i="8"/>
  <c r="I405" i="8"/>
  <c r="E76" i="8"/>
  <c r="I485" i="8"/>
  <c r="I448" i="8"/>
  <c r="I450" i="8"/>
  <c r="J506" i="8"/>
  <c r="F77" i="8"/>
  <c r="I449" i="8"/>
  <c r="F76" i="8"/>
  <c r="G473" i="8"/>
  <c r="I408" i="8"/>
  <c r="G68" i="8"/>
  <c r="D68" i="8"/>
  <c r="H68" i="8"/>
  <c r="D76" i="8"/>
  <c r="I76" i="8" s="1"/>
  <c r="E77" i="8"/>
  <c r="I480" i="8"/>
  <c r="F68" i="8"/>
  <c r="E68" i="8"/>
  <c r="I68" i="8"/>
  <c r="C68" i="8"/>
  <c r="E65" i="8"/>
  <c r="C66" i="8"/>
  <c r="F65" i="8"/>
  <c r="G483" i="8"/>
  <c r="H65" i="8"/>
  <c r="D65" i="8"/>
  <c r="I65" i="8" s="1"/>
  <c r="H76" i="8"/>
  <c r="H483" i="8"/>
  <c r="C63" i="8" s="1"/>
  <c r="I451" i="8"/>
  <c r="N405" i="8"/>
  <c r="I397" i="8"/>
  <c r="I401" i="8"/>
  <c r="N397" i="8"/>
  <c r="I396" i="8"/>
  <c r="I400" i="8"/>
  <c r="M400" i="8"/>
  <c r="N400" i="8" s="1"/>
  <c r="I398" i="8"/>
  <c r="I404" i="8"/>
  <c r="I452" i="8"/>
  <c r="H463" i="8"/>
  <c r="I463" i="8" s="1"/>
  <c r="H473" i="8"/>
  <c r="J509" i="8"/>
  <c r="J508" i="8"/>
  <c r="J503" i="8"/>
  <c r="J502" i="8"/>
  <c r="J501" i="8"/>
  <c r="J500" i="8"/>
  <c r="J499" i="8"/>
  <c r="J498" i="8"/>
  <c r="C463" i="8"/>
  <c r="J511" i="8"/>
  <c r="J507" i="8"/>
  <c r="F67" i="8"/>
  <c r="E67" i="8"/>
  <c r="N404" i="8"/>
  <c r="G67" i="8"/>
  <c r="M396" i="8"/>
  <c r="N407" i="8"/>
  <c r="I407" i="8"/>
  <c r="I66" i="8"/>
  <c r="E66" i="8"/>
  <c r="H66" i="8"/>
  <c r="D66" i="8"/>
  <c r="J510" i="8"/>
  <c r="H67" i="8"/>
  <c r="D381" i="8"/>
  <c r="D383" i="8" s="1"/>
  <c r="C385" i="8" s="1"/>
  <c r="G77" i="8"/>
  <c r="M394" i="8"/>
  <c r="M398" i="8"/>
  <c r="N398" i="8" s="1"/>
  <c r="I402" i="8"/>
  <c r="M406" i="8"/>
  <c r="D77" i="8"/>
  <c r="I77" i="8" s="1"/>
  <c r="I394" i="8"/>
  <c r="I406" i="8"/>
  <c r="G15" i="8" l="1"/>
  <c r="C49" i="5"/>
  <c r="C229" i="8"/>
  <c r="D42" i="5"/>
  <c r="I524" i="8"/>
  <c r="B8" i="8"/>
  <c r="D386" i="8"/>
  <c r="D385" i="8"/>
  <c r="D387" i="8"/>
  <c r="H458" i="8"/>
  <c r="I458" i="8" s="1"/>
  <c r="C384" i="8"/>
  <c r="F63" i="8"/>
  <c r="D63" i="8"/>
  <c r="G63" i="8"/>
  <c r="H63" i="8"/>
  <c r="E63" i="8"/>
  <c r="I63" i="8"/>
  <c r="H60" i="8"/>
  <c r="D60" i="8"/>
  <c r="G60" i="8"/>
  <c r="C60" i="8"/>
  <c r="I60" i="8"/>
  <c r="F60" i="8"/>
  <c r="E60" i="8"/>
  <c r="H461" i="8"/>
  <c r="H460" i="8"/>
  <c r="H459" i="8"/>
  <c r="H462" i="8"/>
  <c r="H457" i="8"/>
  <c r="I457" i="8" s="1"/>
  <c r="C45" i="5" l="1"/>
  <c r="K383" i="8"/>
  <c r="K386" i="8" s="1"/>
  <c r="C34" i="5" s="1"/>
  <c r="K443" i="8"/>
  <c r="K447" i="8"/>
  <c r="C38" i="5"/>
  <c r="C37" i="5"/>
  <c r="C36" i="5"/>
  <c r="C35" i="5"/>
  <c r="C386" i="8"/>
  <c r="D388" i="8" s="1"/>
  <c r="B113" i="8" s="1"/>
  <c r="C28" i="5"/>
  <c r="C27" i="5"/>
  <c r="B22" i="5"/>
  <c r="C26" i="5"/>
  <c r="C29" i="5"/>
  <c r="C25" i="5"/>
  <c r="D10" i="8"/>
  <c r="E10" i="8" s="1"/>
  <c r="F10" i="8" s="1"/>
  <c r="B20" i="5"/>
  <c r="K507" i="8"/>
  <c r="H475" i="8"/>
  <c r="I475" i="8" s="1"/>
  <c r="K499" i="8"/>
  <c r="K498" i="8"/>
  <c r="K511" i="8"/>
  <c r="I462" i="8"/>
  <c r="K500" i="8"/>
  <c r="I459" i="8"/>
  <c r="K502" i="8"/>
  <c r="I461" i="8"/>
  <c r="K501" i="8"/>
  <c r="I460" i="8"/>
  <c r="K508" i="8"/>
  <c r="K503" i="8"/>
  <c r="H503" i="8" s="1"/>
  <c r="H478" i="8"/>
  <c r="I478" i="8" s="1"/>
  <c r="K509" i="8"/>
  <c r="C456" i="8"/>
  <c r="A3" i="8" s="1"/>
  <c r="A20" i="5" s="1"/>
  <c r="K506" i="8"/>
  <c r="H506" i="8" s="1"/>
  <c r="H474" i="8"/>
  <c r="H479" i="8"/>
  <c r="I479" i="8" s="1"/>
  <c r="H477" i="8"/>
  <c r="I477" i="8" s="1"/>
  <c r="H476" i="8"/>
  <c r="I476" i="8" s="1"/>
  <c r="K510" i="8"/>
  <c r="C466" i="8"/>
  <c r="E385" i="8"/>
  <c r="H501" i="8" l="1"/>
  <c r="I501" i="8" s="1"/>
  <c r="B146" i="8"/>
  <c r="H500" i="8"/>
  <c r="I500" i="8" s="1"/>
  <c r="H502" i="8"/>
  <c r="I502" i="8" s="1"/>
  <c r="H499" i="8"/>
  <c r="I499" i="8" s="1"/>
  <c r="H498" i="8"/>
  <c r="H508" i="8"/>
  <c r="I508" i="8" s="1"/>
  <c r="H509" i="8"/>
  <c r="I509" i="8" s="1"/>
  <c r="H511" i="8"/>
  <c r="I511" i="8" s="1"/>
  <c r="H510" i="8"/>
  <c r="I510" i="8" s="1"/>
  <c r="H507" i="8"/>
  <c r="I507" i="8" s="1"/>
  <c r="I506" i="8"/>
  <c r="I503" i="8"/>
  <c r="I464" i="8"/>
  <c r="H481" i="8"/>
  <c r="I474" i="8"/>
  <c r="I392" i="8"/>
  <c r="C467" i="8"/>
  <c r="I498" i="8" l="1"/>
  <c r="I504" i="8" s="1"/>
  <c r="H504" i="8"/>
  <c r="I413" i="8"/>
  <c r="I512" i="8"/>
  <c r="H512" i="8"/>
  <c r="I481" i="8"/>
  <c r="I391" i="8"/>
  <c r="I393" i="8"/>
  <c r="D32" i="5" l="1"/>
  <c r="I526" i="8"/>
  <c r="H513" i="8"/>
  <c r="I513" i="8"/>
  <c r="G13" i="8" s="1"/>
  <c r="C188" i="8"/>
  <c r="I527" i="8"/>
  <c r="H528" i="8"/>
  <c r="I528" i="8" s="1"/>
  <c r="D61" i="8"/>
  <c r="D13" i="8"/>
  <c r="F61" i="8"/>
  <c r="H61" i="8"/>
  <c r="I61" i="8"/>
  <c r="C61" i="8"/>
  <c r="G61" i="8"/>
  <c r="E61" i="8"/>
  <c r="I403" i="8"/>
  <c r="N395" i="8"/>
  <c r="I395" i="8"/>
  <c r="M395" i="8"/>
  <c r="I399" i="8"/>
  <c r="M399" i="8"/>
  <c r="N399" i="8" s="1"/>
  <c r="N393" i="8" l="1"/>
  <c r="B23" i="5" s="1"/>
  <c r="I529" i="8"/>
  <c r="I530" i="8" s="1"/>
  <c r="I532" i="8" s="1"/>
  <c r="D5" i="8" s="1"/>
  <c r="I454" i="8"/>
  <c r="I469" i="8" s="1"/>
  <c r="D17" i="8" s="1"/>
  <c r="C470" i="8" l="1"/>
  <c r="D470" i="8" s="1"/>
  <c r="G470" i="8" s="1"/>
  <c r="H470" i="8" s="1"/>
  <c r="M463" i="8" s="1"/>
  <c r="N463" i="8" s="1"/>
  <c r="I53" i="8" s="1"/>
  <c r="H484" i="8"/>
  <c r="E484" i="8"/>
  <c r="G484" i="8" s="1"/>
  <c r="I533" i="8" l="1"/>
  <c r="G16" i="8"/>
  <c r="J425" i="8"/>
  <c r="K425" i="8" s="1"/>
  <c r="J427" i="8"/>
  <c r="K427" i="8" s="1"/>
  <c r="J426" i="8"/>
  <c r="K426" i="8" s="1"/>
  <c r="J423" i="8"/>
  <c r="K423" i="8" s="1"/>
  <c r="L416" i="8"/>
  <c r="L420" i="8"/>
  <c r="L419" i="8"/>
  <c r="L417" i="8"/>
  <c r="L421" i="8"/>
  <c r="L418" i="8"/>
  <c r="L415" i="8"/>
  <c r="L414" i="8"/>
  <c r="J422" i="8"/>
  <c r="K422" i="8" s="1"/>
  <c r="J421" i="8"/>
  <c r="K421" i="8" s="1"/>
  <c r="L413" i="8"/>
  <c r="J419" i="8"/>
  <c r="K419" i="8" s="1"/>
  <c r="J415" i="8"/>
  <c r="K415" i="8" s="1"/>
  <c r="J417" i="8"/>
  <c r="K417" i="8" s="1"/>
  <c r="J416" i="8"/>
  <c r="K416" i="8" s="1"/>
  <c r="J418" i="8"/>
  <c r="K418" i="8" s="1"/>
  <c r="J420" i="8"/>
  <c r="K420" i="8" s="1"/>
  <c r="J413" i="8"/>
  <c r="K413" i="8" s="1"/>
  <c r="J414" i="8"/>
  <c r="K414" i="8" s="1"/>
  <c r="J440" i="8"/>
  <c r="K440" i="8" s="1"/>
  <c r="J489" i="8"/>
  <c r="K489" i="8" s="1"/>
  <c r="J488" i="8"/>
  <c r="K488" i="8" s="1"/>
  <c r="J446" i="8"/>
  <c r="K446" i="8" s="1"/>
  <c r="J438" i="8"/>
  <c r="K438" i="8" s="1"/>
  <c r="J444" i="8"/>
  <c r="K444" i="8" s="1"/>
  <c r="J445" i="8"/>
  <c r="K445" i="8" s="1"/>
  <c r="J441" i="8"/>
  <c r="K441" i="8" s="1"/>
  <c r="J435" i="8"/>
  <c r="K435" i="8" s="1"/>
  <c r="J436" i="8"/>
  <c r="K436" i="8" s="1"/>
  <c r="J437" i="8"/>
  <c r="K437" i="8" s="1"/>
  <c r="J431" i="8"/>
  <c r="K431" i="8" s="1"/>
  <c r="J432" i="8"/>
  <c r="K432" i="8" s="1"/>
  <c r="J430" i="8"/>
  <c r="K430" i="8" s="1"/>
  <c r="J429" i="8"/>
  <c r="K429" i="8" s="1"/>
  <c r="J434" i="8"/>
  <c r="K434" i="8" s="1"/>
  <c r="J433" i="8"/>
  <c r="K433" i="8" s="1"/>
  <c r="J487" i="8"/>
  <c r="K487" i="8" s="1"/>
  <c r="J486" i="8"/>
  <c r="K486" i="8" s="1"/>
  <c r="J485" i="8"/>
  <c r="K485" i="8" s="1"/>
  <c r="J480" i="8"/>
  <c r="K480" i="8" s="1"/>
  <c r="J475" i="8"/>
  <c r="K475" i="8" s="1"/>
  <c r="J479" i="8"/>
  <c r="K479" i="8" s="1"/>
  <c r="J476" i="8"/>
  <c r="K476" i="8" s="1"/>
  <c r="J478" i="8"/>
  <c r="K478" i="8" s="1"/>
  <c r="J477" i="8"/>
  <c r="K477" i="8" s="1"/>
  <c r="J474" i="8"/>
  <c r="K474" i="8" s="1"/>
  <c r="J458" i="8"/>
  <c r="K458" i="8" s="1"/>
  <c r="J463" i="8"/>
  <c r="K463" i="8" s="1"/>
  <c r="J461" i="8"/>
  <c r="K461" i="8" s="1"/>
  <c r="J460" i="8"/>
  <c r="K460" i="8" s="1"/>
  <c r="J459" i="8"/>
  <c r="K459" i="8" s="1"/>
  <c r="J457" i="8"/>
  <c r="K457" i="8" s="1"/>
  <c r="J462" i="8"/>
  <c r="K462" i="8" s="1"/>
  <c r="M460" i="8"/>
  <c r="J409" i="8"/>
  <c r="K409" i="8" s="1"/>
  <c r="M457" i="8"/>
  <c r="J411" i="8"/>
  <c r="K411" i="8" s="1"/>
  <c r="M459" i="8"/>
  <c r="M461" i="8"/>
  <c r="M458" i="8"/>
  <c r="J410" i="8"/>
  <c r="K410" i="8" s="1"/>
  <c r="M462" i="8"/>
  <c r="J394" i="8"/>
  <c r="K394" i="8" s="1"/>
  <c r="J398" i="8"/>
  <c r="K398" i="8" s="1"/>
  <c r="J404" i="8"/>
  <c r="K404" i="8" s="1"/>
  <c r="J402" i="8"/>
  <c r="K402" i="8" s="1"/>
  <c r="J448" i="8"/>
  <c r="K448" i="8" s="1"/>
  <c r="J396" i="8"/>
  <c r="K396" i="8" s="1"/>
  <c r="J451" i="8"/>
  <c r="K451" i="8" s="1"/>
  <c r="J400" i="8"/>
  <c r="K400" i="8" s="1"/>
  <c r="J407" i="8"/>
  <c r="K407" i="8" s="1"/>
  <c r="J408" i="8"/>
  <c r="K408" i="8" s="1"/>
  <c r="J450" i="8"/>
  <c r="K450" i="8" s="1"/>
  <c r="J397" i="8"/>
  <c r="K397" i="8" s="1"/>
  <c r="J452" i="8"/>
  <c r="K452" i="8" s="1"/>
  <c r="J449" i="8"/>
  <c r="K449" i="8" s="1"/>
  <c r="J405" i="8"/>
  <c r="K405" i="8" s="1"/>
  <c r="J406" i="8"/>
  <c r="K406" i="8" s="1"/>
  <c r="J401" i="8"/>
  <c r="K401" i="8" s="1"/>
  <c r="J392" i="8"/>
  <c r="K392" i="8" s="1"/>
  <c r="J393" i="8"/>
  <c r="K393" i="8" s="1"/>
  <c r="J391" i="8"/>
  <c r="K391" i="8" s="1"/>
  <c r="J399" i="8"/>
  <c r="K399" i="8" s="1"/>
  <c r="J403" i="8"/>
  <c r="K403" i="8" s="1"/>
  <c r="J395" i="8"/>
  <c r="K395" i="8" s="1"/>
  <c r="L464" i="8"/>
  <c r="L454" i="8"/>
  <c r="L449" i="8"/>
  <c r="L448" i="8"/>
  <c r="L450" i="8"/>
  <c r="L391" i="8"/>
  <c r="L451" i="8"/>
  <c r="L392" i="8"/>
  <c r="L452" i="8"/>
  <c r="I470" i="8"/>
  <c r="I471" i="8" s="1"/>
  <c r="I484" i="8"/>
  <c r="F20" i="8" l="1"/>
  <c r="J15" i="8"/>
  <c r="I490" i="8"/>
  <c r="D14" i="8"/>
  <c r="J484" i="8"/>
  <c r="K481" i="8"/>
  <c r="J481" i="8"/>
  <c r="J464" i="8"/>
  <c r="J454" i="8"/>
  <c r="K454" i="8"/>
  <c r="C53" i="8"/>
  <c r="N457" i="8"/>
  <c r="N459" i="8"/>
  <c r="E53" i="8"/>
  <c r="N458" i="8"/>
  <c r="D53" i="8"/>
  <c r="G53" i="8"/>
  <c r="N461" i="8"/>
  <c r="N462" i="8"/>
  <c r="H53" i="8"/>
  <c r="D64" i="8"/>
  <c r="I64" i="8"/>
  <c r="H64" i="8"/>
  <c r="E64" i="8"/>
  <c r="G64" i="8"/>
  <c r="C64" i="8"/>
  <c r="F64" i="8"/>
  <c r="F53" i="8"/>
  <c r="N460" i="8"/>
  <c r="J490" i="8" l="1"/>
  <c r="J491" i="8" s="1"/>
  <c r="K484" i="8"/>
  <c r="K490" i="8" s="1"/>
  <c r="K491" i="8" s="1"/>
  <c r="I491" i="8"/>
  <c r="J469" i="8"/>
  <c r="K464" i="8"/>
  <c r="D16" i="8" l="1"/>
  <c r="C20" i="8" s="1"/>
  <c r="I492" i="8"/>
  <c r="I493" i="8" s="1"/>
  <c r="I494" i="8"/>
  <c r="I495" i="8" s="1"/>
  <c r="K469" i="8"/>
  <c r="K494" i="8" s="1"/>
  <c r="F9" i="8"/>
  <c r="J494" i="8"/>
  <c r="C5" i="8" s="1"/>
  <c r="D31" i="5" l="1"/>
  <c r="I539" i="8"/>
  <c r="I540" i="8" s="1"/>
  <c r="D9" i="8" s="1"/>
  <c r="E9" i="8" s="1"/>
  <c r="J13" i="8"/>
  <c r="J16" i="8" s="1"/>
  <c r="D19" i="5"/>
  <c r="F23" i="8"/>
  <c r="K17" i="8" l="1"/>
  <c r="I17" i="8"/>
  <c r="F5" i="8"/>
  <c r="I5" i="8" s="1"/>
  <c r="I20" i="8"/>
  <c r="I23" i="8" s="1"/>
  <c r="K20" i="8"/>
  <c r="K23" i="8" s="1"/>
  <c r="C44" i="5" l="1"/>
  <c r="E22" i="5" l="1"/>
  <c r="E21" i="5"/>
  <c r="E31" i="5" l="1"/>
  <c r="E19" i="5" l="1"/>
  <c r="L470" i="8" l="1"/>
  <c r="E49" i="5"/>
  <c r="E53" i="5" s="1"/>
  <c r="E54" i="5" l="1"/>
  <c r="E56" i="5" s="1"/>
</calcChain>
</file>

<file path=xl/sharedStrings.xml><?xml version="1.0" encoding="utf-8"?>
<sst xmlns="http://schemas.openxmlformats.org/spreadsheetml/2006/main" count="1114" uniqueCount="656">
  <si>
    <t>a 24 Meses</t>
  </si>
  <si>
    <t>Número de Líneas SIP</t>
  </si>
  <si>
    <t>2.b</t>
  </si>
  <si>
    <t>Número de Extensiones SIP</t>
  </si>
  <si>
    <t>Desde:</t>
  </si>
  <si>
    <t>2.c</t>
  </si>
  <si>
    <t>Escoge Negro</t>
  </si>
  <si>
    <t>Referencia</t>
  </si>
  <si>
    <t>iNimbus-2</t>
  </si>
  <si>
    <t>iNimbus-3</t>
  </si>
  <si>
    <t>iNimbus-4</t>
  </si>
  <si>
    <t>iNimbus-6</t>
  </si>
  <si>
    <t>iNimbus-8</t>
  </si>
  <si>
    <t>iNimbus-12</t>
  </si>
  <si>
    <t>Descripción</t>
  </si>
  <si>
    <t>Canales DISA</t>
  </si>
  <si>
    <t>Terminal de Operadora</t>
  </si>
  <si>
    <t>Instalación Equipos</t>
  </si>
  <si>
    <t>Llamadas a FIJOS NAC</t>
  </si>
  <si>
    <t>ilimitadas</t>
  </si>
  <si>
    <t>Llamadas a Fijos Internacionales Zona 1</t>
  </si>
  <si>
    <t>Ilimitadas</t>
  </si>
  <si>
    <t>Cuota de Alta</t>
  </si>
  <si>
    <t>Conexión a la RED Operador</t>
  </si>
  <si>
    <t>Seleccione la cantidad de terminales</t>
  </si>
  <si>
    <t>Tipo Terminal:</t>
  </si>
  <si>
    <t>SIP</t>
  </si>
  <si>
    <t>DSS</t>
  </si>
  <si>
    <t>Pantalla Principal</t>
  </si>
  <si>
    <t>160x384pixels</t>
  </si>
  <si>
    <t>Pantalla Secundaria</t>
  </si>
  <si>
    <t>No</t>
  </si>
  <si>
    <t>Pantalla Táctil</t>
  </si>
  <si>
    <t>Si</t>
  </si>
  <si>
    <t>Pantalla Color</t>
  </si>
  <si>
    <t>Videocámara Integrada</t>
  </si>
  <si>
    <t>Lampara de Mensaje</t>
  </si>
  <si>
    <t>N.º Cuentas SIP</t>
  </si>
  <si>
    <t>Interfaz Red 10/100</t>
  </si>
  <si>
    <t>Interfaz de Red 10/100/1000</t>
  </si>
  <si>
    <t>Puerto RJ9 para Cascos</t>
  </si>
  <si>
    <t>Teclas de Función</t>
  </si>
  <si>
    <t>Teclas Programables</t>
  </si>
  <si>
    <t>Bluetooth Integrado</t>
  </si>
  <si>
    <t>Descolgado Electrónico (EHS)</t>
  </si>
  <si>
    <t>Modulo de Ampliación DSS (KX-HDV20)</t>
  </si>
  <si>
    <t>No Admitido</t>
  </si>
  <si>
    <t>Manos Libres HD Dúplex</t>
  </si>
  <si>
    <t>PoE 802.33af</t>
  </si>
  <si>
    <t xml:space="preserve">Alimentador </t>
  </si>
  <si>
    <t xml:space="preserve">Incluir </t>
  </si>
  <si>
    <t xml:space="preserve">Color: </t>
  </si>
  <si>
    <t>CANTIDAD:</t>
  </si>
  <si>
    <t>Puesta en Marcha y Formación</t>
  </si>
  <si>
    <t>Auditoría de Red</t>
  </si>
  <si>
    <t>a 36 Meses</t>
  </si>
  <si>
    <t>Opcional (Por defecto)</t>
  </si>
  <si>
    <t>No quiero Terminal</t>
  </si>
  <si>
    <t>Escoge Blanco</t>
  </si>
  <si>
    <t>Líneas Seleccionadas</t>
  </si>
  <si>
    <t>Extensiones Seleccionadas</t>
  </si>
  <si>
    <t>Líneas &gt; Extensiones</t>
  </si>
  <si>
    <t>Líneas Corregidas</t>
  </si>
  <si>
    <t>Terminales</t>
  </si>
  <si>
    <t>KX-A423CE</t>
  </si>
  <si>
    <t>Adaptador de Corriente AC para una (1) Teléfono IP SIP Panasonic HDV130. [KX-A423CE / 8657]</t>
  </si>
  <si>
    <t>KX-A424CE</t>
  </si>
  <si>
    <t>Adaptador de Corriente AC para un (1) Teléfono IP SIP Panasonic HDV230/330/430 e IP NT630/680. [KX-A424CE / 11511]</t>
  </si>
  <si>
    <t>KX-HDV130NE</t>
  </si>
  <si>
    <t>Terminal  SIP Panasonic Básico  con pantalla retro iluminada de 132 x 64 pixeles; manos libres full dúplex, 2 Ctas SIP, 2 puertos LAN 10/100, Puerto RJ9 para cascos. PoE. No incluye Alimentador. Color BLANCO. [KX-HDV130NE / 8467]</t>
  </si>
  <si>
    <t>KX-HDV230NE</t>
  </si>
  <si>
    <t>Terminal  SIP Panasonic Básico  con doble pantalla retro iluminada de 2,3" + 5"; 12 teclas flexibles, manos libres HD full dúplex, 6 Ctas SIP, 2 puertos LAN 10/100/1000, Puerto RJ9 para cascos. PoE. No incluye Alimentador. Color BLANCO [KX-HDV230NE / 9049]</t>
  </si>
  <si>
    <t>KX-HDV430NE</t>
  </si>
  <si>
    <t>KX-HDV20NE</t>
  </si>
  <si>
    <t>Consola Panasonic de ampliación con 20 teclas flexibles  para HDV230/330/430. Máx. 1 por terminal. Color BLANCO. [KX-HDV20NE / 9050]</t>
  </si>
  <si>
    <t>KX-HDV130NEB</t>
  </si>
  <si>
    <t>Terminal  SIP Panasonic Básico  con pantalla retro iluminada de 132 x 64 pixeles; manos libres full dúplex, 2 Ctas SIP, 2 puertos LAN 10/100, Puerto RJ9 para cascos. PoE. No incluye Alimentador. Color NEGRO. [KX-HDV130NEB / 8466]</t>
  </si>
  <si>
    <t>KX-HDV230NEB</t>
  </si>
  <si>
    <t>Terminal  SIP Panasonic Básico  con doble pantalla retro iluminada de 2,3" + 5"; 12 teclas flexibles, manos libres HD full dúplex, 6 Ctas SIP, 2 puertos LAN 10/100/1000, Puerto RJ9 para cascos. PoE. No incluye Alimentador. Color NEGRO [KX-HDV230NEB / 9048]</t>
  </si>
  <si>
    <t>KX-HDV430NEB</t>
  </si>
  <si>
    <t>KX-HDV20NEB</t>
  </si>
  <si>
    <t>Consola Panasonic de ampliación con 20 teclas flexibles  para HDV230/330/430. Máx. 1 por terminal. Color NEGRO [KX-HDV20NEB / 9051]</t>
  </si>
  <si>
    <t>KX-A420CE</t>
  </si>
  <si>
    <t>Adaptador de Corriente AC para una (1) Teléfono IP Panasonic serie NT400. [KX-A420CE / 14348]</t>
  </si>
  <si>
    <t>KX-NT553NE</t>
  </si>
  <si>
    <t>KX-NT553NE-B</t>
  </si>
  <si>
    <t>Teléfono IP Panasonic Business. 24 Teclas Programables Autoetiquetables. Pantalla retro iluminada LCD de 3 líneas. Compatible con EHS. Manos libres y PoE. 2 Puertos a Ethernet GIGABIT 1000BaseT. Soporta XML/ No Incluye Alimentación.  /  NS1000 v3 o superior. Color NEGRO. [KX-NT553NE-B / 7460]</t>
  </si>
  <si>
    <t>Sub Total Terminales</t>
  </si>
  <si>
    <t>PBX</t>
  </si>
  <si>
    <t>Centralita Física Inimbus Panasonic  con hasta 2 Líneas SIP y hasta 8 Extensiones SIP</t>
  </si>
  <si>
    <t>Centralita Física Inimbus Panasonic  con hasta 3 Líneas SIP y hasta 12 Extensiones SIP</t>
  </si>
  <si>
    <t>Centralita Física Inimbus Panasonic  con hasta 4 Líneas SIP y hasta 16 Extensiones SIP</t>
  </si>
  <si>
    <t>Centralita Física Inimbus Panasonic  con hasta 6 Líneas SIP y hasta 24 Extensiones SIP</t>
  </si>
  <si>
    <t>Centralita Física Inimbus Panasonic  con hasta 8 Líneas SIP y hasta 32 Extensiones SIP</t>
  </si>
  <si>
    <t>Centralita Física Inimbus Panasonic  con hasta 12 Líneas SIP y hasta 48 Extensiones SIP</t>
  </si>
  <si>
    <t>Sub Total PBX</t>
  </si>
  <si>
    <t>NT553</t>
  </si>
  <si>
    <t>HDV230</t>
  </si>
  <si>
    <t>Total EQUIPOS</t>
  </si>
  <si>
    <t>FINANCIAMIENTO EQUIPOS</t>
  </si>
  <si>
    <t>Recomendar Instalación</t>
  </si>
  <si>
    <t>ST-iNimbus-2</t>
  </si>
  <si>
    <t>ST-iNimbus-3</t>
  </si>
  <si>
    <t>ST-iNimbus-4</t>
  </si>
  <si>
    <t>ST-iNimbus-6</t>
  </si>
  <si>
    <t>ST-iNimbus-8</t>
  </si>
  <si>
    <t>ST-iNimbus-12</t>
  </si>
  <si>
    <t>ST-INSTAL</t>
  </si>
  <si>
    <t>Recomendar Extensión Garantía</t>
  </si>
  <si>
    <t>St-EXT Garantía Recomendada</t>
  </si>
  <si>
    <t>FINANCIAMIENTO  SERVICIOS</t>
  </si>
  <si>
    <t>TOTAL FINANCIAMIENTO EQUIPOS + SERVICIOS</t>
  </si>
  <si>
    <t>WAICOM2</t>
  </si>
  <si>
    <t>WAICOM3</t>
  </si>
  <si>
    <t>WAICOM4</t>
  </si>
  <si>
    <t>WAICOM6</t>
  </si>
  <si>
    <t>WAICOM8</t>
  </si>
  <si>
    <t>WAICOM12</t>
  </si>
  <si>
    <t>Coste por Extensión</t>
  </si>
  <si>
    <t>Cuota Mensual por Extensión Instalada:</t>
  </si>
  <si>
    <t>Cuota Mensual Terminal Unitario:</t>
  </si>
  <si>
    <t>G711</t>
  </si>
  <si>
    <t>Códec Utilizado:</t>
  </si>
  <si>
    <t>WAICOMFIBRA2</t>
  </si>
  <si>
    <t>WAICOMFIBRA3</t>
  </si>
  <si>
    <t>WAICOMFIBRA4</t>
  </si>
  <si>
    <t>WAICOMFIBRA6</t>
  </si>
  <si>
    <t>WAICOMFIBRA8</t>
  </si>
  <si>
    <t>WAICOMFIBRA12</t>
  </si>
  <si>
    <t>BOX12Ilimitada</t>
  </si>
  <si>
    <t>Con los siguientes Servicios Profesionales</t>
  </si>
  <si>
    <t>Otros terminales  (*)</t>
  </si>
  <si>
    <t>Servicios de Operador</t>
  </si>
  <si>
    <t>2.d</t>
  </si>
  <si>
    <t>3.b</t>
  </si>
  <si>
    <t>3.c</t>
  </si>
  <si>
    <t>3.d</t>
  </si>
  <si>
    <t>Puesta en Marcha</t>
  </si>
  <si>
    <t xml:space="preserve"> Almería</t>
  </si>
  <si>
    <t xml:space="preserve"> Badajoz</t>
  </si>
  <si>
    <t xml:space="preserve"> Cáceres</t>
  </si>
  <si>
    <t xml:space="preserve"> Córdoba</t>
  </si>
  <si>
    <t xml:space="preserve"> Cuenca</t>
  </si>
  <si>
    <t xml:space="preserve"> Granada</t>
  </si>
  <si>
    <t xml:space="preserve"> Huelva</t>
  </si>
  <si>
    <t xml:space="preserve"> Huesca</t>
  </si>
  <si>
    <t xml:space="preserve"> Jaén</t>
  </si>
  <si>
    <t xml:space="preserve"> Palencia</t>
  </si>
  <si>
    <t xml:space="preserve"> Salamanca</t>
  </si>
  <si>
    <t xml:space="preserve"> Segovia</t>
  </si>
  <si>
    <t xml:space="preserve"> Soria</t>
  </si>
  <si>
    <t xml:space="preserve"> Teruel</t>
  </si>
  <si>
    <t xml:space="preserve"> Zamora.</t>
  </si>
  <si>
    <t xml:space="preserve"> Alicante</t>
  </si>
  <si>
    <t xml:space="preserve"> Asturias</t>
  </si>
  <si>
    <t xml:space="preserve"> Ávila</t>
  </si>
  <si>
    <t xml:space="preserve"> Barcelona</t>
  </si>
  <si>
    <t xml:space="preserve"> Burgos</t>
  </si>
  <si>
    <t xml:space="preserve"> Cádiz</t>
  </si>
  <si>
    <t xml:space="preserve"> Ciudad Real</t>
  </si>
  <si>
    <t xml:space="preserve"> Girona</t>
  </si>
  <si>
    <t xml:space="preserve"> La Coruña</t>
  </si>
  <si>
    <t xml:space="preserve"> La Rioja</t>
  </si>
  <si>
    <t xml:space="preserve"> Lleida</t>
  </si>
  <si>
    <t xml:space="preserve"> Lugo</t>
  </si>
  <si>
    <t xml:space="preserve"> Madrid</t>
  </si>
  <si>
    <t xml:space="preserve"> Murcia</t>
  </si>
  <si>
    <t xml:space="preserve"> Navarra</t>
  </si>
  <si>
    <t xml:space="preserve"> Orense</t>
  </si>
  <si>
    <t xml:space="preserve"> Sevilla</t>
  </si>
  <si>
    <t xml:space="preserve"> Tarragona</t>
  </si>
  <si>
    <t xml:space="preserve"> Toledo</t>
  </si>
  <si>
    <t xml:space="preserve"> Valencia</t>
  </si>
  <si>
    <t xml:space="preserve"> Valladolid</t>
  </si>
  <si>
    <t xml:space="preserve"> Zaragoza</t>
  </si>
  <si>
    <t xml:space="preserve"> Las Palmas de G.C.</t>
  </si>
  <si>
    <t>Zona A</t>
  </si>
  <si>
    <t>Zona B</t>
  </si>
  <si>
    <t>Zona A+B</t>
  </si>
  <si>
    <t xml:space="preserve"> Albacete</t>
  </si>
  <si>
    <t xml:space="preserve"> Castellón</t>
  </si>
  <si>
    <t xml:space="preserve"> Guadalajara</t>
  </si>
  <si>
    <t xml:space="preserve"> León</t>
  </si>
  <si>
    <t xml:space="preserve"> Álava</t>
  </si>
  <si>
    <t xml:space="preserve"> Baleares</t>
  </si>
  <si>
    <t xml:space="preserve"> Cantabria</t>
  </si>
  <si>
    <t xml:space="preserve"> Málaga</t>
  </si>
  <si>
    <t xml:space="preserve"> Pontevedra</t>
  </si>
  <si>
    <t xml:space="preserve"> Tenerife</t>
  </si>
  <si>
    <t xml:space="preserve"> Vizcaya</t>
  </si>
  <si>
    <t>Recargo x Zona B</t>
  </si>
  <si>
    <t>(i)</t>
  </si>
  <si>
    <t>(ii)</t>
  </si>
  <si>
    <t>(iii) = (I)+(ii)</t>
  </si>
  <si>
    <t>(iv)</t>
  </si>
  <si>
    <t>(v)=(iv)+(iii)</t>
  </si>
  <si>
    <t>EQUIPOS</t>
  </si>
  <si>
    <t>Numeración Geográfica</t>
  </si>
  <si>
    <t>Numeración Geográfica Adicional</t>
  </si>
  <si>
    <t>Fax To MAIL</t>
  </si>
  <si>
    <t>Envío y recepción de faxes desde una cuenta de correo</t>
  </si>
  <si>
    <t>ALEMANIA, AUSTRALIA, AUSTRIA, BÉLGICA, BULGARIA, CANADÁ, CROACIA, R. CHECA, DINAMARCA, ESLOVAQUIA, ESLOVENIA, ESTONIA, FINLANDIA, FRANCIA, GRECIA, HOLANDA, HUNGRÍA, INGLATERRA, IRLANDA, ISRAEL , ITALIA, LETONIA, LITUANIA, LUXEMBURGO, MALTA, NUEVA ZELANDA, NORUEGA, POLONIA, PORTUGAL, RUMANIA, SUDÁFRICA y SUECIA.</t>
  </si>
  <si>
    <t>Referencia:</t>
  </si>
  <si>
    <t>Nombre:</t>
  </si>
  <si>
    <t>Dirección:</t>
  </si>
  <si>
    <t>Atención:</t>
  </si>
  <si>
    <t>Teléfono:</t>
  </si>
  <si>
    <t>Cantidad</t>
  </si>
  <si>
    <t>No Aplica</t>
  </si>
  <si>
    <t>Cuota Mensual</t>
  </si>
  <si>
    <t>Canales de Comunicación</t>
  </si>
  <si>
    <t>TOTAL FINANCIAMIENTO MENSUAL EQUIPOS + SERVICIOS + TARIFA PLANA</t>
  </si>
  <si>
    <t>TOTAL IMPORTE EQUIPOS + SERVICIOS</t>
  </si>
  <si>
    <t>(vi)</t>
  </si>
  <si>
    <t>(vii)</t>
  </si>
  <si>
    <t>(viii)</t>
  </si>
  <si>
    <t>(ix)</t>
  </si>
  <si>
    <t>(x) = (vii)+(viii)+(ix)</t>
  </si>
  <si>
    <t xml:space="preserve">Tiempo Entrega: </t>
  </si>
  <si>
    <t>1 semana</t>
  </si>
  <si>
    <t>IVA</t>
  </si>
  <si>
    <t>1.a</t>
  </si>
  <si>
    <t>Seleccione Los  Equipos que necesita:</t>
  </si>
  <si>
    <t>2.a</t>
  </si>
  <si>
    <t>3.a.</t>
  </si>
  <si>
    <t>4.a</t>
  </si>
  <si>
    <t>Financiación</t>
  </si>
  <si>
    <t>Servicios Operador</t>
  </si>
  <si>
    <t>4.b</t>
  </si>
  <si>
    <t>iNimbusVoIP</t>
  </si>
  <si>
    <t>4.c</t>
  </si>
  <si>
    <t>4.d</t>
  </si>
  <si>
    <t>4.e</t>
  </si>
  <si>
    <t>PROPUESTA</t>
  </si>
  <si>
    <t>TABLA RESUMEN</t>
  </si>
  <si>
    <t>Incluida</t>
  </si>
  <si>
    <t>Llamadas a Móviles Nacionales</t>
  </si>
  <si>
    <t xml:space="preserve"> Guipúzcoa</t>
  </si>
  <si>
    <t>ST Extensión Garantía</t>
  </si>
  <si>
    <t>Sub Total Servicios</t>
  </si>
  <si>
    <t>Cuota Total</t>
  </si>
  <si>
    <t>Instalación</t>
  </si>
  <si>
    <t>Importe Instalación recomendado:</t>
  </si>
  <si>
    <t>Importe Extensión Garantía:</t>
  </si>
  <si>
    <t>Extensión de Garantía Estándar(*)</t>
  </si>
  <si>
    <t>Período Extensión de Garantía:</t>
  </si>
  <si>
    <t>Importe Puesta en Marcha y Formación:</t>
  </si>
  <si>
    <t>Importe Auditoria de Red:</t>
  </si>
  <si>
    <t>Ud. Recibe por esta venta :</t>
  </si>
  <si>
    <t>Garantía Estándar (1er Año )</t>
  </si>
  <si>
    <t>Extensión Garantía Adicional</t>
  </si>
  <si>
    <t xml:space="preserve">La instalación corresponde a la colocación del equipo en las instalaciones del cliente y solo incluye el material para realizar la instalación de la propia PBX. Los precios de la instalación están definidos para la Provincia. Para otras zonas del país por favor consultar.  Solo incluye Mano de Obra. El alcance se limita a 5 horas de programación y entrenamiento en una sola sesión. Este precio de Formación incluye una (1) hora para  entrenamiento al Usuario en una sola sesión continua. 
</t>
  </si>
  <si>
    <t xml:space="preserve">Los Fabricantes o cualquiera de sus distribuidores no pueden hacerse responsables por precios,  términos o condiciones de venta que sean causadas por  errores tipográficos y se reserva el derecho de anular cualquier pedido producto de dichos errores.  Los precios, promociones, especificaciones, condiciones de venta de las ofertas son para clientes en España Peninsular  y Baleares, y pueden cambiar sin notificación previa.
</t>
  </si>
  <si>
    <t xml:space="preserve">Servicio Ofrecido por: </t>
  </si>
  <si>
    <t>iNimbus VoIP es una marca registrada.</t>
  </si>
  <si>
    <t>Seleccione el color del terminal de Operadora</t>
  </si>
  <si>
    <t xml:space="preserve">powered by </t>
  </si>
  <si>
    <t>Canales de Comunicación SIP</t>
  </si>
  <si>
    <t>Numeración Geográfica D.D.I.</t>
  </si>
  <si>
    <t>Llamadas a FIJOS Nacionales</t>
  </si>
  <si>
    <t>Cuota por Numeración Geográfica Adicional (D.D.I.)</t>
  </si>
  <si>
    <t>Cuota por Servicio de Fax To MAIL Opcional</t>
  </si>
  <si>
    <t>Aprobado Por:</t>
  </si>
  <si>
    <t>B87999017</t>
  </si>
  <si>
    <r>
      <rPr>
        <sz val="12"/>
        <color theme="0"/>
        <rFont val="Century Gothic"/>
        <family val="2"/>
      </rPr>
      <t>INIMBUS VOIP, S.L</t>
    </r>
    <r>
      <rPr>
        <sz val="9"/>
        <color theme="0"/>
        <rFont val="Century Gothic"/>
        <family val="2"/>
      </rPr>
      <t xml:space="preserve">       es una empresa con registro Mercantil de Madrid; Tomo: 37.058; Folio:100; Sección: 8; Hoja: M-661848, Inscripción: 1</t>
    </r>
  </si>
  <si>
    <t>Calle Herramientas 34, 28918 Leganés, Madrid, España.</t>
  </si>
  <si>
    <t>128x160 (1,8")</t>
  </si>
  <si>
    <t>SI</t>
  </si>
  <si>
    <t>Puerto 2.5mm (miniJack) para Cascos</t>
  </si>
  <si>
    <t>HTS32</t>
  </si>
  <si>
    <t>NS500</t>
  </si>
  <si>
    <t>NS5110</t>
  </si>
  <si>
    <t>LICENCIAS CANALES SIP</t>
  </si>
  <si>
    <t>Licencia canales 2 SIP - NSM102</t>
  </si>
  <si>
    <t>Licencia canales 4 SIP - NSM104</t>
  </si>
  <si>
    <t>Licencia canales 8 SIP - NSM108</t>
  </si>
  <si>
    <t>Licencia canales 16 SIP - NSM116</t>
  </si>
  <si>
    <t>LICENCIAS EXTENSIONES</t>
  </si>
  <si>
    <t>Lic. Ext 1 - NSM501</t>
  </si>
  <si>
    <t>Lic. Ext 5 - NSM505</t>
  </si>
  <si>
    <t>Lic. Ext 10 - NSM510</t>
  </si>
  <si>
    <t>Lic. Ext 20 - NSM520</t>
  </si>
  <si>
    <t>Plataforma</t>
  </si>
  <si>
    <t>SUB Total (sin IVA)</t>
  </si>
  <si>
    <t>KX-TGP600CE</t>
  </si>
  <si>
    <t>KX-TPA65CE</t>
  </si>
  <si>
    <t>KX-A406CE</t>
  </si>
  <si>
    <t>Sistema Panasonic IP Dect (SIP/Dect) TGP600 conformado por Base IPDECT + un (1)  terminal DECT. Soporta tres (3) conversaciones simultáneas y se pueden agregar  hasta cinco (5) terminales adicionales. Que pueden ser TPA60, TPA65; UDT121y UDT131 [KX-TGP600CEB / 8435]</t>
  </si>
  <si>
    <t>Terminal Panasonic Inalámbrico Dect para Sistema IPDect TGP600  (SIP/Dect) [KX-TPA60CEB / 8693]</t>
  </si>
  <si>
    <t>Terminal Panasonic Inalámbrico Dect de sobremesa para Sistema IPDect TGP600  (SIP/Dect). Pantalla retro iluminada a color de 1,8" [KX-TPA65CE / 9332]</t>
  </si>
  <si>
    <t>Puerto 3.5mm (minijack) para Cascos</t>
  </si>
  <si>
    <t>KX-HDV340NE</t>
  </si>
  <si>
    <t>KX-HDV340NEB</t>
  </si>
  <si>
    <t>SIPDect</t>
  </si>
  <si>
    <t>Dect</t>
  </si>
  <si>
    <t>KX-TPA65CEB</t>
  </si>
  <si>
    <t>KX-TPA60CEB</t>
  </si>
  <si>
    <t>Terminal Panasonic Inalámbrico Dect de sobremesa para Sistema IPDect TGP600  (SIP/Dect). Pantalla retro iluminada a color de 1,8" [KX-TPA65CEB / 8694]</t>
  </si>
  <si>
    <t>Solo en Negro</t>
  </si>
  <si>
    <t>PRICE</t>
  </si>
  <si>
    <t>KX-NSF101W</t>
  </si>
  <si>
    <t>I N A L A M B R I C O S</t>
  </si>
  <si>
    <t>Terminal SIP Panasonic Avanzado con panel táctil LCD color de 4,3", Bluetooth, 4Ctas SIP, 2  Puertos GigaEthernet, 24 teclas BLF, HD, Manos Libres Full dúplex. Color BLANCO [KX-HDV340NE / 14713]</t>
  </si>
  <si>
    <t>Terminal SIP Panasonic Avanzado con panel táctil LCD color de 4,3", Bluetooth, Cámara de Vídeo integrada,16 Ctas SIP, 2  Puertos GigaEthernet, 24 teclas BLF, HD, Manos Libres Full dúplex. EHS + RJ9.Color BLANCO. [KX-HDV430NE / 11365]</t>
  </si>
  <si>
    <t>Terminal SIP Panasonic Avanzado con panel táctil LCD color de 4,3", Bluetooth, 4 Ctas SIP, 2  Puertos GigaEthernet, 24 teclas BLF, HD, Manos Libres Full dúplex. Color NEGRO. [KX-HDV340NEB / 14712]</t>
  </si>
  <si>
    <t>Terminal SIP Panasonic Avanzado con panel táctil LCD color de 4,3", Bluetooth, Cámara de Vídeo integrada,16 Ctas SIP, 2  Puertos GigaEthernet, 24 teclas BLF, HD, Manos Libres Full dúplex. EHS + RJ9. Color NEGRO. [KX-HDV430NEB / 11364]</t>
  </si>
  <si>
    <t xml:space="preserve">Incluido </t>
  </si>
  <si>
    <t>Estas Líneas están asociadas siempre a la contratación de los Servicios de Telefonía Fija y NO incluyen el terminal de telefonía móvil</t>
  </si>
  <si>
    <t>Precio Unit</t>
  </si>
  <si>
    <t>Precio Total</t>
  </si>
  <si>
    <t>PVP Navision</t>
  </si>
  <si>
    <t>TABLA DE RENTING</t>
  </si>
  <si>
    <t>TABLA DE CAPACIDAD</t>
  </si>
  <si>
    <t>C O N      C A B L E</t>
  </si>
  <si>
    <t>SIP Softphone</t>
  </si>
  <si>
    <t>S O F T W A R E</t>
  </si>
  <si>
    <t>KX-UCMA001W</t>
  </si>
  <si>
    <t>KX-UCMA005W</t>
  </si>
  <si>
    <t>KX-UCMA010W</t>
  </si>
  <si>
    <t>KX-UCMA025W</t>
  </si>
  <si>
    <t>KX-UCMA050W</t>
  </si>
  <si>
    <t>Licencia Panasonic para un (1) usuario softphone SIP. Exclusivo para KX-NSxxx/HTS32. [KX-UCMA001W / 13789]</t>
  </si>
  <si>
    <t>Licencia Panasonic para cinco (5 ) usuarios softphone SIP. Exclusivo para KX-NSxxx/HTS32. [KX-UCMA005W / 13790]</t>
  </si>
  <si>
    <t>Licencia Panasonic para 10 usuarios softphone SIP. Exclusivo para KX-NSxxx/HTS32. [KX-UCMA010W / 13791]</t>
  </si>
  <si>
    <t>Licencia Panasonic para 25 usuarios softphone SIP. Exclusivo para KX-NSxxx/HTS32. [KX-UCMA025W / 13792]</t>
  </si>
  <si>
    <t>320x240 (3,5")</t>
  </si>
  <si>
    <t>KX-TPA68CEB</t>
  </si>
  <si>
    <t>Terminal Panasonic Inalámbrico Dect de sobremesa para Sistema IPDect TGP600  (SIP/Dect). Pantalla retro iluminada a color de 3,5" [KX-TPA68CEB / 15076]</t>
  </si>
  <si>
    <t>iNimbus-ESP</t>
  </si>
  <si>
    <t>iNimbusESP</t>
  </si>
  <si>
    <t>PVP PBX (Sin Terminales HDV/TGP/Softphone):</t>
  </si>
  <si>
    <t>(xii) = (x) + (vi)</t>
  </si>
  <si>
    <t xml:space="preserve">Debes Activar las Macros para poder usar este libro. </t>
  </si>
  <si>
    <t>Dicha configuración se encuentra en Archivo &gt; Opciones &gt; Centro de confianza &gt; Configuración del Centro de confianza &gt; Configuración de macros.</t>
  </si>
  <si>
    <t>Mensual</t>
  </si>
  <si>
    <t xml:space="preserve">Cuota Total : </t>
  </si>
  <si>
    <t xml:space="preserve">Cuota Total /Ext: </t>
  </si>
  <si>
    <t>Cuota Mes</t>
  </si>
  <si>
    <t>Cuota Mes/ Ext</t>
  </si>
  <si>
    <t>REFERENCIA</t>
  </si>
  <si>
    <t>Cuota ALTA</t>
  </si>
  <si>
    <t>del Equipamiento:</t>
  </si>
  <si>
    <t>Serv. Oper. FIJO</t>
  </si>
  <si>
    <t>Serv. Oper. Móvil</t>
  </si>
  <si>
    <t>Factor de corrección</t>
  </si>
  <si>
    <t>Teléfono IP Panasonic Business. 24 Teclas Programables Auto etiquetables. Pantalla retro iluminada LCD de 3 líneas. Compatible con EHS. Manos libres y PoE. 2 Puertos a Ethernet GIGABIT 1000BaseT. Soporta XML/ No Incluye Alimentación.  /  NS1000 v3 o superior. Color BLANCO. [KX-NT553NE / 7480]</t>
  </si>
  <si>
    <t>Repetidor Dect para cuatro (4) canales. Funciona con  TGP6xx. [KX-A406CE / 8733]</t>
  </si>
  <si>
    <t>Equip+Serv Prof.</t>
  </si>
  <si>
    <t>Hasta Aquí Usted recibe por esta Operación (A) + (B)</t>
  </si>
  <si>
    <t>(iii)</t>
  </si>
  <si>
    <t>Por Mantenimiento:</t>
  </si>
  <si>
    <t>Por Instalación:</t>
  </si>
  <si>
    <t>Meses</t>
  </si>
  <si>
    <t>Total  por Servicios Prof.:</t>
  </si>
  <si>
    <t>Total Recurrente por Servicios Oper.:</t>
  </si>
  <si>
    <t xml:space="preserve">(iv) = (i) + (ii) + (iii) </t>
  </si>
  <si>
    <t>PBX + Terminales</t>
  </si>
  <si>
    <t>Sólo PBX</t>
  </si>
  <si>
    <t xml:space="preserve"> hasta 48 Meses</t>
  </si>
  <si>
    <t>Ingreso UNICO de:</t>
  </si>
  <si>
    <t>Ingreso Mensual por Servicios Operador</t>
  </si>
  <si>
    <t>Por otros conceptos:</t>
  </si>
  <si>
    <t>Cuota Equip+Serv Prof.(i) :</t>
  </si>
  <si>
    <t>Su Cliente paga por:</t>
  </si>
  <si>
    <t>Con los siguientes Equipos:</t>
  </si>
  <si>
    <r>
      <t xml:space="preserve">SERV. </t>
    </r>
    <r>
      <rPr>
        <sz val="11"/>
        <color theme="1"/>
        <rFont val="Century Gothic"/>
        <family val="2"/>
      </rPr>
      <t>PROFESIONALES</t>
    </r>
  </si>
  <si>
    <t>SERV. OPER</t>
  </si>
  <si>
    <t>FXS</t>
  </si>
  <si>
    <t>DA210</t>
  </si>
  <si>
    <t>DA310</t>
  </si>
  <si>
    <t>DA410</t>
  </si>
  <si>
    <t>No.</t>
  </si>
  <si>
    <t>DA210-Blanco</t>
  </si>
  <si>
    <t>DA310-Blanco</t>
  </si>
  <si>
    <t>DA410-Blanco</t>
  </si>
  <si>
    <t>DA210-Negro</t>
  </si>
  <si>
    <t>DA310-Negro</t>
  </si>
  <si>
    <t>DA410-Negro</t>
  </si>
  <si>
    <t>Teléfono Analógico Gigaset DA210 Tipo Góndola para Montaje en Pared BLANCO [DA210 blanco / 5898]</t>
  </si>
  <si>
    <t>Teléfono Analógico Gigaset DA310 Tipo Sobremesa. 4 teclas de marcación rápida.  BLANCO [DA310 blanco / 5797]</t>
  </si>
  <si>
    <t>Teléfono Analógico Gigaset DA410 Tipo Sobremesa. Manos Libres. 4 teclas de marcación rápida.  BLANCO [DA410 blanco / 7483]</t>
  </si>
  <si>
    <t>Teléfono Analógico Gigaset DA210 Tipo Góndola para Montaje en Pared NEGRO [DA210 negro / 6600]</t>
  </si>
  <si>
    <t>Teléfono Analógico Gigaset DA310 Tipo Sobremesa. 4 teclas de marcación rápida.  NEGRO [DA310 negro / 5952]</t>
  </si>
  <si>
    <t>Teléfono Analógico Gigaset DA410 Tipo Sobremesa. Manos Libres. 4 teclas de marcación rápida.  NEGRO [DA410 negro / 7513]</t>
  </si>
  <si>
    <t>GIG-A220 Negro</t>
  </si>
  <si>
    <t>GIG-SL450</t>
  </si>
  <si>
    <t>Teléfono inalámbrico Dect Gigaset SL450. [Gigaset SL450 / 11672]</t>
  </si>
  <si>
    <t>GIG-C530IP</t>
  </si>
  <si>
    <t>ALC-CONFERENCE1550 SIP</t>
  </si>
  <si>
    <t>Terminal Alcatel SIP AudioConferencia Conference 1550  con 2 micrófonos DECT desmontables, Manos libres full dúplex , Pantalla retro iluminada con identificación del llamante, 5 memorias directas, Ideal para salas de conferencias pequeñas, Recomendado hasta 6 participantes. [Conference Junior IP1550 CE / 12177]</t>
  </si>
  <si>
    <t>ALC-CONFERENCE1500</t>
  </si>
  <si>
    <t>Terminal Alcatel Analógico AudioConferencia Conference 1500  con 2 micrófonos DECT desmontables, Manos libres full dúplex , Pantalla retro iluminada con identificación del llamante, Ideal para salas de conferencias de pequeñas y medianas superficies, Recomendado hasta 5 participantes. [Alcatel Conference 1500 CE / 8621]</t>
  </si>
  <si>
    <t>GIG-N870_IP_PRO</t>
  </si>
  <si>
    <t>GIG-R650H-PRO</t>
  </si>
  <si>
    <t>Teléfono inalámbrico Dect Gigaset R650H PRO. Pantalla Color TFT 1.8", Rugerizado y Resistente a Golpes y Salpicaduras (IP67) [R650H PRO / 11456]</t>
  </si>
  <si>
    <t>GIG-S650H-PRO</t>
  </si>
  <si>
    <t>Teléfono inalámbrico Dect Gigaset S650H PRO. Pantalla Color TFT 1.8", Bluetooh y USB [Gigaset S650H Pro / 11509]</t>
  </si>
  <si>
    <t>GIG-SL750H-PRO</t>
  </si>
  <si>
    <t>Teléfono inalámbrico Dect Gigaset S750H PRO. Pantalla Color TFT 2.4", Bluetooh y USB [Gigaset SL750H Pro / 11895]</t>
  </si>
  <si>
    <t>CONFERENCE1500</t>
  </si>
  <si>
    <t>CONFERENCE1550</t>
  </si>
  <si>
    <t>A220</t>
  </si>
  <si>
    <t>SL450</t>
  </si>
  <si>
    <t>C530IP</t>
  </si>
  <si>
    <t>C530H</t>
  </si>
  <si>
    <t>Supletorio Terminal C530Ip</t>
  </si>
  <si>
    <t>Número de Extensiones FXS (base)</t>
  </si>
  <si>
    <t>Extensiones SIPCorregidas</t>
  </si>
  <si>
    <t>Extensiones FXS</t>
  </si>
  <si>
    <t>EXT.SIP</t>
  </si>
  <si>
    <t>LIN SIP</t>
  </si>
  <si>
    <t>Choosed Lines</t>
  </si>
  <si>
    <t>Choosed Ext.</t>
  </si>
  <si>
    <t>EXT. FXS</t>
  </si>
  <si>
    <t>Nº Terminales SIP Seleccionados</t>
  </si>
  <si>
    <t>Nº Terminales FXS Seleccionados</t>
  </si>
  <si>
    <t>FIBRA LCRcom Pro 300 Mb simétricos / IP Fija (Para más IPs fijas consultar precios) / Máxima Velocidad de línea. / Secured Wireless Network and Guest Zone. / Línea e instalación de PTO incluida</t>
  </si>
  <si>
    <t>Tarifas Decrecientes</t>
  </si>
  <si>
    <t>Precio A Partir de 24 Meses</t>
  </si>
  <si>
    <t>Incluir Instalación de los Equipos</t>
  </si>
  <si>
    <t>No Incluir</t>
  </si>
  <si>
    <t>Incluir Extensión de Garantía para estos equipos:</t>
  </si>
  <si>
    <t>Importe Total de la Cuota al Cliente por todos los servicios contratados: PBX, Terminales, Servicios profesionales y Servicios de Operador Móvil y Fijo.</t>
  </si>
  <si>
    <t>140x64</t>
  </si>
  <si>
    <t xml:space="preserve">158x57 </t>
  </si>
  <si>
    <t>GAP</t>
  </si>
  <si>
    <t>240x320 (2,4")</t>
  </si>
  <si>
    <t>90x64(1,4")</t>
  </si>
  <si>
    <t>Puerto RJ11</t>
  </si>
  <si>
    <t>Incluido</t>
  </si>
  <si>
    <t>Alquiler ONT para conexión de FIBRA Simétrica</t>
  </si>
  <si>
    <t>Alquiler Router para conexión de FIBRA Simétrica</t>
  </si>
  <si>
    <t xml:space="preserve">CTA SIP </t>
  </si>
  <si>
    <t>Trunk SIP</t>
  </si>
  <si>
    <t>Conexión a Fibra</t>
  </si>
  <si>
    <t>Instalación Básica Fibra</t>
  </si>
  <si>
    <t>Instalación Avanzada Fibra</t>
  </si>
  <si>
    <t xml:space="preserve">Tarifa decreciente hasta </t>
  </si>
  <si>
    <t>1000 Min</t>
  </si>
  <si>
    <t>2500 Min</t>
  </si>
  <si>
    <t>5000 Min</t>
  </si>
  <si>
    <t>10000 Min</t>
  </si>
  <si>
    <t>Pero aún hay más, Si amplia el contrato</t>
  </si>
  <si>
    <t>Incluir Instalación Router/ONT</t>
  </si>
  <si>
    <t>Ninguna</t>
  </si>
  <si>
    <t>Básico</t>
  </si>
  <si>
    <t>Avanzada</t>
  </si>
  <si>
    <t>PLANA</t>
  </si>
  <si>
    <t>A MEDIDA</t>
  </si>
  <si>
    <t>Incluir la Tarifa</t>
  </si>
  <si>
    <t>Cuenta SIP</t>
  </si>
  <si>
    <t>2.d.1</t>
  </si>
  <si>
    <t>2.d.2</t>
  </si>
  <si>
    <t xml:space="preserve">Agregue  los Servicios Profesionales de Instalación y Mantenimiento </t>
  </si>
  <si>
    <t>3 Canales de Voz Simultaneas</t>
  </si>
  <si>
    <t>4.f</t>
  </si>
  <si>
    <t xml:space="preserve">Red Inteligente </t>
  </si>
  <si>
    <t>Red Inteligente (900/901/902/807)</t>
  </si>
  <si>
    <t>Centralización de llamadas de distintas localidades en un mismo número</t>
  </si>
  <si>
    <t>4.g</t>
  </si>
  <si>
    <t>FAX TO MAIL</t>
  </si>
  <si>
    <t>Solo para Trunk SIP</t>
  </si>
  <si>
    <t xml:space="preserve">Número de Líneas Móviles </t>
  </si>
  <si>
    <t>Esta Cuota Incluye:</t>
  </si>
  <si>
    <t>Conexión FIBRA SIMETRICA a la RED Operador</t>
  </si>
  <si>
    <t>Cuota Router para conexión de FIBRA Simétrica</t>
  </si>
  <si>
    <t>Cuota ONT para conexión de FIBRA Simétrica</t>
  </si>
  <si>
    <t xml:space="preserve">Cuota por  Línea(s) Móvil(es) con SIM y Tarifa ilimitada BOX12 </t>
  </si>
  <si>
    <t>(ii) Cuota Mensual Tráfico y Servicios de Operador Fijo</t>
  </si>
  <si>
    <t>(i) Cuota Mensual Financiamiento Equipos + Servicios Instalación</t>
  </si>
  <si>
    <t>(iii) Cuota Mensual Tráfico y Servicios de Operador Móvil</t>
  </si>
  <si>
    <t xml:space="preserve">Admite números geográficos ilimitados portados o nuevos.     </t>
  </si>
  <si>
    <t>Número  Geográfico</t>
  </si>
  <si>
    <t>Todos los Precios NO incluyen IVA</t>
  </si>
  <si>
    <t>Modulo de Ampliación DSS</t>
  </si>
  <si>
    <t>Mensual/FIBRA</t>
  </si>
  <si>
    <t>Mensual/Servicio</t>
  </si>
  <si>
    <t>Mensual/CtaSIP</t>
  </si>
  <si>
    <t>Mensual/Trunk</t>
  </si>
  <si>
    <t>Mensual / DDI</t>
  </si>
  <si>
    <t>Con Conexión</t>
  </si>
  <si>
    <t>Número de Canales de Voz:</t>
  </si>
  <si>
    <t>Servicio Básico VoIP:</t>
  </si>
  <si>
    <t>Número de Minutos  Máximos:</t>
  </si>
  <si>
    <t>Servicio FAX TO MAIL:</t>
  </si>
  <si>
    <t>Servicio Red Inteligente:</t>
  </si>
  <si>
    <t>Conexión de FIBRA:</t>
  </si>
  <si>
    <t>4.h</t>
  </si>
  <si>
    <t>Nuestra Tarifa Plana Incluye:</t>
  </si>
  <si>
    <t>Minutos ilimitados en llamadas a Móviles Nacionales; Fijos Nacionales y Fijos de más de 30 Países (*)</t>
  </si>
  <si>
    <t>Números Geográficos según el Plan (Ver Tabla resumen de Servicios de Operador arriba)</t>
  </si>
  <si>
    <r>
      <t xml:space="preserve">La conexión con Fibra a Internet si se selecciona en el apartado </t>
    </r>
    <r>
      <rPr>
        <b/>
        <sz val="12"/>
        <color theme="1"/>
        <rFont val="Century Gothic"/>
        <family val="2"/>
      </rPr>
      <t>4h</t>
    </r>
  </si>
  <si>
    <t>Destinos Internacionales Cubiertos en la Tarifa Plana</t>
  </si>
  <si>
    <t>Si Selecciona la Tarifa A MEDIDA podrá escoger las Ctas SIP o TrunkSIP</t>
  </si>
  <si>
    <t>TERMINOS DE LA OFERTA                                                          (i)+(ii)+(iii)</t>
  </si>
  <si>
    <t>Cuota por Servicio RED Inteligente (900/901/902/807)</t>
  </si>
  <si>
    <t>Sin Conexión</t>
  </si>
  <si>
    <t>(*)</t>
  </si>
  <si>
    <t>Observaciones</t>
  </si>
  <si>
    <t>Incluir</t>
  </si>
  <si>
    <t>à  à  à</t>
  </si>
  <si>
    <t>OpenScape Business X1 System Box_x000D_
Wall-Mount Design, LAN/WAN, 2×S0 / 8×UP0/E / 4×analog (a/b)</t>
  </si>
  <si>
    <t>OpenScape Business Voice Mail</t>
  </si>
  <si>
    <t>OpenScape Business IP User 3y SSP</t>
  </si>
  <si>
    <t>OpenScape Business AutoAttendant</t>
  </si>
  <si>
    <t>Mains Power Cord, 2·5m, EU</t>
  </si>
  <si>
    <t>OpenScape Business S2M/SIP/T1 Trunks</t>
  </si>
  <si>
    <t>Cover Plate for unused periphery slots</t>
  </si>
  <si>
    <t>OpenScape Business X3R System Box, Rack-Mount Design, LAN/WAN, 2×S0 / 8×UP0/E / 4×analog (a/b)</t>
  </si>
  <si>
    <t>X3</t>
  </si>
  <si>
    <t>X1</t>
  </si>
  <si>
    <t>Número de Líneas RDSI</t>
  </si>
  <si>
    <t>CP100</t>
  </si>
  <si>
    <t>CP200</t>
  </si>
  <si>
    <t>CP205</t>
  </si>
  <si>
    <t>OpenScape Desk Phone CP100</t>
  </si>
  <si>
    <t>OpenScape Desk Phone CP200</t>
  </si>
  <si>
    <t>OpenScape Desk Phone CP205</t>
  </si>
  <si>
    <t>OpenScape Desk Phone CP400</t>
  </si>
  <si>
    <t>OpenScape Desk Phone CP600</t>
  </si>
  <si>
    <t>OpenScape Desk Phone CP600E</t>
  </si>
  <si>
    <t>OpenScape Key Module 400</t>
  </si>
  <si>
    <t>OpenScape Key Module 600</t>
  </si>
  <si>
    <t xml:space="preserve">162x48 pixels </t>
  </si>
  <si>
    <t>SIP &amp; HFA</t>
  </si>
  <si>
    <t>CP400</t>
  </si>
  <si>
    <t>CP600</t>
  </si>
  <si>
    <t>CP600E</t>
  </si>
  <si>
    <t>KM400</t>
  </si>
  <si>
    <t>KM600</t>
  </si>
  <si>
    <t>Si Incluir el Terminal</t>
  </si>
  <si>
    <t xml:space="preserve">192x48pixels </t>
  </si>
  <si>
    <t>Devices Power Adapter Europe (EU)</t>
  </si>
  <si>
    <t>A través del Terminal</t>
  </si>
  <si>
    <t>OpenScape PE</t>
  </si>
  <si>
    <t>OpenScape Personal Edition V7 SIP User License</t>
  </si>
  <si>
    <t>SSP 1Y for OpenScape Personal Edition V7 SIP User License</t>
  </si>
  <si>
    <t>Licencia Anual</t>
  </si>
  <si>
    <t>Según PC</t>
  </si>
  <si>
    <t xml:space="preserve">No </t>
  </si>
  <si>
    <t>2.e</t>
  </si>
  <si>
    <t>Team</t>
  </si>
  <si>
    <t>Profesional</t>
  </si>
  <si>
    <t>Enterprise</t>
  </si>
  <si>
    <t>Circuit Team</t>
  </si>
  <si>
    <t>Circuit Enterprise</t>
  </si>
  <si>
    <t>Licencia Circuit Team</t>
  </si>
  <si>
    <t>Licencia Circuit Professional</t>
  </si>
  <si>
    <t>Circuit Professional</t>
  </si>
  <si>
    <t>Licencia Circuit EnterPrise</t>
  </si>
  <si>
    <t xml:space="preserve">Solución de Colaboración </t>
  </si>
  <si>
    <t>Número de Usuarios</t>
  </si>
  <si>
    <t>Ilimitados</t>
  </si>
  <si>
    <t>5GB</t>
  </si>
  <si>
    <t>10GB</t>
  </si>
  <si>
    <t>20GB</t>
  </si>
  <si>
    <t>Almacenamiento por Usuario</t>
  </si>
  <si>
    <t>Número de Usuarios/Conferencia</t>
  </si>
  <si>
    <t>Audio y Videoconferencia</t>
  </si>
  <si>
    <t>Llamadas de Voz y Video</t>
  </si>
  <si>
    <t>Compartir Archivos</t>
  </si>
  <si>
    <t>Compartir Pantalla</t>
  </si>
  <si>
    <t>Soporte Help Desk Circuit</t>
  </si>
  <si>
    <t>Grabación</t>
  </si>
  <si>
    <t>No ampliable y No Comisionable</t>
  </si>
  <si>
    <t>Ampliable pero no Comisionable</t>
  </si>
  <si>
    <t>Circuit</t>
  </si>
  <si>
    <r>
      <rPr>
        <sz val="11"/>
        <color theme="1" tint="0.14999847407452621"/>
        <rFont val="Century Gothic"/>
        <family val="2"/>
      </rPr>
      <t>Cuota</t>
    </r>
    <r>
      <rPr>
        <sz val="14"/>
        <color theme="1" tint="0.14999847407452621"/>
        <rFont val="Century Gothic"/>
        <family val="2"/>
      </rPr>
      <t xml:space="preserve"> Fijo</t>
    </r>
    <r>
      <rPr>
        <sz val="12"/>
        <color theme="1" tint="0.14999847407452621"/>
        <rFont val="Century Gothic"/>
        <family val="2"/>
      </rPr>
      <t xml:space="preserve"> </t>
    </r>
    <r>
      <rPr>
        <sz val="8"/>
        <color theme="1" tint="0.14999847407452621"/>
        <rFont val="Century Gothic"/>
        <family val="2"/>
      </rPr>
      <t>(ii)</t>
    </r>
    <r>
      <rPr>
        <sz val="12"/>
        <color theme="1" tint="0.14999847407452621"/>
        <rFont val="Century Gothic"/>
        <family val="2"/>
      </rPr>
      <t xml:space="preserve"> (**)</t>
    </r>
  </si>
  <si>
    <r>
      <rPr>
        <sz val="11"/>
        <color theme="1" tint="0.14999847407452621"/>
        <rFont val="Century Gothic"/>
        <family val="2"/>
      </rPr>
      <t>Cuota</t>
    </r>
    <r>
      <rPr>
        <sz val="14"/>
        <color theme="1" tint="0.14999847407452621"/>
        <rFont val="Century Gothic"/>
        <family val="2"/>
      </rPr>
      <t xml:space="preserve"> Móvil</t>
    </r>
    <r>
      <rPr>
        <sz val="12"/>
        <color theme="1" tint="0.14999847407452621"/>
        <rFont val="Century Gothic"/>
        <family val="2"/>
      </rPr>
      <t xml:space="preserve"> </t>
    </r>
    <r>
      <rPr>
        <sz val="10"/>
        <color theme="1" tint="0.14999847407452621"/>
        <rFont val="Century Gothic"/>
        <family val="2"/>
      </rPr>
      <t>(iii)</t>
    </r>
  </si>
  <si>
    <t>CANTIDAD de usuarios:</t>
  </si>
  <si>
    <r>
      <t>iOS, Android; Chrome, Firefox, i</t>
    </r>
    <r>
      <rPr>
        <sz val="16"/>
        <color theme="1"/>
        <rFont val="Century Gothic"/>
        <family val="2"/>
      </rPr>
      <t>e</t>
    </r>
  </si>
  <si>
    <t>TOTAL TARIFA PLANA SIN FIBRA</t>
  </si>
  <si>
    <t>TOTAL TARIFA PLANA CON FIBRA</t>
  </si>
  <si>
    <t>TOTAL FINANCIAMINTO TARIFA A MEDIDA  + SERVICIOS ( NO COMISIONABLE)</t>
  </si>
  <si>
    <t>TOTAL FINANCIAMINTO TARIFA PLANA (COMISIONABLE)</t>
  </si>
  <si>
    <t>TOTAL FINANCIAMIENTO TARIFAS PLANA, AMEDIDA + SERVIVICIOS</t>
  </si>
  <si>
    <t>Mensual/Línea</t>
  </si>
  <si>
    <t>Importe de la cuota mensual al Cliente que incluye: LA PBX, Los terminales y Los servicios profesionales de Instalación de equipos</t>
  </si>
  <si>
    <t>Importe de la cuota mensual al cliente por concepto de los servicios de Operador por Telefonía Fija: Líneas, Nº Geográfico, Tarifas planas, Tarifas decrecientes, etc.</t>
  </si>
  <si>
    <t>Importe de la cuota mensual al Cliente por concepto de los servicios de Operador Móvil: Líneas Móviles Contratadas.</t>
  </si>
  <si>
    <t>No incluido instalación de Router y ONT. Router recomendado 300 Mb Mikrotik RBD52G, alquiler opcional con coste +6€/mes. En caso de no contar con cobertura de 300 Mb se instalarán 100 Mb. ONT recomendada Nokia 7368 ISAM, alquiler opcional con coste +6€/mes, compra opcional por 62,70 €. En caso de baja del servicio, el equipamiento en alquiler será devuelto. Permanencia: 24 meses. Penalización en caso de baja anticipada: 60€.  Plazo máximo de instalación 20 días laborables.</t>
  </si>
  <si>
    <t>Estación Base Multicelda Gigaset VoIP Dect  N870 IP PRO.  hasta 250  terminales/60 Estaciones base. 1 Puerto 10/100. PoE.  Fte de Alimentación NO Incluida [GIGAN870PRO/ (EOL) ]</t>
  </si>
  <si>
    <t>Incluya los terminales, Softphone y Circuit  Adicionales</t>
  </si>
  <si>
    <t>Revisar punto E.2 del contrato para comprobar servicios NO comisionables</t>
  </si>
  <si>
    <t>No incluye Número Geográfico</t>
  </si>
  <si>
    <t>iNimbus-U2</t>
  </si>
  <si>
    <t>iNimbus-U3</t>
  </si>
  <si>
    <t>iNimbus-U4</t>
  </si>
  <si>
    <t>iNimbus-U6</t>
  </si>
  <si>
    <t>iNimbus-U8</t>
  </si>
  <si>
    <t>iNimbus-U12</t>
  </si>
  <si>
    <t>TOTAL FINANCIACION SERVICOS MOBILES</t>
  </si>
  <si>
    <t>Margen terminales</t>
  </si>
  <si>
    <t>Permanencia: 24 meses. Penalización en caso de baja anticipada se aplicará el cargo correspondiente según contrato. En caso de baja del servicio, el equipamiento en alquiler será devuelto.</t>
  </si>
  <si>
    <t>Centralita Física Inimbus Unify  con hasta 2 Líneas SIP y hasta 8 Extensiones SIP</t>
  </si>
  <si>
    <t>Centralita Física Inimbus Unify  con hasta 3 Líneas SIP y hasta 12 Extensiones SIP</t>
  </si>
  <si>
    <t>Centralita Física Inimbus Unify  con hasta 4 Líneas SIP y hasta 16 Extensiones SIP</t>
  </si>
  <si>
    <t>Centralita Física Inimbus Unify  con hasta 6 Líneas SIP y hasta 24 Extensiones SIP</t>
  </si>
  <si>
    <t>Centralita Física Inimbus Unify  con hasta 8 Líneas SIP y hasta 32 Extensiones SIP</t>
  </si>
  <si>
    <t>Centralita Física Inimbus Unify  con hasta 12 Líneas SIP y hasta 48 Extensiones SIP</t>
  </si>
  <si>
    <t>Incluir ONT:</t>
  </si>
  <si>
    <t>Incluir el Router:</t>
  </si>
  <si>
    <t>Total Recurrente S.O.</t>
  </si>
  <si>
    <t>ilimitados</t>
  </si>
  <si>
    <t>Plan Tarifario ampliable.</t>
  </si>
  <si>
    <t>Plazo que desea Financiar la Operación:</t>
  </si>
  <si>
    <t>(**)</t>
  </si>
  <si>
    <t xml:space="preserve">Se Comisionan por las contrataciones de Tarifas Planas o tarifas decrecientes </t>
  </si>
  <si>
    <t>Elija el Número Cuotas Mensuales para el contrato:</t>
  </si>
  <si>
    <t>Indique el Número de Líneas SIP Concurrentes:</t>
  </si>
  <si>
    <t>Indique el Número de Extensiones SIP:</t>
  </si>
  <si>
    <t>Indique el importe por concepto de Inspección y adecuación de la RED:</t>
  </si>
  <si>
    <t>Indique el importe por concepto de Puesta en Marcha o Formación a Usuarios:</t>
  </si>
  <si>
    <t>Si no, incluya el importe que estime por este concepto:</t>
  </si>
  <si>
    <t>Agregue los servicios de Operador que quiere para Acceso DIRECTO FIJO:</t>
  </si>
  <si>
    <t>5.a</t>
  </si>
  <si>
    <t>A continuación le ofrecemos dos tipos de Tarifas para dar acceso a la IPPBX. Solo tiene que escoger entre una de las dos:</t>
  </si>
  <si>
    <t>Centralita IP Inimbus Unify  con hasta 3 Líneas SIP y hasta 12 Extensiones SIP</t>
  </si>
  <si>
    <t>Centralita IP iNimbus Unify  con hasta 4 Líneas SIP y hasta 16 Extensiones SIP</t>
  </si>
  <si>
    <t>Centralita IP iNimbus Unify  con hasta 6 Líneas SIP y hasta 24 Extensiones SIP</t>
  </si>
  <si>
    <t>Centralita IP iNimbus Unify  con hasta 8 Líneas SIP y hasta 32 Extensiones SIP</t>
  </si>
  <si>
    <t>Centralita IP iNimbus Unify  con hasta 12 Líneas SIP y hasta 48 Extensiones SIP</t>
  </si>
  <si>
    <t xml:space="preserve">Indique si incluye la instalación de los Equipos recomendada </t>
  </si>
  <si>
    <t xml:space="preserve">Indique si incluye la Extensión de garantía (Mantenimiento) recomendada </t>
  </si>
  <si>
    <t>Agregue los servicios de Operador que quiere para Líneas de MOVIL:</t>
  </si>
  <si>
    <t>El Número de Canales según se ha indicado arriba.</t>
  </si>
  <si>
    <t>No es compatible con las Tarifas Planas</t>
  </si>
  <si>
    <t>1 Número Nacional Geográfico de cualquier provincia</t>
  </si>
  <si>
    <t>Nuestro TrunkSIP Incluye:</t>
  </si>
  <si>
    <t>Los canales independientes seleccionados arriba</t>
  </si>
  <si>
    <t>Si ha seleccionado la Tarifa a Medida podrá escoger el plan Tarifario que mejor se adapte a su consumo anual de minutos.</t>
  </si>
  <si>
    <t>Nuestro DDI Incluye:</t>
  </si>
  <si>
    <t xml:space="preserve">Admite números geográficos ilimitados portados o nuevos de cualquier provincia.     </t>
  </si>
  <si>
    <t>Si lo Incluye , indique la cantidad que necesita:</t>
  </si>
  <si>
    <t>Nuestro Servicio Incluye:</t>
  </si>
  <si>
    <t>Nuestra Tarifa incluye:</t>
  </si>
  <si>
    <t>Los Minutos arriba señalados para REPARTIR entre las llamadas a Móviles Nacionales; Fijos Nacionales y Fijos de más de 30 Países (*)</t>
  </si>
  <si>
    <t>A estas Tarifas Planas o a Medida Ud. Podrá agregarle :</t>
  </si>
  <si>
    <t>Centralita IP iNimbus Unify  con hasta X Líneas SIP y hasta Y Extensiones SIP</t>
  </si>
  <si>
    <t>Canales Trunk</t>
  </si>
  <si>
    <t>Canales CtaSIP</t>
  </si>
  <si>
    <t>Total de Canales</t>
  </si>
  <si>
    <t>Tarifa de Minutos  a Medida para Ctas SIP y/o TrunkSIP</t>
  </si>
  <si>
    <r>
      <t>Incluye Tarifa con Minutos ilimitados a llamadas Nacionales +</t>
    </r>
    <r>
      <rPr>
        <sz val="11"/>
        <color theme="2" tint="-0.749992370372631"/>
        <rFont val="Century Gothic"/>
        <family val="2"/>
      </rPr>
      <t xml:space="preserve"> </t>
    </r>
    <r>
      <rPr>
        <b/>
        <sz val="14"/>
        <color theme="2" tint="-0.749992370372631"/>
        <rFont val="Century Gothic"/>
        <family val="2"/>
      </rPr>
      <t>24</t>
    </r>
    <r>
      <rPr>
        <sz val="11"/>
        <color theme="1"/>
        <rFont val="Century Gothic"/>
        <family val="2"/>
      </rPr>
      <t xml:space="preserve">Gb + 100SMS al mes </t>
    </r>
  </si>
  <si>
    <t>Conexión a Internet con FIBRA simétrica 300Mb</t>
  </si>
  <si>
    <t>jdfksjgasfga. Vghv gf</t>
  </si>
  <si>
    <t>Canales Sección iNimbusVoIP</t>
  </si>
  <si>
    <t>Teléfono inalámbrico Dect Gigaset A220. Pantalla. Identificación de llamada. [Gigaset A220 negro / 7384]</t>
  </si>
  <si>
    <t>Teléfono inalámbrico Dect SIP Gigaset C530IP. Pantalla. Identificación de llamada. [Gigaset C530IP / 8012]</t>
  </si>
  <si>
    <t>Licencia Panasonic para 50 usuarios softphone SIP. Exclusivo para KX-NSxxx/HTS32. [KX-UCMA050W / 13793]</t>
  </si>
  <si>
    <t>OpenScape Business X1 Base incl. SIP Trunks</t>
  </si>
  <si>
    <t>OpenScape Business Base incl. SIP Trunks</t>
  </si>
  <si>
    <t>Centralita IP iNimbus Unify  con hasta 2 Líneas SIP y hasta 8 Extensiones SIP</t>
  </si>
  <si>
    <t>Seleccione las licencias de circuito que necesita</t>
  </si>
  <si>
    <t>Virtualización (Vmware; Citrix)</t>
  </si>
  <si>
    <t>Nuestra Cuenta SIP Incluye: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</si>
</sst>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_-* #,##0.00\ &quot;€&quot;_[&quot;/Mes&quot;"/>
    <numFmt numFmtId="167" formatCode="#,##0.00\ &quot;€&quot;"/>
    <numFmt numFmtId="168" formatCode="#,##0.00\ [$€-C0A];\-#,##0.00\ [$€-C0A]"/>
    <numFmt numFmtId="169" formatCode="#,##0\ &quot;€&quot;"/>
    <numFmt numFmtId="170" formatCode="0.0000"/>
    <numFmt numFmtId="171" formatCode="_-* #,##0.00\ [$€-C0A]_-;\-* #,##0.00\ [$€-C0A]_-;_-* &quot;-&quot;??\ [$€-C0A]_-;_-@_-"/>
    <numFmt numFmtId="172" formatCode="#,##0_ ;\-#,##0\ "/>
    <numFmt numFmtId="173" formatCode="_-* #,##0.0000_-;\-* #,##0.0000_-;_-* &quot;-&quot;??_-;_-@_-"/>
  </numFmts>
  <fonts count="112" x14ac:knownFonts="1">
    <font>
      <sz val="11"/>
      <color theme="1"/>
      <name val="Century Gothic"/>
      <family val="2"/>
    </font>
    <font>
      <sz val="11"/>
      <color theme="1"/>
      <name val="Century Gothic"/>
      <family val="2"/>
    </font>
    <font>
      <b/>
      <sz val="11"/>
      <color theme="1"/>
      <name val="Century Gothic"/>
      <family val="2"/>
    </font>
    <font>
      <sz val="14"/>
      <color theme="1" tint="0.14999847407452621"/>
      <name val="Century Gothic"/>
      <family val="2"/>
    </font>
    <font>
      <sz val="20"/>
      <color theme="1"/>
      <name val="Century Gothic"/>
      <family val="2"/>
    </font>
    <font>
      <b/>
      <sz val="18"/>
      <color theme="1"/>
      <name val="Century Gothic"/>
      <family val="2"/>
    </font>
    <font>
      <b/>
      <sz val="14"/>
      <color theme="4"/>
      <name val="Century Gothic"/>
      <family val="2"/>
    </font>
    <font>
      <sz val="12"/>
      <color theme="1" tint="0.14999847407452621"/>
      <name val="Century Gothic"/>
      <family val="2"/>
    </font>
    <font>
      <sz val="22"/>
      <color theme="1"/>
      <name val="Century Gothic"/>
      <family val="2"/>
    </font>
    <font>
      <b/>
      <sz val="14"/>
      <color theme="1" tint="0.249977111117893"/>
      <name val="Century Gothic"/>
      <family val="2"/>
    </font>
    <font>
      <sz val="14"/>
      <color rgb="FF002060"/>
      <name val="Century Gothic"/>
      <family val="2"/>
    </font>
    <font>
      <sz val="9"/>
      <color theme="1" tint="0.249977111117893"/>
      <name val="Century Gothic"/>
      <family val="2"/>
    </font>
    <font>
      <sz val="11"/>
      <color theme="1" tint="0.249977111117893"/>
      <name val="Century Gothic"/>
      <family val="2"/>
    </font>
    <font>
      <b/>
      <sz val="11"/>
      <color theme="1" tint="0.249977111117893"/>
      <name val="Century Gothic"/>
      <family val="2"/>
    </font>
    <font>
      <b/>
      <sz val="12"/>
      <color theme="1"/>
      <name val="Century Gothic"/>
      <family val="2"/>
    </font>
    <font>
      <b/>
      <sz val="16"/>
      <color theme="2" tint="-0.749992370372631"/>
      <name val="Century Gothic"/>
      <family val="2"/>
    </font>
    <font>
      <b/>
      <sz val="9"/>
      <color theme="1"/>
      <name val="Century Gothic"/>
      <family val="2"/>
    </font>
    <font>
      <sz val="9"/>
      <color theme="1"/>
      <name val="Century Gothic"/>
      <family val="2"/>
    </font>
    <font>
      <b/>
      <sz val="11"/>
      <color rgb="FFFF0000"/>
      <name val="Century Gothic"/>
      <family val="2"/>
    </font>
    <font>
      <sz val="12"/>
      <color theme="1"/>
      <name val="Century Gothic"/>
      <family val="2"/>
    </font>
    <font>
      <sz val="10"/>
      <color theme="1"/>
      <name val="Century Gothic"/>
      <family val="2"/>
    </font>
    <font>
      <sz val="9"/>
      <name val="Century Gothic"/>
      <family val="2"/>
    </font>
    <font>
      <sz val="10"/>
      <name val="Century Gothic"/>
      <family val="2"/>
    </font>
    <font>
      <b/>
      <sz val="14"/>
      <color theme="1"/>
      <name val="Century Gothic"/>
      <family val="2"/>
    </font>
    <font>
      <b/>
      <sz val="10"/>
      <color theme="1"/>
      <name val="Century Gothic"/>
      <family val="2"/>
    </font>
    <font>
      <b/>
      <sz val="14"/>
      <color rgb="FF002060"/>
      <name val="Century Gothic"/>
      <family val="2"/>
    </font>
    <font>
      <sz val="8"/>
      <color theme="1"/>
      <name val="Arial"/>
      <family val="2"/>
    </font>
    <font>
      <b/>
      <sz val="20"/>
      <color theme="4" tint="-0.249977111117893"/>
      <name val="Century Gothic"/>
      <family val="2"/>
    </font>
    <font>
      <sz val="11"/>
      <color theme="4" tint="-0.249977111117893"/>
      <name val="Century Gothic"/>
      <family val="2"/>
    </font>
    <font>
      <b/>
      <sz val="14"/>
      <color theme="4" tint="-0.249977111117893"/>
      <name val="Century Gothic"/>
      <family val="2"/>
    </font>
    <font>
      <b/>
      <sz val="20"/>
      <color theme="4" tint="-0.499984740745262"/>
      <name val="Century Gothic"/>
      <family val="2"/>
    </font>
    <font>
      <sz val="11"/>
      <color theme="4" tint="-0.499984740745262"/>
      <name val="Century Gothic"/>
      <family val="2"/>
    </font>
    <font>
      <b/>
      <sz val="14"/>
      <color theme="4" tint="-0.499984740745262"/>
      <name val="Century Gothic"/>
      <family val="2"/>
    </font>
    <font>
      <sz val="8"/>
      <color theme="1"/>
      <name val="Arial Narrow"/>
      <family val="2"/>
    </font>
    <font>
      <sz val="16"/>
      <color theme="1" tint="0.14999847407452621"/>
      <name val="Arial"/>
      <family val="2"/>
    </font>
    <font>
      <sz val="22"/>
      <color indexed="8"/>
      <name val="Century Gothic"/>
      <family val="2"/>
    </font>
    <font>
      <b/>
      <sz val="14"/>
      <color theme="0"/>
      <name val="Arial"/>
      <family val="2"/>
    </font>
    <font>
      <sz val="11"/>
      <color theme="1" tint="0.14999847407452621"/>
      <name val="Arial"/>
      <family val="2"/>
    </font>
    <font>
      <sz val="10"/>
      <color indexed="8"/>
      <name val="Century Gothic"/>
      <family val="2"/>
    </font>
    <font>
      <sz val="10"/>
      <color theme="1"/>
      <name val="Calibri"/>
      <family val="2"/>
    </font>
    <font>
      <b/>
      <sz val="10"/>
      <color indexed="62"/>
      <name val="Century Gothic"/>
      <family val="2"/>
    </font>
    <font>
      <sz val="12"/>
      <color theme="0"/>
      <name val="Arial"/>
      <family val="2"/>
    </font>
    <font>
      <b/>
      <sz val="10"/>
      <color theme="3"/>
      <name val="Calibri"/>
      <family val="2"/>
    </font>
    <font>
      <b/>
      <sz val="12"/>
      <color theme="4" tint="-0.499984740745262"/>
      <name val="Century Gothic"/>
      <family val="2"/>
    </font>
    <font>
      <sz val="11"/>
      <name val="Calibri"/>
      <family val="2"/>
    </font>
    <font>
      <sz val="14"/>
      <name val="Arial"/>
      <family val="2"/>
    </font>
    <font>
      <sz val="12"/>
      <color theme="0"/>
      <name val="Century Gothic"/>
      <family val="2"/>
    </font>
    <font>
      <sz val="14"/>
      <color theme="0"/>
      <name val="Century Gothic"/>
      <family val="2"/>
    </font>
    <font>
      <sz val="10"/>
      <color indexed="23"/>
      <name val="Century Gothic"/>
      <family val="2"/>
    </font>
    <font>
      <sz val="11"/>
      <name val="Century Gothic"/>
      <family val="2"/>
    </font>
    <font>
      <b/>
      <sz val="11"/>
      <color theme="3"/>
      <name val="Calibri"/>
      <family val="2"/>
    </font>
    <font>
      <b/>
      <sz val="20"/>
      <color theme="4" tint="0.39997558519241921"/>
      <name val="Century Gothic"/>
      <family val="2"/>
    </font>
    <font>
      <sz val="11"/>
      <color theme="4" tint="0.39997558519241921"/>
      <name val="Century Gothic"/>
      <family val="2"/>
    </font>
    <font>
      <b/>
      <sz val="14"/>
      <color theme="4" tint="0.39997558519241921"/>
      <name val="Century Gothic"/>
      <family val="2"/>
    </font>
    <font>
      <sz val="18"/>
      <color theme="1"/>
      <name val="Century Gothic"/>
      <family val="2"/>
    </font>
    <font>
      <sz val="8"/>
      <color theme="1"/>
      <name val="Century Gothic"/>
      <family val="2"/>
    </font>
    <font>
      <sz val="16"/>
      <color theme="1"/>
      <name val="Century Gothic"/>
      <family val="2"/>
    </font>
    <font>
      <b/>
      <sz val="16"/>
      <color theme="0"/>
      <name val="Century Gothic"/>
      <family val="2"/>
    </font>
    <font>
      <b/>
      <sz val="11"/>
      <color theme="2" tint="-0.749992370372631"/>
      <name val="Century Gothic"/>
      <family val="2"/>
    </font>
    <font>
      <sz val="12"/>
      <color theme="1"/>
      <name val="Calibri"/>
      <family val="2"/>
    </font>
    <font>
      <sz val="10"/>
      <color theme="0"/>
      <name val="Century Gothic"/>
      <family val="2"/>
    </font>
    <font>
      <sz val="10"/>
      <color rgb="FF3399FF"/>
      <name val="Century Gothic"/>
      <family val="2"/>
    </font>
    <font>
      <sz val="9"/>
      <color theme="0"/>
      <name val="Century Gothic"/>
      <family val="2"/>
    </font>
    <font>
      <sz val="11"/>
      <color theme="1" tint="0.14999847407452621"/>
      <name val="Century Gothic"/>
      <family val="2"/>
    </font>
    <font>
      <sz val="14"/>
      <color theme="1"/>
      <name val="Century Gothic"/>
      <family val="2"/>
    </font>
    <font>
      <b/>
      <sz val="11"/>
      <color theme="1" tint="0.499984740745262"/>
      <name val="Century Gothic"/>
      <family val="2"/>
    </font>
    <font>
      <sz val="11"/>
      <color rgb="FFFF0000"/>
      <name val="Century Gothic"/>
      <family val="2"/>
    </font>
    <font>
      <b/>
      <sz val="16"/>
      <color theme="1"/>
      <name val="Century Gothic"/>
      <family val="2"/>
    </font>
    <font>
      <sz val="20"/>
      <color theme="0"/>
      <name val="Century Gothic"/>
      <family val="2"/>
    </font>
    <font>
      <sz val="26"/>
      <color theme="1"/>
      <name val="Century Gothic"/>
      <family val="2"/>
    </font>
    <font>
      <b/>
      <sz val="20"/>
      <color theme="1"/>
      <name val="Century Gothic"/>
      <family val="2"/>
    </font>
    <font>
      <b/>
      <sz val="16"/>
      <color theme="1" tint="0.34998626667073579"/>
      <name val="Century Gothic"/>
      <family val="2"/>
    </font>
    <font>
      <b/>
      <sz val="16"/>
      <color theme="4"/>
      <name val="Century Gothic"/>
      <family val="2"/>
    </font>
    <font>
      <sz val="9"/>
      <name val="Arial"/>
      <family val="2"/>
    </font>
    <font>
      <b/>
      <sz val="16"/>
      <color theme="3"/>
      <name val="Century Gothic"/>
      <family val="2"/>
    </font>
    <font>
      <b/>
      <sz val="22"/>
      <color rgb="FF00556A"/>
      <name val="Century Gothic"/>
      <family val="2"/>
    </font>
    <font>
      <sz val="11"/>
      <color theme="0"/>
      <name val="Century Gothic"/>
      <family val="2"/>
    </font>
    <font>
      <sz val="9"/>
      <color theme="0"/>
      <name val="Arial"/>
      <family val="2"/>
    </font>
    <font>
      <b/>
      <sz val="36"/>
      <color rgb="FF00556A"/>
      <name val="Century Gothic"/>
      <family val="2"/>
    </font>
    <font>
      <sz val="48"/>
      <color theme="4"/>
      <name val="Century Gothic"/>
      <family val="2"/>
    </font>
    <font>
      <sz val="16"/>
      <name val="Arial"/>
      <family val="2"/>
    </font>
    <font>
      <b/>
      <sz val="12"/>
      <color theme="1" tint="0.249977111117893"/>
      <name val="Century Gothic"/>
      <family val="2"/>
    </font>
    <font>
      <b/>
      <sz val="18"/>
      <color theme="0"/>
      <name val="Century Gothic"/>
      <family val="2"/>
    </font>
    <font>
      <sz val="36"/>
      <name val="Century Gothic"/>
      <family val="2"/>
    </font>
    <font>
      <b/>
      <sz val="24"/>
      <color theme="0"/>
      <name val="Century Gothic"/>
      <family val="2"/>
    </font>
    <font>
      <b/>
      <sz val="16"/>
      <color rgb="FF00556A"/>
      <name val="Century Gothic"/>
      <family val="2"/>
    </font>
    <font>
      <sz val="36"/>
      <color theme="4"/>
      <name val="Century Gothic"/>
      <family val="2"/>
    </font>
    <font>
      <sz val="8"/>
      <color theme="1" tint="0.14999847407452621"/>
      <name val="Century Gothic"/>
      <family val="2"/>
    </font>
    <font>
      <b/>
      <sz val="16"/>
      <color theme="5" tint="-0.249977111117893"/>
      <name val="Century Gothic"/>
      <family val="2"/>
    </font>
    <font>
      <b/>
      <sz val="11"/>
      <color theme="4"/>
      <name val="Century Gothic"/>
      <family val="2"/>
    </font>
    <font>
      <b/>
      <sz val="11"/>
      <color theme="9" tint="-0.249977111117893"/>
      <name val="Century Gothic"/>
      <family val="2"/>
    </font>
    <font>
      <b/>
      <sz val="11"/>
      <color theme="7" tint="-0.499984740745262"/>
      <name val="Century Gothic"/>
      <family val="2"/>
    </font>
    <font>
      <b/>
      <sz val="11"/>
      <color theme="1" tint="0.14999847407452621"/>
      <name val="Century Gothic"/>
      <family val="2"/>
    </font>
    <font>
      <b/>
      <sz val="12"/>
      <color theme="2" tint="-0.749992370372631"/>
      <name val="Century Gothic"/>
      <family val="2"/>
    </font>
    <font>
      <u/>
      <sz val="11"/>
      <color theme="1"/>
      <name val="Century Gothic"/>
      <family val="2"/>
    </font>
    <font>
      <b/>
      <sz val="16"/>
      <color theme="5" tint="0.59999389629810485"/>
      <name val="Century Gothic"/>
      <family val="2"/>
    </font>
    <font>
      <b/>
      <sz val="16"/>
      <color theme="5"/>
      <name val="Century Gothic"/>
      <family val="2"/>
    </font>
    <font>
      <b/>
      <sz val="28"/>
      <color theme="0"/>
      <name val="Century Gothic"/>
      <family val="2"/>
    </font>
    <font>
      <b/>
      <sz val="11"/>
      <color theme="4" tint="-0.249977111117893"/>
      <name val="Century Gothic"/>
      <family val="2"/>
    </font>
    <font>
      <sz val="14"/>
      <color theme="1"/>
      <name val="Calibri"/>
      <family val="2"/>
    </font>
    <font>
      <sz val="14"/>
      <color rgb="FFFFC000"/>
      <name val="Century Gothic"/>
      <family val="2"/>
    </font>
    <font>
      <b/>
      <sz val="11"/>
      <color theme="0"/>
      <name val="Century Gothic"/>
      <family val="2"/>
    </font>
    <font>
      <b/>
      <sz val="11"/>
      <color rgb="FF66CCFF"/>
      <name val="Wingdings"/>
      <charset val="2"/>
    </font>
    <font>
      <b/>
      <sz val="20"/>
      <color theme="4"/>
      <name val="Century Gothic"/>
      <family val="2"/>
    </font>
    <font>
      <sz val="11"/>
      <color rgb="FFC00000"/>
      <name val="Century Gothic"/>
      <family val="2"/>
    </font>
    <font>
      <sz val="10"/>
      <color theme="1" tint="0.14999847407452621"/>
      <name val="Century Gothic"/>
      <family val="2"/>
    </font>
    <font>
      <sz val="16"/>
      <color theme="2" tint="-0.499984740745262"/>
      <name val="Arial"/>
      <family val="2"/>
    </font>
    <font>
      <b/>
      <sz val="14"/>
      <color rgb="FF00556A"/>
      <name val="Century Gothic"/>
      <family val="2"/>
    </font>
    <font>
      <i/>
      <sz val="9"/>
      <color theme="1"/>
      <name val="Century Gothic"/>
      <family val="2"/>
    </font>
    <font>
      <sz val="14"/>
      <color rgb="FFC00000"/>
      <name val="Century Gothic"/>
      <family val="2"/>
    </font>
    <font>
      <sz val="11"/>
      <color theme="2" tint="-0.749992370372631"/>
      <name val="Century Gothic"/>
      <family val="2"/>
    </font>
    <font>
      <b/>
      <sz val="14"/>
      <color theme="2" tint="-0.749992370372631"/>
      <name val="Century Gothic"/>
      <family val="2"/>
    </font>
  </fonts>
  <fills count="31">
    <fill>
      <patternFill patternType="none"/>
    </fill>
    <fill>
      <patternFill patternType="gray125"/>
    </fill>
    <fill>
      <patternFill patternType="solid">
        <fgColor theme="4" tint="0.79998168889431442"/>
        <bgColor indexed="64"/>
      </patternFill>
    </fill>
    <fill>
      <patternFill patternType="solid">
        <fgColor theme="1" tint="0.34998626667073579"/>
        <bgColor indexed="64"/>
      </patternFill>
    </fill>
    <fill>
      <patternFill patternType="solid">
        <fgColor rgb="FFAEE1E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556A"/>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indexed="9"/>
        <bgColor indexed="64"/>
      </patternFill>
    </fill>
    <fill>
      <patternFill patternType="solid">
        <fgColor theme="5"/>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6CCCEC"/>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rgb="FF66CCFF"/>
        <bgColor indexed="64"/>
      </patternFill>
    </fill>
    <fill>
      <patternFill patternType="solid">
        <fgColor theme="2" tint="-9.9978637043366805E-2"/>
        <bgColor indexed="64"/>
      </patternFill>
    </fill>
  </fills>
  <borders count="42">
    <border>
      <left/>
      <right/>
      <top/>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theme="0"/>
      </right>
      <top/>
      <bottom/>
      <diagonal/>
    </border>
    <border>
      <left style="thick">
        <color theme="0"/>
      </left>
      <right/>
      <top style="thin">
        <color theme="0"/>
      </top>
      <bottom style="thick">
        <color theme="0"/>
      </bottom>
      <diagonal/>
    </border>
    <border>
      <left style="thick">
        <color theme="0"/>
      </left>
      <right style="thick">
        <color theme="0"/>
      </right>
      <top style="thin">
        <color theme="0"/>
      </top>
      <bottom style="thick">
        <color theme="0"/>
      </bottom>
      <diagonal/>
    </border>
    <border>
      <left style="thin">
        <color auto="1"/>
      </left>
      <right style="thin">
        <color auto="1"/>
      </right>
      <top/>
      <bottom/>
      <diagonal/>
    </border>
    <border>
      <left style="thin">
        <color indexed="64"/>
      </left>
      <right/>
      <top style="thin">
        <color indexed="64"/>
      </top>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medium">
        <color theme="0"/>
      </right>
      <top/>
      <bottom/>
      <diagonal/>
    </border>
    <border>
      <left style="thick">
        <color theme="0"/>
      </left>
      <right/>
      <top/>
      <bottom style="thin">
        <color theme="0"/>
      </bottom>
      <diagonal/>
    </border>
    <border>
      <left/>
      <right/>
      <top/>
      <bottom style="thin">
        <color theme="0"/>
      </bottom>
      <diagonal/>
    </border>
    <border>
      <left style="medium">
        <color theme="0"/>
      </left>
      <right/>
      <top/>
      <bottom/>
      <diagonal/>
    </border>
    <border>
      <left style="thick">
        <color theme="0"/>
      </left>
      <right/>
      <top/>
      <bottom/>
      <diagonal/>
    </border>
    <border>
      <left style="dashDot">
        <color auto="1"/>
      </left>
      <right/>
      <top style="dashDot">
        <color auto="1"/>
      </top>
      <bottom/>
      <diagonal/>
    </border>
    <border>
      <left/>
      <right/>
      <top style="dashDot">
        <color auto="1"/>
      </top>
      <bottom/>
      <diagonal/>
    </border>
    <border>
      <left/>
      <right style="dashDot">
        <color auto="1"/>
      </right>
      <top style="dashDot">
        <color auto="1"/>
      </top>
      <bottom/>
      <diagonal/>
    </border>
    <border>
      <left style="dashDot">
        <color auto="1"/>
      </left>
      <right/>
      <top/>
      <bottom/>
      <diagonal/>
    </border>
    <border>
      <left/>
      <right style="dashDot">
        <color auto="1"/>
      </right>
      <top/>
      <bottom/>
      <diagonal/>
    </border>
    <border>
      <left style="dashDot">
        <color auto="1"/>
      </left>
      <right/>
      <top/>
      <bottom style="dashDot">
        <color auto="1"/>
      </bottom>
      <diagonal/>
    </border>
    <border>
      <left/>
      <right/>
      <top/>
      <bottom style="dashDot">
        <color auto="1"/>
      </bottom>
      <diagonal/>
    </border>
    <border>
      <left/>
      <right style="dashDot">
        <color auto="1"/>
      </right>
      <top/>
      <bottom style="dashDot">
        <color auto="1"/>
      </bottom>
      <diagonal/>
    </border>
    <border>
      <left/>
      <right/>
      <top/>
      <bottom style="double">
        <color indexed="64"/>
      </bottom>
      <diagonal/>
    </border>
    <border>
      <left/>
      <right style="thin">
        <color theme="0"/>
      </right>
      <top/>
      <bottom/>
      <diagonal/>
    </border>
    <border>
      <left/>
      <right style="thin">
        <color theme="0"/>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medium">
        <color theme="2" tint="-0.499984740745262"/>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47" fillId="0" borderId="0" applyNumberFormat="0" applyFill="0" applyBorder="0" applyAlignment="0" applyProtection="0"/>
    <xf numFmtId="0" fontId="100" fillId="0" borderId="0" applyNumberFormat="0" applyFill="0" applyBorder="0" applyAlignment="0" applyProtection="0"/>
  </cellStyleXfs>
  <cellXfs count="426">
    <xf numFmtId="0" fontId="0" fillId="0" borderId="0" xfId="0"/>
    <xf numFmtId="0" fontId="6" fillId="0" borderId="0" xfId="0" applyFont="1" applyAlignment="1">
      <alignment horizontal="right"/>
    </xf>
    <xf numFmtId="0" fontId="0" fillId="0" borderId="2" xfId="0" applyBorder="1"/>
    <xf numFmtId="0" fontId="0" fillId="0" borderId="0" xfId="0" applyBorder="1"/>
    <xf numFmtId="164" fontId="2" fillId="2" borderId="0" xfId="1" applyFont="1" applyFill="1"/>
    <xf numFmtId="0" fontId="0" fillId="0" borderId="0" xfId="0" applyProtection="1">
      <protection locked="0"/>
    </xf>
    <xf numFmtId="164" fontId="0" fillId="0" borderId="0" xfId="0" applyNumberFormat="1"/>
    <xf numFmtId="0" fontId="21" fillId="0" borderId="5" xfId="0" applyFont="1" applyBorder="1" applyAlignment="1" applyProtection="1">
      <alignment horizontal="right" vertical="top"/>
      <protection hidden="1"/>
    </xf>
    <xf numFmtId="1" fontId="21" fillId="0" borderId="6" xfId="0" applyNumberFormat="1" applyFont="1" applyBorder="1" applyAlignment="1" applyProtection="1">
      <alignment horizontal="right" vertical="top"/>
      <protection hidden="1"/>
    </xf>
    <xf numFmtId="0" fontId="22" fillId="0" borderId="6" xfId="0" applyFont="1" applyBorder="1" applyProtection="1">
      <protection hidden="1"/>
    </xf>
    <xf numFmtId="0" fontId="22" fillId="0" borderId="7" xfId="0" applyFont="1" applyBorder="1" applyProtection="1">
      <protection hidden="1"/>
    </xf>
    <xf numFmtId="0" fontId="21" fillId="0" borderId="8" xfId="0" applyFont="1" applyBorder="1" applyAlignment="1" applyProtection="1">
      <alignment horizontal="right" vertical="top"/>
      <protection hidden="1"/>
    </xf>
    <xf numFmtId="170" fontId="21" fillId="0" borderId="0" xfId="0" applyNumberFormat="1" applyFont="1" applyBorder="1" applyAlignment="1" applyProtection="1">
      <alignment horizontal="right" vertical="top"/>
      <protection hidden="1"/>
    </xf>
    <xf numFmtId="170" fontId="21" fillId="0" borderId="9" xfId="0" applyNumberFormat="1" applyFont="1" applyBorder="1" applyAlignment="1" applyProtection="1">
      <alignment horizontal="right" vertical="top"/>
      <protection hidden="1"/>
    </xf>
    <xf numFmtId="0" fontId="21" fillId="0" borderId="10" xfId="0" applyFont="1" applyBorder="1" applyAlignment="1" applyProtection="1">
      <alignment horizontal="right" vertical="top"/>
      <protection hidden="1"/>
    </xf>
    <xf numFmtId="170" fontId="21" fillId="0" borderId="2" xfId="0" applyNumberFormat="1" applyFont="1" applyBorder="1" applyAlignment="1" applyProtection="1">
      <alignment horizontal="right" vertical="top"/>
      <protection hidden="1"/>
    </xf>
    <xf numFmtId="170" fontId="21" fillId="0" borderId="11" xfId="0" applyNumberFormat="1" applyFont="1" applyBorder="1" applyAlignment="1" applyProtection="1">
      <alignment horizontal="right" vertical="top"/>
      <protection hidden="1"/>
    </xf>
    <xf numFmtId="0" fontId="22" fillId="10" borderId="0" xfId="0" applyFont="1" applyFill="1" applyProtection="1">
      <protection hidden="1"/>
    </xf>
    <xf numFmtId="0" fontId="26" fillId="0" borderId="0" xfId="0" applyFont="1" applyAlignment="1">
      <alignment vertical="top" wrapText="1"/>
    </xf>
    <xf numFmtId="0" fontId="27" fillId="0" borderId="0" xfId="0" applyFont="1"/>
    <xf numFmtId="0" fontId="29" fillId="0" borderId="0" xfId="0" applyFont="1" applyAlignment="1">
      <alignment horizontal="right"/>
    </xf>
    <xf numFmtId="0" fontId="30" fillId="0" borderId="0" xfId="0" applyFont="1"/>
    <xf numFmtId="0" fontId="32" fillId="0" borderId="0" xfId="0" applyFont="1" applyAlignment="1">
      <alignment horizontal="right"/>
    </xf>
    <xf numFmtId="0" fontId="34" fillId="12" borderId="0" xfId="0" applyFont="1" applyFill="1" applyAlignment="1" applyProtection="1">
      <alignment horizontal="right" vertical="top"/>
      <protection locked="0" hidden="1"/>
    </xf>
    <xf numFmtId="0" fontId="35" fillId="12" borderId="0" xfId="0" applyFont="1" applyFill="1" applyProtection="1">
      <protection locked="0"/>
    </xf>
    <xf numFmtId="0" fontId="37" fillId="0" borderId="0" xfId="0" applyFont="1" applyAlignment="1" applyProtection="1">
      <alignment horizontal="right"/>
      <protection locked="0" hidden="1"/>
    </xf>
    <xf numFmtId="0" fontId="37" fillId="0" borderId="0" xfId="0" applyFont="1" applyProtection="1">
      <protection locked="0" hidden="1"/>
    </xf>
    <xf numFmtId="0" fontId="38" fillId="13" borderId="0" xfId="0" applyFont="1" applyFill="1" applyAlignment="1" applyProtection="1">
      <alignment vertical="center"/>
      <protection locked="0"/>
    </xf>
    <xf numFmtId="0" fontId="38" fillId="0" borderId="0" xfId="0" applyFont="1" applyAlignment="1" applyProtection="1">
      <protection locked="0"/>
    </xf>
    <xf numFmtId="0" fontId="36" fillId="0" borderId="0" xfId="0" applyFont="1" applyFill="1" applyBorder="1" applyAlignment="1">
      <alignment vertical="center"/>
    </xf>
    <xf numFmtId="0" fontId="39" fillId="0" borderId="0" xfId="0" applyFont="1" applyFill="1" applyBorder="1" applyAlignment="1">
      <alignment vertical="top" wrapText="1"/>
    </xf>
    <xf numFmtId="0" fontId="20" fillId="0" borderId="0" xfId="0" applyFont="1" applyFill="1" applyBorder="1" applyAlignment="1">
      <alignment vertical="top"/>
    </xf>
    <xf numFmtId="0" fontId="40" fillId="0" borderId="0" xfId="0" applyFont="1" applyFill="1" applyBorder="1" applyAlignment="1" applyProtection="1">
      <alignment horizontal="left"/>
      <protection hidden="1"/>
    </xf>
    <xf numFmtId="0" fontId="39"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40" fillId="0" borderId="0" xfId="0" applyFont="1" applyFill="1" applyBorder="1" applyAlignment="1" applyProtection="1">
      <alignment horizontal="center"/>
      <protection hidden="1"/>
    </xf>
    <xf numFmtId="0" fontId="48" fillId="0" borderId="0" xfId="0" applyFont="1" applyProtection="1">
      <protection locked="0" hidden="1"/>
    </xf>
    <xf numFmtId="0" fontId="44" fillId="0" borderId="12" xfId="0" applyFont="1" applyBorder="1" applyProtection="1">
      <protection locked="0" hidden="1"/>
    </xf>
    <xf numFmtId="0" fontId="22" fillId="15" borderId="13" xfId="0" applyFont="1" applyFill="1" applyBorder="1" applyAlignment="1" applyProtection="1">
      <alignment horizontal="left"/>
      <protection locked="0" hidden="1"/>
    </xf>
    <xf numFmtId="171" fontId="22" fillId="15" borderId="14" xfId="1" applyNumberFormat="1" applyFont="1" applyFill="1" applyBorder="1" applyProtection="1">
      <protection locked="0" hidden="1"/>
    </xf>
    <xf numFmtId="0" fontId="22" fillId="10" borderId="0" xfId="0" applyFont="1" applyFill="1" applyAlignment="1" applyProtection="1">
      <alignment horizontal="left"/>
      <protection hidden="1"/>
    </xf>
    <xf numFmtId="171" fontId="47" fillId="10" borderId="0" xfId="1" applyNumberFormat="1" applyFont="1" applyFill="1" applyAlignment="1" applyProtection="1">
      <protection hidden="1"/>
    </xf>
    <xf numFmtId="0" fontId="51" fillId="0" borderId="0" xfId="0" applyFont="1"/>
    <xf numFmtId="0" fontId="52" fillId="0" borderId="0" xfId="0" applyFont="1"/>
    <xf numFmtId="0" fontId="53" fillId="0" borderId="0" xfId="0" applyFont="1" applyAlignment="1">
      <alignment horizontal="right"/>
    </xf>
    <xf numFmtId="0" fontId="33" fillId="0" borderId="0" xfId="0" applyFont="1" applyAlignment="1">
      <alignment vertical="top" wrapText="1"/>
    </xf>
    <xf numFmtId="0" fontId="46" fillId="10" borderId="0" xfId="3" applyFont="1" applyFill="1" applyAlignment="1" applyProtection="1">
      <alignment horizontal="center" vertical="center" wrapText="1"/>
      <protection locked="0" hidden="1"/>
    </xf>
    <xf numFmtId="0" fontId="0" fillId="0" borderId="16" xfId="0" applyBorder="1"/>
    <xf numFmtId="0" fontId="0" fillId="0" borderId="10" xfId="0" applyBorder="1"/>
    <xf numFmtId="0" fontId="21" fillId="10" borderId="0" xfId="0" applyFont="1" applyFill="1" applyAlignment="1" applyProtection="1">
      <alignment horizontal="right"/>
      <protection hidden="1"/>
    </xf>
    <xf numFmtId="0" fontId="0" fillId="18" borderId="0" xfId="0" applyFill="1"/>
    <xf numFmtId="0" fontId="47"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right" vertical="center" wrapText="1"/>
      <protection locked="0" hidden="1"/>
    </xf>
    <xf numFmtId="0" fontId="0" fillId="19" borderId="0" xfId="0" applyFill="1"/>
    <xf numFmtId="9" fontId="24" fillId="15" borderId="14" xfId="2" applyFont="1" applyFill="1" applyBorder="1" applyAlignment="1" applyProtection="1">
      <alignment horizontal="center"/>
      <protection locked="0" hidden="1"/>
    </xf>
    <xf numFmtId="0" fontId="61" fillId="0" borderId="0" xfId="0" applyFont="1" applyAlignment="1">
      <alignment horizontal="center"/>
    </xf>
    <xf numFmtId="0" fontId="0" fillId="0" borderId="18" xfId="0" applyBorder="1"/>
    <xf numFmtId="0" fontId="0" fillId="0" borderId="19" xfId="0" applyBorder="1"/>
    <xf numFmtId="0" fontId="0" fillId="0" borderId="8" xfId="0" applyBorder="1"/>
    <xf numFmtId="0" fontId="0" fillId="0" borderId="9" xfId="0" applyBorder="1"/>
    <xf numFmtId="0" fontId="0" fillId="0" borderId="11" xfId="0" applyBorder="1"/>
    <xf numFmtId="0" fontId="62" fillId="10" borderId="0" xfId="0" applyFont="1" applyFill="1" applyAlignment="1" applyProtection="1">
      <alignment horizontal="left" vertical="top"/>
      <protection hidden="1"/>
    </xf>
    <xf numFmtId="0" fontId="0" fillId="0" borderId="0" xfId="0" applyProtection="1">
      <protection hidden="1"/>
    </xf>
    <xf numFmtId="0" fontId="0" fillId="19" borderId="0" xfId="0" applyFill="1" applyProtection="1">
      <protection hidden="1"/>
    </xf>
    <xf numFmtId="0" fontId="0" fillId="19" borderId="0" xfId="0" applyFill="1" applyAlignment="1" applyProtection="1">
      <alignment horizontal="right"/>
      <protection hidden="1"/>
    </xf>
    <xf numFmtId="0" fontId="5" fillId="19" borderId="0" xfId="0" applyFont="1" applyFill="1" applyAlignment="1" applyProtection="1">
      <protection hidden="1"/>
    </xf>
    <xf numFmtId="0" fontId="0" fillId="19" borderId="0" xfId="0" applyFill="1" applyBorder="1" applyAlignment="1" applyProtection="1">
      <alignment horizontal="right"/>
      <protection hidden="1"/>
    </xf>
    <xf numFmtId="0" fontId="3" fillId="19" borderId="0" xfId="0" applyFont="1" applyFill="1" applyAlignment="1" applyProtection="1">
      <alignment horizontal="center"/>
      <protection hidden="1"/>
    </xf>
    <xf numFmtId="0" fontId="0" fillId="19" borderId="0" xfId="0" applyFill="1" applyBorder="1" applyProtection="1">
      <protection hidden="1"/>
    </xf>
    <xf numFmtId="0" fontId="0" fillId="0" borderId="0" xfId="0" applyBorder="1" applyProtection="1">
      <protection hidden="1"/>
    </xf>
    <xf numFmtId="0" fontId="0" fillId="0" borderId="0" xfId="0" applyFill="1" applyProtection="1">
      <protection hidden="1"/>
    </xf>
    <xf numFmtId="0" fontId="51" fillId="0" borderId="0" xfId="0" applyFont="1" applyBorder="1" applyProtection="1">
      <protection hidden="1"/>
    </xf>
    <xf numFmtId="0" fontId="52" fillId="0" borderId="0" xfId="0" applyFont="1" applyBorder="1" applyProtection="1">
      <protection hidden="1"/>
    </xf>
    <xf numFmtId="0" fontId="3" fillId="0" borderId="0" xfId="0" applyFont="1" applyFill="1" applyAlignment="1" applyProtection="1">
      <alignment horizontal="center"/>
      <protection hidden="1"/>
    </xf>
    <xf numFmtId="0" fontId="52" fillId="0" borderId="0" xfId="0" applyFont="1" applyProtection="1">
      <protection hidden="1"/>
    </xf>
    <xf numFmtId="0" fontId="0" fillId="0" borderId="0" xfId="0" applyBorder="1" applyAlignment="1" applyProtection="1">
      <alignment vertical="center"/>
      <protection hidden="1"/>
    </xf>
    <xf numFmtId="0" fontId="0" fillId="0" borderId="0" xfId="0" applyBorder="1" applyAlignment="1" applyProtection="1">
      <alignment vertical="top"/>
      <protection hidden="1"/>
    </xf>
    <xf numFmtId="0" fontId="56" fillId="0" borderId="0" xfId="0" applyFont="1" applyProtection="1">
      <protection hidden="1"/>
    </xf>
    <xf numFmtId="0" fontId="0" fillId="0" borderId="2" xfId="0" applyBorder="1" applyProtection="1">
      <protection hidden="1"/>
    </xf>
    <xf numFmtId="0" fontId="9" fillId="0" borderId="2" xfId="0" applyFont="1" applyBorder="1" applyAlignment="1" applyProtection="1">
      <alignment horizontal="center"/>
      <protection hidden="1"/>
    </xf>
    <xf numFmtId="0" fontId="25" fillId="0" borderId="0" xfId="0" applyFont="1" applyBorder="1" applyProtection="1">
      <protection hidden="1"/>
    </xf>
    <xf numFmtId="0" fontId="9" fillId="0" borderId="0" xfId="0" applyFont="1" applyBorder="1" applyAlignment="1" applyProtection="1">
      <alignment horizontal="center"/>
      <protection hidden="1"/>
    </xf>
    <xf numFmtId="0" fontId="0" fillId="4" borderId="0" xfId="0" applyFill="1" applyBorder="1" applyAlignment="1" applyProtection="1">
      <alignment vertical="top"/>
      <protection hidden="1"/>
    </xf>
    <xf numFmtId="0" fontId="11" fillId="4" borderId="0" xfId="0" applyFont="1" applyFill="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0" fillId="4" borderId="0" xfId="0" applyFill="1" applyBorder="1" applyProtection="1">
      <protection hidden="1"/>
    </xf>
    <xf numFmtId="0" fontId="0" fillId="4" borderId="0" xfId="0" applyFill="1" applyAlignment="1" applyProtection="1">
      <alignment horizontal="center"/>
      <protection hidden="1"/>
    </xf>
    <xf numFmtId="0" fontId="0" fillId="0" borderId="0" xfId="0" applyBorder="1" applyAlignment="1" applyProtection="1">
      <alignment wrapText="1"/>
      <protection hidden="1"/>
    </xf>
    <xf numFmtId="0" fontId="9" fillId="0" borderId="0" xfId="0" applyFont="1" applyBorder="1" applyAlignment="1" applyProtection="1">
      <alignment horizontal="center" vertical="top" wrapText="1"/>
      <protection hidden="1"/>
    </xf>
    <xf numFmtId="0" fontId="13" fillId="0" borderId="0" xfId="0" applyFont="1" applyBorder="1" applyAlignment="1" applyProtection="1">
      <alignment horizontal="center" vertical="top" wrapText="1"/>
      <protection hidden="1"/>
    </xf>
    <xf numFmtId="0" fontId="10" fillId="0" borderId="0" xfId="0" applyFont="1" applyBorder="1" applyProtection="1">
      <protection hidden="1"/>
    </xf>
    <xf numFmtId="0" fontId="0" fillId="16" borderId="0" xfId="0" applyFill="1" applyBorder="1" applyProtection="1">
      <protection hidden="1"/>
    </xf>
    <xf numFmtId="0" fontId="0" fillId="16" borderId="0" xfId="0" applyFill="1" applyAlignment="1" applyProtection="1">
      <alignment horizontal="center"/>
      <protection hidden="1"/>
    </xf>
    <xf numFmtId="0" fontId="58" fillId="16" borderId="0" xfId="0" applyFont="1" applyFill="1" applyAlignment="1" applyProtection="1">
      <alignment horizontal="center"/>
      <protection hidden="1"/>
    </xf>
    <xf numFmtId="0" fontId="0" fillId="5" borderId="0" xfId="0" applyFill="1" applyBorder="1" applyProtection="1">
      <protection hidden="1"/>
    </xf>
    <xf numFmtId="0" fontId="0" fillId="5" borderId="0" xfId="0" applyFill="1" applyAlignment="1" applyProtection="1">
      <alignment horizontal="center"/>
      <protection hidden="1"/>
    </xf>
    <xf numFmtId="169" fontId="14" fillId="5" borderId="0" xfId="0" applyNumberFormat="1" applyFont="1" applyFill="1" applyAlignment="1" applyProtection="1">
      <alignment horizontal="center"/>
      <protection hidden="1"/>
    </xf>
    <xf numFmtId="0" fontId="15"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Border="1" applyProtection="1">
      <protection hidden="1"/>
    </xf>
    <xf numFmtId="0" fontId="0" fillId="2" borderId="0" xfId="0" applyFill="1" applyAlignment="1" applyProtection="1">
      <alignment horizontal="center"/>
      <protection hidden="1"/>
    </xf>
    <xf numFmtId="0" fontId="0" fillId="0" borderId="0" xfId="0" applyBorder="1" applyAlignment="1" applyProtection="1">
      <alignment vertical="top" wrapText="1"/>
      <protection hidden="1"/>
    </xf>
    <xf numFmtId="164" fontId="0" fillId="0" borderId="0" xfId="0" applyNumberFormat="1" applyAlignment="1" applyProtection="1">
      <alignment horizontal="center" vertical="center"/>
      <protection hidden="1"/>
    </xf>
    <xf numFmtId="0" fontId="4" fillId="0" borderId="1" xfId="0" applyFont="1" applyBorder="1" applyAlignment="1" applyProtection="1">
      <alignment horizontal="center"/>
      <protection locked="0" hidden="1"/>
    </xf>
    <xf numFmtId="0" fontId="27" fillId="0" borderId="0" xfId="0" applyFont="1" applyBorder="1" applyProtection="1">
      <protection hidden="1"/>
    </xf>
    <xf numFmtId="0" fontId="28" fillId="0" borderId="0" xfId="0" applyFont="1" applyProtection="1">
      <protection hidden="1"/>
    </xf>
    <xf numFmtId="0" fontId="19" fillId="0" borderId="0" xfId="0" applyFont="1" applyBorder="1" applyProtection="1">
      <protection hidden="1"/>
    </xf>
    <xf numFmtId="0" fontId="2" fillId="0" borderId="0" xfId="0" applyFont="1" applyBorder="1" applyAlignment="1" applyProtection="1">
      <protection locked="0" hidden="1"/>
    </xf>
    <xf numFmtId="0" fontId="30" fillId="0" borderId="0" xfId="0" applyFont="1" applyBorder="1" applyProtection="1">
      <protection hidden="1"/>
    </xf>
    <xf numFmtId="0" fontId="31" fillId="0" borderId="0" xfId="0" applyFont="1" applyProtection="1">
      <protection hidden="1"/>
    </xf>
    <xf numFmtId="0" fontId="0" fillId="0" borderId="0" xfId="0" applyAlignment="1" applyProtection="1">
      <alignment horizontal="right"/>
      <protection hidden="1"/>
    </xf>
    <xf numFmtId="0" fontId="20" fillId="0" borderId="0" xfId="0" applyFont="1" applyProtection="1">
      <protection hidden="1"/>
    </xf>
    <xf numFmtId="17" fontId="0" fillId="19" borderId="0" xfId="0" applyNumberFormat="1" applyFill="1" applyProtection="1">
      <protection hidden="1"/>
    </xf>
    <xf numFmtId="0" fontId="0" fillId="0" borderId="16" xfId="0" applyBorder="1" applyProtection="1">
      <protection hidden="1"/>
    </xf>
    <xf numFmtId="0" fontId="0" fillId="0" borderId="10" xfId="0" applyBorder="1" applyProtection="1">
      <protection hidden="1"/>
    </xf>
    <xf numFmtId="0" fontId="0" fillId="0" borderId="3" xfId="0" applyBorder="1" applyProtection="1">
      <protection hidden="1"/>
    </xf>
    <xf numFmtId="0" fontId="0" fillId="0" borderId="15" xfId="0" applyBorder="1" applyProtection="1">
      <protection hidden="1"/>
    </xf>
    <xf numFmtId="0" fontId="0" fillId="0" borderId="4" xfId="0" applyBorder="1" applyProtection="1">
      <protection hidden="1"/>
    </xf>
    <xf numFmtId="164" fontId="0" fillId="0" borderId="0" xfId="1" applyFont="1" applyProtection="1">
      <protection hidden="1"/>
    </xf>
    <xf numFmtId="0" fontId="2" fillId="2" borderId="0" xfId="0" applyFont="1" applyFill="1" applyBorder="1" applyProtection="1">
      <protection hidden="1"/>
    </xf>
    <xf numFmtId="0" fontId="2" fillId="2" borderId="0" xfId="0" applyFont="1" applyFill="1" applyProtection="1">
      <protection hidden="1"/>
    </xf>
    <xf numFmtId="164" fontId="2" fillId="2" borderId="0" xfId="1" applyFont="1" applyFill="1" applyProtection="1">
      <protection hidden="1"/>
    </xf>
    <xf numFmtId="164" fontId="0" fillId="0" borderId="0" xfId="0" applyNumberFormat="1" applyProtection="1">
      <protection hidden="1"/>
    </xf>
    <xf numFmtId="0" fontId="0" fillId="6" borderId="0" xfId="0" applyFill="1" applyBorder="1" applyProtection="1">
      <protection hidden="1"/>
    </xf>
    <xf numFmtId="0" fontId="0" fillId="6" borderId="0" xfId="0" applyFill="1" applyProtection="1">
      <protection hidden="1"/>
    </xf>
    <xf numFmtId="164" fontId="2" fillId="6" borderId="0" xfId="1" applyFont="1" applyFill="1" applyProtection="1">
      <protection hidden="1"/>
    </xf>
    <xf numFmtId="164" fontId="0" fillId="0" borderId="2" xfId="1" applyFont="1" applyBorder="1" applyProtection="1">
      <protection hidden="1"/>
    </xf>
    <xf numFmtId="164" fontId="0" fillId="0" borderId="2" xfId="0" applyNumberFormat="1" applyBorder="1" applyProtection="1">
      <protection hidden="1"/>
    </xf>
    <xf numFmtId="9" fontId="0" fillId="0" borderId="0" xfId="0" applyNumberFormat="1" applyProtection="1">
      <protection hidden="1"/>
    </xf>
    <xf numFmtId="0" fontId="0" fillId="7" borderId="0" xfId="0" applyFill="1" applyBorder="1" applyProtection="1">
      <protection hidden="1"/>
    </xf>
    <xf numFmtId="0" fontId="0" fillId="7" borderId="0" xfId="0" applyFill="1" applyProtection="1">
      <protection hidden="1"/>
    </xf>
    <xf numFmtId="164" fontId="2" fillId="7" borderId="0" xfId="0" applyNumberFormat="1" applyFont="1" applyFill="1" applyProtection="1">
      <protection hidden="1"/>
    </xf>
    <xf numFmtId="0" fontId="0" fillId="8" borderId="0" xfId="0" applyFill="1" applyBorder="1" applyProtection="1">
      <protection hidden="1"/>
    </xf>
    <xf numFmtId="0" fontId="0" fillId="8" borderId="0" xfId="0" applyFill="1" applyProtection="1">
      <protection hidden="1"/>
    </xf>
    <xf numFmtId="164" fontId="0" fillId="8" borderId="0" xfId="0" applyNumberFormat="1" applyFill="1" applyProtection="1">
      <protection hidden="1"/>
    </xf>
    <xf numFmtId="0" fontId="0" fillId="0" borderId="0" xfId="0" applyFill="1" applyBorder="1" applyProtection="1">
      <protection hidden="1"/>
    </xf>
    <xf numFmtId="0" fontId="0" fillId="0" borderId="2" xfId="0" applyFill="1" applyBorder="1" applyProtection="1">
      <protection hidden="1"/>
    </xf>
    <xf numFmtId="0" fontId="0" fillId="14" borderId="0" xfId="0" applyFill="1" applyBorder="1" applyProtection="1">
      <protection hidden="1"/>
    </xf>
    <xf numFmtId="0" fontId="0" fillId="14" borderId="0" xfId="0" applyFill="1" applyProtection="1">
      <protection hidden="1"/>
    </xf>
    <xf numFmtId="164" fontId="0" fillId="14" borderId="0" xfId="0" applyNumberFormat="1" applyFill="1" applyProtection="1">
      <protection hidden="1"/>
    </xf>
    <xf numFmtId="0" fontId="0" fillId="9" borderId="0" xfId="0" applyFill="1" applyBorder="1" applyProtection="1">
      <protection hidden="1"/>
    </xf>
    <xf numFmtId="0" fontId="0" fillId="9" borderId="0" xfId="0" applyFill="1" applyProtection="1">
      <protection hidden="1"/>
    </xf>
    <xf numFmtId="164" fontId="0" fillId="9" borderId="0" xfId="0" applyNumberFormat="1" applyFill="1" applyProtection="1">
      <protection hidden="1"/>
    </xf>
    <xf numFmtId="0" fontId="16" fillId="2" borderId="0" xfId="0" applyFont="1" applyFill="1" applyBorder="1" applyAlignment="1" applyProtection="1">
      <alignment horizontal="center"/>
      <protection locked="0" hidden="1"/>
    </xf>
    <xf numFmtId="0" fontId="17" fillId="2" borderId="0" xfId="0" applyFont="1" applyFill="1" applyAlignment="1" applyProtection="1">
      <alignment horizontal="center"/>
      <protection locked="0" hidden="1"/>
    </xf>
    <xf numFmtId="0" fontId="2" fillId="0" borderId="0" xfId="0" applyFont="1" applyFill="1" applyAlignment="1" applyProtection="1">
      <alignment horizontal="center"/>
      <protection locked="0" hidden="1"/>
    </xf>
    <xf numFmtId="0" fontId="0" fillId="16" borderId="0" xfId="0" applyFill="1"/>
    <xf numFmtId="2" fontId="0" fillId="0" borderId="0" xfId="1" applyNumberFormat="1" applyFont="1" applyProtection="1">
      <protection hidden="1"/>
    </xf>
    <xf numFmtId="0" fontId="0" fillId="0" borderId="20" xfId="0" applyBorder="1" applyProtection="1">
      <protection hidden="1"/>
    </xf>
    <xf numFmtId="0" fontId="64" fillId="0" borderId="0" xfId="0" applyFont="1" applyProtection="1">
      <protection hidden="1"/>
    </xf>
    <xf numFmtId="0" fontId="0" fillId="20" borderId="0" xfId="0" applyFill="1"/>
    <xf numFmtId="0" fontId="0" fillId="0" borderId="0" xfId="0" applyFont="1" applyFill="1" applyAlignment="1" applyProtection="1">
      <alignment horizontal="center"/>
      <protection locked="0" hidden="1"/>
    </xf>
    <xf numFmtId="0" fontId="65" fillId="0" borderId="0" xfId="0" applyFont="1" applyAlignment="1" applyProtection="1">
      <alignment horizontal="center"/>
      <protection hidden="1"/>
    </xf>
    <xf numFmtId="171" fontId="0" fillId="0" borderId="0" xfId="0" applyNumberFormat="1" applyAlignment="1" applyProtection="1">
      <alignment horizontal="center"/>
      <protection hidden="1"/>
    </xf>
    <xf numFmtId="0" fontId="66" fillId="0" borderId="0" xfId="0" applyFont="1" applyProtection="1">
      <protection hidden="1"/>
    </xf>
    <xf numFmtId="0" fontId="66" fillId="0" borderId="2" xfId="0" applyFont="1" applyBorder="1" applyProtection="1">
      <protection hidden="1"/>
    </xf>
    <xf numFmtId="171" fontId="47" fillId="10" borderId="0" xfId="0" applyNumberFormat="1" applyFont="1" applyFill="1" applyAlignment="1" applyProtection="1">
      <protection hidden="1"/>
    </xf>
    <xf numFmtId="0" fontId="47" fillId="10" borderId="0" xfId="0" applyFont="1" applyFill="1" applyAlignment="1" applyProtection="1">
      <alignment horizontal="left"/>
      <protection hidden="1"/>
    </xf>
    <xf numFmtId="0" fontId="0" fillId="0" borderId="0" xfId="0" applyFill="1"/>
    <xf numFmtId="0" fontId="0" fillId="0" borderId="0" xfId="0" applyFill="1" applyAlignment="1" applyProtection="1">
      <protection hidden="1"/>
    </xf>
    <xf numFmtId="0" fontId="0" fillId="21" borderId="25" xfId="0" applyFill="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0" fillId="0" borderId="28" xfId="0" applyBorder="1" applyAlignment="1" applyProtection="1">
      <alignment horizontal="center"/>
      <protection hidden="1"/>
    </xf>
    <xf numFmtId="0" fontId="0" fillId="0" borderId="29"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0" xfId="0" applyBorder="1" applyAlignment="1" applyProtection="1">
      <alignment horizontal="center"/>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7" fillId="19" borderId="0" xfId="0" applyFont="1" applyFill="1" applyAlignment="1" applyProtection="1">
      <protection hidden="1"/>
    </xf>
    <xf numFmtId="0" fontId="23" fillId="0" borderId="0" xfId="0" applyFont="1"/>
    <xf numFmtId="0" fontId="5" fillId="0" borderId="0" xfId="0" applyFont="1"/>
    <xf numFmtId="0" fontId="54" fillId="0" borderId="0" xfId="0" applyFont="1" applyAlignment="1">
      <alignment horizontal="center" textRotation="90"/>
    </xf>
    <xf numFmtId="0" fontId="60" fillId="10" borderId="0" xfId="0" applyFont="1" applyFill="1" applyProtection="1">
      <protection hidden="1"/>
    </xf>
    <xf numFmtId="0" fontId="68" fillId="10" borderId="0" xfId="0" applyFont="1" applyFill="1" applyAlignment="1" applyProtection="1">
      <alignment horizontal="right"/>
      <protection hidden="1"/>
    </xf>
    <xf numFmtId="0" fontId="68" fillId="10" borderId="0" xfId="0" applyFont="1" applyFill="1" applyAlignment="1" applyProtection="1">
      <alignment horizontal="left"/>
      <protection hidden="1"/>
    </xf>
    <xf numFmtId="0" fontId="55" fillId="0" borderId="0" xfId="0" applyFont="1" applyProtection="1">
      <protection hidden="1"/>
    </xf>
    <xf numFmtId="0" fontId="0" fillId="0" borderId="2" xfId="0" applyBorder="1" applyAlignment="1" applyProtection="1">
      <alignment horizontal="right"/>
      <protection hidden="1"/>
    </xf>
    <xf numFmtId="164" fontId="0" fillId="0" borderId="0" xfId="0" applyNumberFormat="1"/>
    <xf numFmtId="171" fontId="70" fillId="19" borderId="0" xfId="0" applyNumberFormat="1" applyFont="1" applyFill="1" applyAlignment="1" applyProtection="1">
      <alignment vertical="center"/>
      <protection hidden="1"/>
    </xf>
    <xf numFmtId="0" fontId="2" fillId="19" borderId="0" xfId="0" applyFont="1" applyFill="1" applyAlignment="1">
      <alignment horizontal="right"/>
    </xf>
    <xf numFmtId="171" fontId="72" fillId="19" borderId="0" xfId="0" applyNumberFormat="1" applyFont="1" applyFill="1" applyBorder="1" applyAlignment="1" applyProtection="1">
      <alignment vertical="center"/>
      <protection hidden="1"/>
    </xf>
    <xf numFmtId="164" fontId="0" fillId="0" borderId="0" xfId="0" applyNumberFormat="1" applyProtection="1">
      <protection hidden="1"/>
    </xf>
    <xf numFmtId="171" fontId="0" fillId="19" borderId="0" xfId="0" applyNumberFormat="1" applyFill="1" applyProtection="1">
      <protection hidden="1"/>
    </xf>
    <xf numFmtId="9" fontId="71" fillId="19" borderId="0" xfId="2" applyFont="1" applyFill="1" applyAlignment="1"/>
    <xf numFmtId="9" fontId="71" fillId="19" borderId="0" xfId="2" applyFont="1" applyFill="1" applyAlignment="1">
      <alignment vertical="center"/>
    </xf>
    <xf numFmtId="0" fontId="0" fillId="19" borderId="0" xfId="0" applyFont="1" applyFill="1" applyBorder="1" applyProtection="1">
      <protection hidden="1"/>
    </xf>
    <xf numFmtId="167" fontId="0" fillId="0" borderId="0" xfId="0" applyNumberFormat="1"/>
    <xf numFmtId="0" fontId="73" fillId="19" borderId="0" xfId="0" applyFont="1" applyFill="1" applyBorder="1" applyAlignment="1">
      <alignment horizontal="right" vertical="top"/>
    </xf>
    <xf numFmtId="171" fontId="74" fillId="19" borderId="0" xfId="0" applyNumberFormat="1" applyFont="1" applyFill="1" applyBorder="1" applyAlignment="1" applyProtection="1">
      <alignment vertical="center"/>
      <protection hidden="1"/>
    </xf>
    <xf numFmtId="168" fontId="4" fillId="19" borderId="0" xfId="0" applyNumberFormat="1" applyFont="1" applyFill="1" applyAlignment="1" applyProtection="1">
      <alignment vertical="center"/>
      <protection hidden="1"/>
    </xf>
    <xf numFmtId="166" fontId="8" fillId="19" borderId="0" xfId="0" applyNumberFormat="1" applyFont="1" applyFill="1" applyAlignment="1" applyProtection="1">
      <alignment vertical="center"/>
      <protection hidden="1"/>
    </xf>
    <xf numFmtId="0" fontId="64" fillId="19" borderId="0" xfId="0" applyFont="1" applyFill="1" applyAlignment="1">
      <alignment horizontal="right"/>
    </xf>
    <xf numFmtId="164" fontId="0" fillId="19" borderId="0" xfId="0" applyNumberFormat="1" applyFill="1" applyProtection="1">
      <protection hidden="1"/>
    </xf>
    <xf numFmtId="173" fontId="0" fillId="0" borderId="0" xfId="1" applyNumberFormat="1" applyFont="1" applyProtection="1">
      <protection hidden="1"/>
    </xf>
    <xf numFmtId="0" fontId="0" fillId="0" borderId="0" xfId="0" applyFill="1" applyBorder="1" applyAlignment="1" applyProtection="1">
      <alignment horizontal="right"/>
      <protection hidden="1"/>
    </xf>
    <xf numFmtId="164" fontId="0" fillId="0" borderId="0" xfId="0" applyNumberFormat="1"/>
    <xf numFmtId="164" fontId="0" fillId="6" borderId="0" xfId="1" applyFont="1" applyFill="1" applyProtection="1">
      <protection hidden="1"/>
    </xf>
    <xf numFmtId="0" fontId="0" fillId="6" borderId="0" xfId="0" applyFill="1"/>
    <xf numFmtId="0" fontId="0" fillId="5" borderId="0" xfId="0" applyFill="1" applyProtection="1">
      <protection locked="0" hidden="1"/>
    </xf>
    <xf numFmtId="0" fontId="0" fillId="5" borderId="0" xfId="0" applyFill="1" applyProtection="1">
      <protection hidden="1"/>
    </xf>
    <xf numFmtId="0" fontId="0" fillId="5" borderId="0" xfId="0" applyFill="1"/>
    <xf numFmtId="164" fontId="0" fillId="0" borderId="0" xfId="0" applyNumberFormat="1" applyProtection="1">
      <protection hidden="1"/>
    </xf>
    <xf numFmtId="0" fontId="0" fillId="0" borderId="2" xfId="0" applyBorder="1" applyAlignment="1" applyProtection="1">
      <alignment horizontal="center"/>
      <protection hidden="1"/>
    </xf>
    <xf numFmtId="0" fontId="2" fillId="2" borderId="0" xfId="0" applyFont="1" applyFill="1" applyAlignment="1" applyProtection="1">
      <alignment horizontal="center"/>
      <protection hidden="1"/>
    </xf>
    <xf numFmtId="0" fontId="0" fillId="22" borderId="0" xfId="0" applyFill="1" applyProtection="1">
      <protection hidden="1"/>
    </xf>
    <xf numFmtId="164" fontId="0" fillId="0" borderId="2" xfId="0" applyNumberFormat="1" applyBorder="1"/>
    <xf numFmtId="164" fontId="0" fillId="5" borderId="0" xfId="1" applyFont="1" applyFill="1" applyProtection="1">
      <protection hidden="1"/>
    </xf>
    <xf numFmtId="164" fontId="0" fillId="5" borderId="0" xfId="0" applyNumberFormat="1" applyFill="1" applyProtection="1">
      <protection hidden="1"/>
    </xf>
    <xf numFmtId="0" fontId="0" fillId="0" borderId="0" xfId="0" applyAlignment="1">
      <alignment horizontal="center"/>
    </xf>
    <xf numFmtId="171" fontId="57" fillId="10" borderId="0" xfId="0" applyNumberFormat="1" applyFont="1" applyFill="1" applyBorder="1" applyAlignment="1" applyProtection="1">
      <alignment vertical="center"/>
      <protection hidden="1"/>
    </xf>
    <xf numFmtId="171" fontId="57" fillId="23" borderId="0" xfId="0" applyNumberFormat="1" applyFont="1" applyFill="1" applyBorder="1" applyAlignment="1" applyProtection="1">
      <alignment vertical="center"/>
      <protection hidden="1"/>
    </xf>
    <xf numFmtId="0" fontId="46" fillId="23" borderId="0" xfId="0" applyFont="1" applyFill="1" applyBorder="1" applyAlignment="1" applyProtection="1">
      <alignment horizontal="center"/>
      <protection hidden="1"/>
    </xf>
    <xf numFmtId="0" fontId="77" fillId="23" borderId="0" xfId="0" applyFont="1" applyFill="1" applyBorder="1" applyAlignment="1">
      <alignment horizontal="right" vertical="top"/>
    </xf>
    <xf numFmtId="0" fontId="77" fillId="10" borderId="0" xfId="0" applyFont="1" applyFill="1" applyBorder="1" applyAlignment="1">
      <alignment horizontal="right" vertical="top"/>
    </xf>
    <xf numFmtId="0" fontId="79" fillId="19" borderId="0" xfId="0" applyFont="1" applyFill="1" applyBorder="1" applyAlignment="1" applyProtection="1">
      <alignment horizontal="center"/>
      <protection hidden="1"/>
    </xf>
    <xf numFmtId="0" fontId="19" fillId="19" borderId="0" xfId="0" applyFont="1" applyFill="1" applyBorder="1" applyAlignment="1" applyProtection="1">
      <alignment horizontal="right"/>
      <protection hidden="1"/>
    </xf>
    <xf numFmtId="9" fontId="80" fillId="19" borderId="0" xfId="0" applyNumberFormat="1" applyFont="1" applyFill="1" applyBorder="1" applyAlignment="1">
      <alignment horizontal="right"/>
    </xf>
    <xf numFmtId="171" fontId="81" fillId="19" borderId="0" xfId="0" applyNumberFormat="1" applyFont="1" applyFill="1" applyBorder="1" applyAlignment="1" applyProtection="1">
      <alignment vertical="center"/>
      <protection hidden="1"/>
    </xf>
    <xf numFmtId="0" fontId="73" fillId="19" borderId="0" xfId="0" applyFont="1" applyFill="1" applyBorder="1" applyAlignment="1">
      <alignment horizontal="left" vertical="top"/>
    </xf>
    <xf numFmtId="171" fontId="57" fillId="24" borderId="0" xfId="0" applyNumberFormat="1" applyFont="1" applyFill="1" applyBorder="1" applyAlignment="1" applyProtection="1">
      <alignment vertical="center"/>
      <protection hidden="1"/>
    </xf>
    <xf numFmtId="0" fontId="77" fillId="24" borderId="0" xfId="0" applyFont="1" applyFill="1" applyBorder="1" applyAlignment="1">
      <alignment horizontal="right" vertical="top"/>
    </xf>
    <xf numFmtId="0" fontId="17" fillId="19" borderId="0" xfId="0" applyFont="1" applyFill="1" applyAlignment="1" applyProtection="1">
      <alignment horizontal="center"/>
      <protection hidden="1"/>
    </xf>
    <xf numFmtId="0" fontId="7" fillId="19" borderId="0" xfId="0" applyFont="1" applyFill="1" applyAlignment="1" applyProtection="1">
      <alignment horizontal="right"/>
      <protection hidden="1"/>
    </xf>
    <xf numFmtId="0" fontId="17" fillId="19" borderId="0" xfId="0" applyFont="1" applyFill="1" applyAlignment="1" applyProtection="1">
      <alignment horizontal="center"/>
      <protection hidden="1"/>
    </xf>
    <xf numFmtId="0" fontId="83" fillId="19" borderId="0" xfId="0" applyFont="1" applyFill="1" applyBorder="1" applyAlignment="1" applyProtection="1">
      <alignment vertical="center"/>
      <protection hidden="1"/>
    </xf>
    <xf numFmtId="171" fontId="81" fillId="19" borderId="2" xfId="0" applyNumberFormat="1" applyFont="1" applyFill="1" applyBorder="1" applyAlignment="1" applyProtection="1">
      <alignment vertical="center"/>
      <protection hidden="1"/>
    </xf>
    <xf numFmtId="171" fontId="74" fillId="19" borderId="18" xfId="0" applyNumberFormat="1" applyFont="1" applyFill="1" applyBorder="1" applyAlignment="1" applyProtection="1">
      <alignment vertical="center"/>
      <protection hidden="1"/>
    </xf>
    <xf numFmtId="171" fontId="72" fillId="19" borderId="34" xfId="0" applyNumberFormat="1" applyFont="1" applyFill="1" applyBorder="1" applyAlignment="1" applyProtection="1">
      <alignment vertical="center"/>
      <protection hidden="1"/>
    </xf>
    <xf numFmtId="171" fontId="85" fillId="19" borderId="0" xfId="0" applyNumberFormat="1" applyFont="1" applyFill="1" applyBorder="1" applyAlignment="1" applyProtection="1">
      <alignment vertical="center"/>
      <protection hidden="1"/>
    </xf>
    <xf numFmtId="171" fontId="67"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xf>
    <xf numFmtId="0" fontId="14" fillId="19" borderId="0" xfId="0" applyFont="1" applyFill="1" applyProtection="1">
      <protection hidden="1"/>
    </xf>
    <xf numFmtId="0" fontId="23" fillId="19" borderId="0" xfId="0" applyFont="1" applyFill="1" applyAlignment="1" applyProtection="1">
      <alignment horizontal="right"/>
      <protection hidden="1"/>
    </xf>
    <xf numFmtId="0" fontId="67" fillId="19" borderId="0" xfId="0" applyFont="1" applyFill="1" applyAlignment="1" applyProtection="1">
      <alignment horizontal="right"/>
      <protection hidden="1"/>
    </xf>
    <xf numFmtId="0" fontId="0" fillId="19" borderId="34" xfId="0" applyFill="1" applyBorder="1" applyAlignment="1" applyProtection="1">
      <alignment horizontal="right"/>
      <protection hidden="1"/>
    </xf>
    <xf numFmtId="0" fontId="5" fillId="19" borderId="18" xfId="0" applyFont="1" applyFill="1" applyBorder="1" applyAlignment="1" applyProtection="1">
      <protection hidden="1"/>
    </xf>
    <xf numFmtId="0" fontId="0" fillId="19" borderId="18" xfId="0" applyFill="1" applyBorder="1" applyProtection="1">
      <protection hidden="1"/>
    </xf>
    <xf numFmtId="0" fontId="7" fillId="19" borderId="18" xfId="0" applyFont="1" applyFill="1" applyBorder="1" applyAlignment="1" applyProtection="1">
      <protection hidden="1"/>
    </xf>
    <xf numFmtId="0" fontId="14" fillId="19" borderId="18" xfId="0" applyFont="1" applyFill="1" applyBorder="1" applyAlignment="1" applyProtection="1">
      <alignment horizontal="right"/>
      <protection hidden="1"/>
    </xf>
    <xf numFmtId="0" fontId="3" fillId="19" borderId="18" xfId="0" applyFont="1" applyFill="1" applyBorder="1" applyAlignment="1" applyProtection="1">
      <alignment horizontal="center"/>
      <protection hidden="1"/>
    </xf>
    <xf numFmtId="9" fontId="80" fillId="19" borderId="0" xfId="0" applyNumberFormat="1" applyFont="1" applyFill="1" applyBorder="1" applyAlignment="1">
      <alignment horizontal="right" vertical="center"/>
    </xf>
    <xf numFmtId="0" fontId="0" fillId="19" borderId="0" xfId="0" applyFont="1" applyFill="1" applyBorder="1" applyAlignment="1" applyProtection="1">
      <alignment horizontal="right" vertical="center"/>
      <protection hidden="1"/>
    </xf>
    <xf numFmtId="171" fontId="74" fillId="19" borderId="18" xfId="0" applyNumberFormat="1" applyFont="1" applyFill="1" applyBorder="1" applyAlignment="1" applyProtection="1">
      <protection hidden="1"/>
    </xf>
    <xf numFmtId="171" fontId="3" fillId="19" borderId="0" xfId="0" applyNumberFormat="1" applyFont="1" applyFill="1" applyAlignment="1" applyProtection="1">
      <alignment horizontal="center"/>
      <protection hidden="1"/>
    </xf>
    <xf numFmtId="0" fontId="14" fillId="19" borderId="0" xfId="0" applyFont="1" applyFill="1" applyBorder="1" applyAlignment="1" applyProtection="1">
      <alignment horizontal="right"/>
      <protection hidden="1"/>
    </xf>
    <xf numFmtId="0" fontId="7" fillId="25" borderId="0" xfId="0" applyFont="1" applyFill="1" applyBorder="1" applyAlignment="1" applyProtection="1">
      <protection hidden="1"/>
    </xf>
    <xf numFmtId="0" fontId="0" fillId="19" borderId="0" xfId="0" applyFill="1" applyBorder="1" applyAlignment="1" applyProtection="1">
      <alignment horizontal="left"/>
      <protection hidden="1"/>
    </xf>
    <xf numFmtId="0" fontId="14" fillId="19" borderId="0" xfId="0" applyFont="1" applyFill="1" applyBorder="1" applyAlignment="1" applyProtection="1">
      <alignment horizontal="left"/>
      <protection hidden="1"/>
    </xf>
    <xf numFmtId="2" fontId="20" fillId="19" borderId="0" xfId="1" applyNumberFormat="1" applyFont="1" applyFill="1" applyBorder="1" applyAlignment="1" applyProtection="1">
      <alignment horizontal="center" vertical="center"/>
      <protection hidden="1"/>
    </xf>
    <xf numFmtId="0" fontId="76" fillId="10" borderId="0" xfId="0" applyFont="1" applyFill="1" applyBorder="1" applyAlignment="1" applyProtection="1">
      <alignment horizontal="center"/>
      <protection hidden="1"/>
    </xf>
    <xf numFmtId="0" fontId="76" fillId="24" borderId="0" xfId="0" applyFont="1" applyFill="1" applyBorder="1" applyAlignment="1" applyProtection="1">
      <alignment horizontal="center"/>
      <protection hidden="1"/>
    </xf>
    <xf numFmtId="0" fontId="7" fillId="25" borderId="0" xfId="0" applyFont="1" applyFill="1" applyBorder="1" applyAlignment="1" applyProtection="1">
      <alignment horizontal="right"/>
      <protection hidden="1"/>
    </xf>
    <xf numFmtId="0" fontId="19" fillId="19" borderId="0" xfId="0" applyFont="1" applyFill="1" applyAlignment="1" applyProtection="1">
      <alignment horizontal="center"/>
      <protection hidden="1"/>
    </xf>
    <xf numFmtId="0" fontId="9" fillId="0" borderId="36" xfId="0" applyFont="1" applyBorder="1" applyAlignment="1" applyProtection="1">
      <alignment horizontal="center"/>
      <protection hidden="1"/>
    </xf>
    <xf numFmtId="0" fontId="9" fillId="0" borderId="35" xfId="0" applyFont="1" applyBorder="1" applyAlignment="1" applyProtection="1">
      <alignment horizontal="center"/>
      <protection hidden="1"/>
    </xf>
    <xf numFmtId="0" fontId="11" fillId="4" borderId="35" xfId="0" applyFont="1" applyFill="1" applyBorder="1" applyAlignment="1" applyProtection="1">
      <alignment horizontal="center" vertical="top" wrapText="1"/>
      <protection hidden="1"/>
    </xf>
    <xf numFmtId="0" fontId="12" fillId="0" borderId="35" xfId="0" applyFont="1" applyBorder="1" applyAlignment="1" applyProtection="1">
      <alignment horizontal="center" vertical="top" wrapText="1"/>
      <protection hidden="1"/>
    </xf>
    <xf numFmtId="0" fontId="0" fillId="4" borderId="35" xfId="0" applyFill="1" applyBorder="1" applyAlignment="1" applyProtection="1">
      <alignment horizontal="center"/>
      <protection hidden="1"/>
    </xf>
    <xf numFmtId="0" fontId="9" fillId="0" borderId="35" xfId="0" applyFont="1" applyBorder="1" applyAlignment="1" applyProtection="1">
      <alignment horizontal="center" vertical="top" wrapText="1"/>
      <protection hidden="1"/>
    </xf>
    <xf numFmtId="0" fontId="0" fillId="4" borderId="35" xfId="0" applyFill="1" applyBorder="1" applyProtection="1">
      <protection hidden="1"/>
    </xf>
    <xf numFmtId="0" fontId="13" fillId="0" borderId="35" xfId="0" applyFont="1" applyBorder="1" applyAlignment="1" applyProtection="1">
      <alignment horizontal="center" vertical="top" wrapText="1"/>
      <protection hidden="1"/>
    </xf>
    <xf numFmtId="0" fontId="0" fillId="16" borderId="35" xfId="0" applyFill="1" applyBorder="1" applyAlignment="1" applyProtection="1">
      <alignment horizontal="center"/>
      <protection hidden="1"/>
    </xf>
    <xf numFmtId="0" fontId="58" fillId="0" borderId="35" xfId="0" applyFont="1" applyBorder="1" applyAlignment="1" applyProtection="1">
      <alignment horizontal="center" vertical="top" wrapText="1"/>
      <protection hidden="1"/>
    </xf>
    <xf numFmtId="164" fontId="58" fillId="16" borderId="35" xfId="0" applyNumberFormat="1" applyFont="1" applyFill="1" applyBorder="1" applyAlignment="1" applyProtection="1">
      <alignment horizontal="center"/>
      <protection hidden="1"/>
    </xf>
    <xf numFmtId="0" fontId="0" fillId="5" borderId="35" xfId="0" applyFill="1" applyBorder="1" applyAlignment="1" applyProtection="1">
      <alignment horizontal="center"/>
      <protection hidden="1"/>
    </xf>
    <xf numFmtId="169" fontId="14" fillId="5" borderId="35" xfId="0" applyNumberFormat="1" applyFont="1" applyFill="1" applyBorder="1" applyAlignment="1" applyProtection="1">
      <alignment horizontal="center"/>
      <protection hidden="1"/>
    </xf>
    <xf numFmtId="0" fontId="89" fillId="0" borderId="0" xfId="0" applyFont="1" applyAlignment="1" applyProtection="1">
      <alignment horizontal="center"/>
      <protection hidden="1"/>
    </xf>
    <xf numFmtId="0" fontId="90" fillId="0" borderId="0" xfId="0" applyFont="1" applyAlignment="1" applyProtection="1">
      <alignment horizontal="center"/>
      <protection hidden="1"/>
    </xf>
    <xf numFmtId="0" fontId="91" fillId="0" borderId="0" xfId="0" applyFont="1" applyAlignment="1" applyProtection="1">
      <alignment horizontal="center"/>
      <protection hidden="1"/>
    </xf>
    <xf numFmtId="0" fontId="18" fillId="0" borderId="0" xfId="0" applyFont="1" applyAlignment="1" applyProtection="1">
      <alignment horizontal="center"/>
      <protection hidden="1"/>
    </xf>
    <xf numFmtId="0" fontId="92" fillId="0" borderId="0" xfId="0" applyFont="1" applyAlignment="1" applyProtection="1">
      <alignment horizontal="center"/>
      <protection hidden="1"/>
    </xf>
    <xf numFmtId="0" fontId="93" fillId="0" borderId="0" xfId="0" applyFont="1" applyAlignment="1" applyProtection="1">
      <alignment horizontal="center"/>
      <protection hidden="1"/>
    </xf>
    <xf numFmtId="0" fontId="92" fillId="26" borderId="0" xfId="0" applyFont="1" applyFill="1" applyProtection="1">
      <protection locked="0" hidden="1"/>
    </xf>
    <xf numFmtId="0" fontId="94" fillId="0" borderId="0" xfId="0" applyFont="1" applyAlignment="1" applyProtection="1">
      <alignment horizontal="right"/>
      <protection hidden="1"/>
    </xf>
    <xf numFmtId="0" fontId="0" fillId="25" borderId="37" xfId="0" applyFont="1" applyFill="1" applyBorder="1" applyAlignment="1" applyProtection="1">
      <alignment horizontal="center"/>
      <protection locked="0" hidden="1"/>
    </xf>
    <xf numFmtId="0" fontId="0" fillId="25" borderId="38" xfId="0" applyFont="1" applyFill="1" applyBorder="1" applyAlignment="1" applyProtection="1">
      <alignment horizontal="center"/>
      <protection locked="0" hidden="1"/>
    </xf>
    <xf numFmtId="0" fontId="12" fillId="25" borderId="39" xfId="0" applyFont="1" applyFill="1" applyBorder="1" applyAlignment="1" applyProtection="1">
      <alignment horizontal="center" vertical="top" wrapText="1"/>
      <protection locked="0" hidden="1"/>
    </xf>
    <xf numFmtId="165" fontId="9" fillId="25" borderId="20" xfId="0" applyNumberFormat="1" applyFont="1" applyFill="1" applyBorder="1" applyAlignment="1" applyProtection="1">
      <alignment horizontal="center" vertical="top" wrapText="1"/>
      <protection locked="0" hidden="1"/>
    </xf>
    <xf numFmtId="0" fontId="18" fillId="2" borderId="0" xfId="0" applyFont="1" applyFill="1" applyAlignment="1" applyProtection="1">
      <protection hidden="1"/>
    </xf>
    <xf numFmtId="0" fontId="64" fillId="0" borderId="0" xfId="0" applyFont="1" applyBorder="1" applyProtection="1">
      <protection hidden="1"/>
    </xf>
    <xf numFmtId="0" fontId="4" fillId="25" borderId="1" xfId="0" applyFont="1" applyFill="1" applyBorder="1" applyAlignment="1" applyProtection="1">
      <alignment horizontal="center"/>
      <protection locked="0" hidden="1"/>
    </xf>
    <xf numFmtId="171" fontId="2" fillId="25" borderId="1" xfId="0" applyNumberFormat="1" applyFont="1" applyFill="1" applyBorder="1" applyAlignment="1" applyProtection="1">
      <protection locked="0" hidden="1"/>
    </xf>
    <xf numFmtId="0" fontId="2" fillId="25" borderId="1" xfId="0" applyFont="1" applyFill="1" applyBorder="1" applyAlignment="1" applyProtection="1">
      <alignment horizontal="center" vertical="center"/>
      <protection locked="0" hidden="1"/>
    </xf>
    <xf numFmtId="0" fontId="2" fillId="25" borderId="1" xfId="0" applyFont="1" applyFill="1" applyBorder="1" applyAlignment="1" applyProtection="1">
      <alignment horizontal="center"/>
      <protection locked="0" hidden="1"/>
    </xf>
    <xf numFmtId="0" fontId="2" fillId="25" borderId="17" xfId="0" applyFont="1" applyFill="1" applyBorder="1" applyAlignment="1" applyProtection="1">
      <alignment horizontal="center"/>
      <protection locked="0" hidden="1"/>
    </xf>
    <xf numFmtId="0" fontId="0" fillId="0" borderId="0" xfId="0" applyFill="1" applyAlignment="1" applyProtection="1">
      <alignment horizontal="center"/>
      <protection hidden="1"/>
    </xf>
    <xf numFmtId="164" fontId="0" fillId="0" borderId="0" xfId="0" applyNumberFormat="1" applyBorder="1" applyProtection="1">
      <protection hidden="1"/>
    </xf>
    <xf numFmtId="164" fontId="0" fillId="0" borderId="0" xfId="0" applyNumberFormat="1" applyBorder="1"/>
    <xf numFmtId="171" fontId="2" fillId="25" borderId="1" xfId="0" applyNumberFormat="1" applyFont="1" applyFill="1" applyBorder="1" applyAlignment="1" applyProtection="1">
      <alignment horizontal="center"/>
      <protection locked="0" hidden="1"/>
    </xf>
    <xf numFmtId="0" fontId="2" fillId="25" borderId="1" xfId="0" applyNumberFormat="1" applyFont="1" applyFill="1" applyBorder="1" applyAlignment="1" applyProtection="1">
      <alignment horizontal="center"/>
      <protection locked="0" hidden="1"/>
    </xf>
    <xf numFmtId="0" fontId="2" fillId="2" borderId="41" xfId="0" applyFont="1" applyFill="1" applyBorder="1" applyAlignment="1" applyProtection="1">
      <alignment horizontal="center" vertical="center"/>
      <protection locked="0" hidden="1"/>
    </xf>
    <xf numFmtId="0" fontId="0" fillId="0" borderId="0" xfId="0" applyBorder="1" applyAlignment="1" applyProtection="1">
      <alignment horizontal="right"/>
      <protection hidden="1"/>
    </xf>
    <xf numFmtId="0" fontId="0" fillId="0" borderId="0" xfId="0" applyBorder="1" applyAlignment="1" applyProtection="1">
      <alignment horizontal="right" vertical="center"/>
      <protection hidden="1"/>
    </xf>
    <xf numFmtId="0" fontId="0" fillId="0" borderId="20" xfId="0" applyBorder="1"/>
    <xf numFmtId="0" fontId="98" fillId="0" borderId="0" xfId="0" applyFont="1" applyAlignment="1">
      <alignment horizontal="right"/>
    </xf>
    <xf numFmtId="0" fontId="47" fillId="10" borderId="0" xfId="3" applyFill="1" applyAlignment="1" applyProtection="1">
      <alignment horizontal="center" vertical="center" wrapText="1"/>
      <protection locked="0" hidden="1"/>
    </xf>
    <xf numFmtId="0" fontId="59" fillId="0" borderId="0" xfId="0" applyFont="1" applyFill="1" applyBorder="1" applyAlignment="1">
      <alignment horizontal="justify" vertical="top" wrapText="1"/>
    </xf>
    <xf numFmtId="0" fontId="20" fillId="0" borderId="0" xfId="0" applyFont="1" applyFill="1" applyBorder="1" applyAlignment="1" applyProtection="1">
      <alignment horizontal="center" vertical="top"/>
      <protection hidden="1"/>
    </xf>
    <xf numFmtId="171" fontId="19" fillId="0" borderId="0" xfId="1" applyNumberFormat="1" applyFont="1" applyFill="1" applyBorder="1" applyAlignment="1" applyProtection="1">
      <alignment horizontal="center" vertical="top"/>
      <protection hidden="1"/>
    </xf>
    <xf numFmtId="0" fontId="39" fillId="0" borderId="0" xfId="0" applyFont="1" applyFill="1" applyBorder="1" applyAlignment="1">
      <alignment horizontal="justify" vertical="top" wrapText="1"/>
    </xf>
    <xf numFmtId="164" fontId="20" fillId="0" borderId="0" xfId="0" applyNumberFormat="1" applyFont="1" applyFill="1" applyBorder="1" applyAlignment="1" applyProtection="1">
      <alignment horizontal="center" vertical="top"/>
      <protection hidden="1"/>
    </xf>
    <xf numFmtId="0" fontId="24" fillId="0" borderId="0" xfId="0" applyFont="1" applyFill="1" applyBorder="1" applyAlignment="1" applyProtection="1">
      <alignment horizontal="center" vertical="top"/>
      <protection hidden="1"/>
    </xf>
    <xf numFmtId="172" fontId="24" fillId="0" borderId="0" xfId="0" applyNumberFormat="1" applyFont="1" applyFill="1" applyBorder="1" applyAlignment="1" applyProtection="1">
      <alignment horizontal="center" vertical="top"/>
      <protection hidden="1"/>
    </xf>
    <xf numFmtId="164" fontId="24" fillId="0" borderId="0" xfId="0" applyNumberFormat="1" applyFont="1" applyFill="1" applyBorder="1" applyAlignment="1" applyProtection="1">
      <alignment horizontal="center" vertical="top"/>
      <protection hidden="1"/>
    </xf>
    <xf numFmtId="0" fontId="50" fillId="0" borderId="0" xfId="0" applyFont="1" applyFill="1" applyBorder="1" applyAlignment="1">
      <alignment horizontal="justify" vertical="top" wrapText="1"/>
    </xf>
    <xf numFmtId="0" fontId="41" fillId="27" borderId="0" xfId="0" applyFont="1" applyFill="1" applyBorder="1" applyAlignment="1" applyProtection="1">
      <alignment horizontal="justify"/>
      <protection hidden="1"/>
    </xf>
    <xf numFmtId="0" fontId="41" fillId="27" borderId="0" xfId="0" applyFont="1" applyFill="1" applyBorder="1" applyAlignment="1" applyProtection="1">
      <alignment horizontal="center"/>
      <protection hidden="1"/>
    </xf>
    <xf numFmtId="0" fontId="41" fillId="27" borderId="0" xfId="0" applyFont="1" applyFill="1" applyBorder="1" applyAlignment="1" applyProtection="1">
      <alignment horizontal="center" wrapText="1"/>
      <protection hidden="1"/>
    </xf>
    <xf numFmtId="0" fontId="55" fillId="0" borderId="0" xfId="0" applyFont="1" applyAlignment="1" applyProtection="1">
      <alignment vertical="justify" wrapText="1"/>
      <protection hidden="1"/>
    </xf>
    <xf numFmtId="0" fontId="4" fillId="0" borderId="8" xfId="0" applyFont="1" applyFill="1" applyBorder="1" applyAlignment="1">
      <alignment vertical="top"/>
    </xf>
    <xf numFmtId="171" fontId="19" fillId="0" borderId="9" xfId="1" applyNumberFormat="1" applyFont="1" applyFill="1" applyBorder="1" applyAlignment="1" applyProtection="1">
      <alignment horizontal="center" vertical="top"/>
      <protection hidden="1"/>
    </xf>
    <xf numFmtId="0" fontId="20" fillId="0" borderId="8" xfId="0" applyFont="1" applyFill="1" applyBorder="1" applyAlignment="1">
      <alignment vertical="top"/>
    </xf>
    <xf numFmtId="0" fontId="20" fillId="0" borderId="10" xfId="0" applyFont="1" applyFill="1" applyBorder="1" applyAlignment="1">
      <alignment vertical="top"/>
    </xf>
    <xf numFmtId="171" fontId="19" fillId="0" borderId="2" xfId="1" applyNumberFormat="1" applyFont="1" applyFill="1" applyBorder="1" applyAlignment="1" applyProtection="1">
      <alignment horizontal="center" vertical="top"/>
      <protection hidden="1"/>
    </xf>
    <xf numFmtId="171" fontId="19" fillId="0" borderId="11" xfId="1" applyNumberFormat="1" applyFont="1" applyFill="1" applyBorder="1" applyAlignment="1" applyProtection="1">
      <alignment horizontal="center" vertical="top"/>
      <protection hidden="1"/>
    </xf>
    <xf numFmtId="0" fontId="99" fillId="0" borderId="0" xfId="0" applyFont="1" applyFill="1" applyBorder="1" applyAlignment="1">
      <alignment horizontal="justify" vertical="top" wrapText="1"/>
    </xf>
    <xf numFmtId="0" fontId="43" fillId="16" borderId="16" xfId="0" applyFont="1" applyFill="1" applyBorder="1" applyAlignment="1">
      <alignment vertical="top"/>
    </xf>
    <xf numFmtId="0" fontId="42" fillId="16" borderId="18" xfId="0" applyFont="1" applyFill="1" applyBorder="1" applyAlignment="1">
      <alignment horizontal="justify" vertical="top" wrapText="1"/>
    </xf>
    <xf numFmtId="0" fontId="24" fillId="16" borderId="18" xfId="0" applyFont="1" applyFill="1" applyBorder="1" applyAlignment="1">
      <alignment horizontal="center" vertical="top"/>
    </xf>
    <xf numFmtId="171" fontId="14" fillId="16" borderId="18" xfId="1" applyNumberFormat="1" applyFont="1" applyFill="1" applyBorder="1" applyAlignment="1">
      <alignment horizontal="center" vertical="top"/>
    </xf>
    <xf numFmtId="171" fontId="14" fillId="16" borderId="19" xfId="1" applyNumberFormat="1" applyFont="1" applyFill="1" applyBorder="1" applyAlignment="1">
      <alignment horizontal="center" vertical="top"/>
    </xf>
    <xf numFmtId="0" fontId="39" fillId="0" borderId="0" xfId="0" applyFont="1" applyFill="1" applyBorder="1" applyAlignment="1">
      <alignment horizontal="right" vertical="top" wrapText="1"/>
    </xf>
    <xf numFmtId="0" fontId="39" fillId="0" borderId="0" xfId="0" applyFont="1" applyFill="1" applyBorder="1" applyAlignment="1" applyProtection="1">
      <alignment horizontal="right" vertical="top" wrapText="1"/>
      <protection locked="0"/>
    </xf>
    <xf numFmtId="0" fontId="24" fillId="16" borderId="18" xfId="0" applyFont="1" applyFill="1" applyBorder="1" applyAlignment="1" applyProtection="1">
      <alignment horizontal="center" vertical="top"/>
      <protection hidden="1"/>
    </xf>
    <xf numFmtId="171" fontId="14" fillId="16" borderId="18" xfId="1" applyNumberFormat="1" applyFont="1" applyFill="1" applyBorder="1" applyAlignment="1" applyProtection="1">
      <alignment horizontal="center" vertical="top"/>
      <protection hidden="1"/>
    </xf>
    <xf numFmtId="171" fontId="14" fillId="16" borderId="19" xfId="1" applyNumberFormat="1" applyFont="1" applyFill="1" applyBorder="1" applyAlignment="1" applyProtection="1">
      <alignment horizontal="center" vertical="top"/>
      <protection hidden="1"/>
    </xf>
    <xf numFmtId="0" fontId="43" fillId="0" borderId="8" xfId="0" applyFont="1" applyFill="1" applyBorder="1" applyAlignment="1">
      <alignment vertical="top"/>
    </xf>
    <xf numFmtId="172" fontId="24" fillId="0" borderId="2" xfId="0" applyNumberFormat="1" applyFont="1" applyFill="1" applyBorder="1" applyAlignment="1" applyProtection="1">
      <alignment horizontal="center" vertical="top"/>
      <protection hidden="1"/>
    </xf>
    <xf numFmtId="0" fontId="43" fillId="0" borderId="10" xfId="0" applyFont="1" applyFill="1" applyBorder="1" applyAlignment="1">
      <alignment vertical="top"/>
    </xf>
    <xf numFmtId="0" fontId="50" fillId="0" borderId="2" xfId="0" applyFont="1" applyFill="1" applyBorder="1" applyAlignment="1">
      <alignment horizontal="justify" vertical="top" wrapText="1"/>
    </xf>
    <xf numFmtId="0" fontId="20" fillId="0" borderId="2" xfId="0" applyFont="1" applyFill="1" applyBorder="1" applyAlignment="1" applyProtection="1">
      <alignment horizontal="center" vertical="top"/>
      <protection hidden="1"/>
    </xf>
    <xf numFmtId="0" fontId="0" fillId="0" borderId="0" xfId="0" applyAlignment="1">
      <alignment horizontal="left"/>
    </xf>
    <xf numFmtId="0" fontId="20" fillId="0" borderId="8" xfId="0" applyFont="1" applyFill="1" applyBorder="1" applyAlignment="1">
      <alignment horizontal="left"/>
    </xf>
    <xf numFmtId="0" fontId="99" fillId="0" borderId="0" xfId="0" applyFont="1" applyFill="1" applyBorder="1" applyAlignment="1">
      <alignment horizontal="left" wrapText="1"/>
    </xf>
    <xf numFmtId="172" fontId="24" fillId="0" borderId="0" xfId="0" applyNumberFormat="1" applyFont="1" applyFill="1" applyBorder="1" applyAlignment="1" applyProtection="1">
      <alignment horizontal="left"/>
      <protection hidden="1"/>
    </xf>
    <xf numFmtId="171" fontId="19" fillId="0" borderId="0" xfId="1" applyNumberFormat="1" applyFont="1" applyFill="1" applyBorder="1" applyAlignment="1" applyProtection="1">
      <alignment horizontal="left"/>
      <protection hidden="1"/>
    </xf>
    <xf numFmtId="171" fontId="19" fillId="0" borderId="9" xfId="1" applyNumberFormat="1" applyFont="1" applyFill="1" applyBorder="1" applyAlignment="1" applyProtection="1">
      <alignment horizontal="left"/>
      <protection hidden="1"/>
    </xf>
    <xf numFmtId="0" fontId="50" fillId="0" borderId="0" xfId="0" applyFont="1" applyFill="1" applyBorder="1" applyAlignment="1">
      <alignment horizontal="right" vertical="top" wrapText="1"/>
    </xf>
    <xf numFmtId="0" fontId="39" fillId="0" borderId="2" xfId="0" applyFont="1" applyFill="1" applyBorder="1" applyAlignment="1">
      <alignment horizontal="right" vertical="top" wrapText="1"/>
    </xf>
    <xf numFmtId="171" fontId="74" fillId="0" borderId="0" xfId="0" applyNumberFormat="1" applyFont="1" applyFill="1" applyBorder="1" applyAlignment="1" applyProtection="1">
      <alignment vertical="center"/>
      <protection hidden="1"/>
    </xf>
    <xf numFmtId="0" fontId="0" fillId="0" borderId="0" xfId="0" applyBorder="1" applyAlignment="1" applyProtection="1">
      <alignment horizontal="left"/>
      <protection hidden="1"/>
    </xf>
    <xf numFmtId="0" fontId="17" fillId="0" borderId="0" xfId="0" applyFont="1" applyProtection="1">
      <protection hidden="1"/>
    </xf>
    <xf numFmtId="0" fontId="24" fillId="25" borderId="40" xfId="0" applyFont="1" applyFill="1" applyBorder="1" applyAlignment="1" applyProtection="1">
      <alignment horizontal="center"/>
      <protection locked="0" hidden="1"/>
    </xf>
    <xf numFmtId="0" fontId="64" fillId="0" borderId="0" xfId="0" applyFont="1" applyBorder="1" applyAlignment="1" applyProtection="1">
      <alignment horizontal="right" vertical="center"/>
      <protection hidden="1"/>
    </xf>
    <xf numFmtId="0" fontId="64" fillId="0" borderId="0" xfId="0" applyFont="1" applyBorder="1" applyAlignment="1" applyProtection="1">
      <alignment horizontal="right"/>
      <protection hidden="1"/>
    </xf>
    <xf numFmtId="0" fontId="64" fillId="0" borderId="0" xfId="0" applyFont="1" applyAlignment="1" applyProtection="1">
      <alignment horizontal="right"/>
      <protection hidden="1"/>
    </xf>
    <xf numFmtId="0" fontId="55" fillId="0" borderId="0" xfId="0" applyFont="1" applyAlignment="1" applyProtection="1">
      <alignment vertical="top" wrapText="1"/>
      <protection hidden="1"/>
    </xf>
    <xf numFmtId="0" fontId="47" fillId="10" borderId="0" xfId="3" applyFill="1" applyAlignment="1" applyProtection="1">
      <alignment horizontal="right" vertical="center" wrapText="1"/>
      <protection locked="0" hidden="1"/>
    </xf>
    <xf numFmtId="0" fontId="101" fillId="0" borderId="0" xfId="0" applyFont="1" applyAlignment="1" applyProtection="1">
      <alignment horizontal="center"/>
      <protection locked="0" hidden="1"/>
    </xf>
    <xf numFmtId="0" fontId="23" fillId="0" borderId="0" xfId="0" applyFont="1" applyAlignment="1" applyProtection="1">
      <alignment horizontal="center"/>
      <protection hidden="1"/>
    </xf>
    <xf numFmtId="0" fontId="11" fillId="25" borderId="20" xfId="0" applyFont="1" applyFill="1" applyBorder="1" applyAlignment="1" applyProtection="1">
      <alignment horizontal="center" vertical="top" wrapText="1"/>
      <protection locked="0" hidden="1"/>
    </xf>
    <xf numFmtId="0" fontId="102" fillId="19" borderId="0" xfId="0" applyFont="1" applyFill="1" applyAlignment="1" applyProtection="1">
      <alignment horizontal="center" vertical="center"/>
      <protection hidden="1"/>
    </xf>
    <xf numFmtId="0" fontId="103" fillId="0" borderId="0" xfId="0" applyFont="1" applyBorder="1" applyProtection="1">
      <protection hidden="1"/>
    </xf>
    <xf numFmtId="0" fontId="104" fillId="0" borderId="0" xfId="0" applyFont="1" applyBorder="1" applyAlignment="1" applyProtection="1">
      <alignment vertical="top"/>
      <protection hidden="1"/>
    </xf>
    <xf numFmtId="0" fontId="0" fillId="28" borderId="0" xfId="0" applyFill="1" applyBorder="1" applyProtection="1">
      <protection hidden="1"/>
    </xf>
    <xf numFmtId="0" fontId="0" fillId="28" borderId="0" xfId="0" applyFill="1" applyAlignment="1" applyProtection="1">
      <alignment horizontal="center"/>
      <protection hidden="1"/>
    </xf>
    <xf numFmtId="0" fontId="30" fillId="0" borderId="0" xfId="0" applyFont="1" applyAlignment="1">
      <alignment vertical="top"/>
    </xf>
    <xf numFmtId="0" fontId="0" fillId="0" borderId="0" xfId="0" applyBorder="1" applyAlignment="1" applyProtection="1">
      <alignment horizontal="left" vertical="top"/>
      <protection hidden="1"/>
    </xf>
    <xf numFmtId="0" fontId="31" fillId="0" borderId="0" xfId="0" applyFont="1" applyAlignment="1" applyProtection="1">
      <alignment vertical="top"/>
      <protection hidden="1"/>
    </xf>
    <xf numFmtId="0" fontId="17" fillId="0" borderId="0" xfId="0" applyFont="1" applyAlignment="1" applyProtection="1">
      <alignment vertical="top"/>
      <protection hidden="1"/>
    </xf>
    <xf numFmtId="0" fontId="19" fillId="0" borderId="0" xfId="0" applyFont="1" applyBorder="1" applyAlignment="1" applyProtection="1">
      <alignment horizontal="right" vertical="top"/>
      <protection hidden="1"/>
    </xf>
    <xf numFmtId="0" fontId="0" fillId="0" borderId="0" xfId="0" applyAlignment="1" applyProtection="1">
      <alignment vertical="top"/>
      <protection hidden="1"/>
    </xf>
    <xf numFmtId="0" fontId="0" fillId="0" borderId="0" xfId="0" applyAlignment="1">
      <alignment vertical="top"/>
    </xf>
    <xf numFmtId="0" fontId="0" fillId="18" borderId="0" xfId="0" applyFill="1" applyBorder="1" applyProtection="1">
      <protection hidden="1"/>
    </xf>
    <xf numFmtId="0" fontId="0" fillId="18" borderId="0" xfId="0" applyFill="1" applyProtection="1">
      <protection hidden="1"/>
    </xf>
    <xf numFmtId="0" fontId="104" fillId="0" borderId="0" xfId="0" applyFont="1" applyAlignment="1" applyProtection="1">
      <alignment vertical="center"/>
      <protection hidden="1"/>
    </xf>
    <xf numFmtId="0" fontId="39" fillId="0" borderId="0" xfId="0" applyFont="1" applyFill="1" applyBorder="1" applyAlignment="1" applyProtection="1">
      <alignment horizontal="left" vertical="top" wrapText="1"/>
      <protection locked="0"/>
    </xf>
    <xf numFmtId="0" fontId="0" fillId="4" borderId="0" xfId="0" applyFill="1" applyProtection="1">
      <protection hidden="1"/>
    </xf>
    <xf numFmtId="0" fontId="0" fillId="19" borderId="0" xfId="0" applyFill="1" applyAlignment="1" applyProtection="1">
      <alignment horizontal="right" vertical="top"/>
      <protection hidden="1"/>
    </xf>
    <xf numFmtId="164" fontId="20" fillId="0" borderId="0" xfId="0" applyNumberFormat="1" applyFont="1" applyFill="1" applyBorder="1" applyAlignment="1" applyProtection="1">
      <alignment horizontal="center" vertical="top"/>
      <protection locked="0" hidden="1"/>
    </xf>
    <xf numFmtId="0" fontId="0" fillId="29" borderId="0" xfId="0" applyFill="1"/>
    <xf numFmtId="171" fontId="88" fillId="19" borderId="0" xfId="0" applyNumberFormat="1" applyFont="1" applyFill="1" applyBorder="1" applyAlignment="1" applyProtection="1">
      <alignment vertical="center"/>
      <protection hidden="1"/>
    </xf>
    <xf numFmtId="171" fontId="71"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vertical="center"/>
    </xf>
    <xf numFmtId="9" fontId="66" fillId="30" borderId="0" xfId="0" applyNumberFormat="1" applyFont="1" applyFill="1" applyAlignment="1" applyProtection="1">
      <alignment horizontal="center"/>
      <protection hidden="1"/>
    </xf>
    <xf numFmtId="0" fontId="0" fillId="22" borderId="0" xfId="0" applyFill="1" applyBorder="1" applyProtection="1">
      <protection hidden="1"/>
    </xf>
    <xf numFmtId="0" fontId="66" fillId="22" borderId="0" xfId="0" applyFont="1" applyFill="1" applyProtection="1">
      <protection hidden="1"/>
    </xf>
    <xf numFmtId="9" fontId="106" fillId="19" borderId="0" xfId="0" applyNumberFormat="1" applyFont="1" applyFill="1" applyBorder="1" applyAlignment="1" applyProtection="1">
      <alignment horizontal="right"/>
      <protection locked="0"/>
    </xf>
    <xf numFmtId="0" fontId="15" fillId="0" borderId="0" xfId="0" applyFont="1" applyProtection="1">
      <protection hidden="1"/>
    </xf>
    <xf numFmtId="0" fontId="2" fillId="0" borderId="0" xfId="0" applyFont="1" applyAlignment="1" applyProtection="1">
      <alignment horizontal="center"/>
      <protection hidden="1"/>
    </xf>
    <xf numFmtId="0" fontId="20" fillId="0" borderId="0" xfId="0" applyFont="1" applyAlignment="1" applyProtection="1">
      <alignment horizontal="left"/>
      <protection hidden="1"/>
    </xf>
    <xf numFmtId="0" fontId="0" fillId="0" borderId="0" xfId="0" applyAlignment="1" applyProtection="1">
      <alignment horizontal="left" vertical="center"/>
      <protection hidden="1"/>
    </xf>
    <xf numFmtId="0" fontId="107" fillId="0" borderId="0" xfId="0" applyFont="1" applyBorder="1" applyProtection="1">
      <protection hidden="1"/>
    </xf>
    <xf numFmtId="0" fontId="0" fillId="0" borderId="0" xfId="0" applyAlignment="1">
      <alignment horizontal="right"/>
    </xf>
    <xf numFmtId="0" fontId="108" fillId="0" borderId="8" xfId="0" applyFont="1" applyBorder="1"/>
    <xf numFmtId="0" fontId="109" fillId="0" borderId="0" xfId="0" applyFont="1" applyAlignment="1" applyProtection="1">
      <alignment vertical="center"/>
      <protection hidden="1"/>
    </xf>
    <xf numFmtId="0" fontId="19" fillId="0" borderId="0" xfId="0" applyFont="1" applyAlignment="1">
      <alignment horizontal="left" vertical="top" wrapText="1"/>
    </xf>
    <xf numFmtId="0" fontId="20" fillId="0" borderId="0" xfId="0" applyFont="1" applyAlignment="1" applyProtection="1">
      <alignment horizontal="left" vertical="top" wrapText="1"/>
      <protection hidden="1"/>
    </xf>
    <xf numFmtId="0" fontId="0" fillId="0" borderId="0" xfId="0" applyBorder="1" applyAlignment="1" applyProtection="1">
      <alignment horizontal="left" wrapText="1"/>
      <protection hidden="1"/>
    </xf>
    <xf numFmtId="0" fontId="75" fillId="19" borderId="0" xfId="0" applyFont="1" applyFill="1" applyAlignment="1">
      <alignment horizontal="center" vertical="center" wrapText="1"/>
    </xf>
    <xf numFmtId="0" fontId="86" fillId="19" borderId="0" xfId="0" applyFont="1" applyFill="1" applyBorder="1" applyAlignment="1" applyProtection="1">
      <alignment horizontal="center"/>
      <protection hidden="1"/>
    </xf>
    <xf numFmtId="0" fontId="69" fillId="19" borderId="0" xfId="0" applyFont="1" applyFill="1" applyBorder="1" applyAlignment="1" applyProtection="1">
      <alignment horizontal="center" vertical="center"/>
      <protection hidden="1"/>
    </xf>
    <xf numFmtId="0" fontId="54" fillId="0" borderId="0" xfId="0" applyFont="1" applyAlignment="1">
      <alignment horizontal="center" textRotation="90"/>
    </xf>
    <xf numFmtId="0" fontId="17" fillId="19" borderId="0" xfId="0" applyFont="1" applyFill="1" applyAlignment="1" applyProtection="1">
      <alignment horizontal="center"/>
      <protection hidden="1"/>
    </xf>
    <xf numFmtId="171" fontId="78" fillId="25" borderId="0" xfId="0" applyNumberFormat="1" applyFont="1" applyFill="1" applyBorder="1" applyAlignment="1" applyProtection="1">
      <alignment horizontal="center" vertical="top"/>
      <protection hidden="1"/>
    </xf>
    <xf numFmtId="171" fontId="84" fillId="23" borderId="0" xfId="0" applyNumberFormat="1" applyFont="1" applyFill="1" applyBorder="1" applyAlignment="1" applyProtection="1">
      <alignment horizontal="left" vertical="center"/>
      <protection hidden="1"/>
    </xf>
    <xf numFmtId="171" fontId="82" fillId="23" borderId="0" xfId="0" applyNumberFormat="1" applyFont="1" applyFill="1" applyBorder="1" applyAlignment="1" applyProtection="1">
      <alignment horizontal="center" vertical="center"/>
      <protection hidden="1"/>
    </xf>
    <xf numFmtId="0" fontId="83" fillId="19" borderId="0" xfId="0" applyFont="1" applyFill="1" applyBorder="1" applyAlignment="1" applyProtection="1">
      <alignment horizontal="right" vertical="center"/>
      <protection hidden="1"/>
    </xf>
    <xf numFmtId="171" fontId="97" fillId="3" borderId="0" xfId="0" applyNumberFormat="1" applyFont="1" applyFill="1" applyBorder="1" applyAlignment="1" applyProtection="1">
      <alignment horizontal="left" vertical="center"/>
      <protection hidden="1"/>
    </xf>
    <xf numFmtId="0" fontId="0" fillId="11" borderId="0" xfId="0" applyFill="1" applyBorder="1" applyAlignment="1" applyProtection="1">
      <alignment horizontal="center"/>
      <protection hidden="1"/>
    </xf>
    <xf numFmtId="0" fontId="0" fillId="11" borderId="21" xfId="0" applyFill="1" applyBorder="1" applyAlignment="1" applyProtection="1">
      <alignment horizontal="center"/>
      <protection hidden="1"/>
    </xf>
    <xf numFmtId="0" fontId="18" fillId="2" borderId="0" xfId="0" applyFont="1" applyFill="1" applyAlignment="1" applyProtection="1">
      <alignment horizontal="center"/>
      <protection hidden="1"/>
    </xf>
    <xf numFmtId="0" fontId="0" fillId="17" borderId="24" xfId="0" applyFill="1" applyBorder="1" applyAlignment="1" applyProtection="1">
      <alignment horizontal="center"/>
      <protection hidden="1"/>
    </xf>
    <xf numFmtId="0" fontId="0" fillId="17" borderId="0" xfId="0" applyFill="1" applyBorder="1" applyAlignment="1" applyProtection="1">
      <alignment horizontal="center"/>
      <protection hidden="1"/>
    </xf>
    <xf numFmtId="0" fontId="0" fillId="17" borderId="12" xfId="0" applyFill="1" applyBorder="1" applyAlignment="1" applyProtection="1">
      <alignment horizontal="center"/>
      <protection hidden="1"/>
    </xf>
    <xf numFmtId="0" fontId="18" fillId="5" borderId="0" xfId="0" applyFont="1" applyFill="1" applyAlignment="1" applyProtection="1">
      <protection hidden="1"/>
    </xf>
    <xf numFmtId="171" fontId="88" fillId="19" borderId="0" xfId="0" applyNumberFormat="1" applyFont="1" applyFill="1" applyBorder="1" applyAlignment="1" applyProtection="1">
      <alignment horizontal="center" vertical="center"/>
      <protection hidden="1"/>
    </xf>
    <xf numFmtId="0" fontId="0" fillId="19" borderId="0" xfId="0" applyFill="1" applyAlignment="1">
      <alignment horizontal="right" vertical="center" wrapText="1"/>
    </xf>
    <xf numFmtId="9" fontId="67" fillId="19" borderId="0" xfId="0" applyNumberFormat="1" applyFont="1" applyFill="1" applyAlignment="1" applyProtection="1">
      <alignment horizontal="right" vertical="top"/>
      <protection hidden="1"/>
    </xf>
    <xf numFmtId="0" fontId="67" fillId="19" borderId="0" xfId="0" applyFont="1" applyFill="1" applyAlignment="1" applyProtection="1">
      <alignment horizontal="right" vertical="top"/>
      <protection hidden="1"/>
    </xf>
    <xf numFmtId="171" fontId="95" fillId="3" borderId="0" xfId="0" applyNumberFormat="1" applyFont="1" applyFill="1" applyBorder="1" applyAlignment="1" applyProtection="1">
      <alignment horizontal="center" vertical="center"/>
      <protection hidden="1"/>
    </xf>
    <xf numFmtId="171" fontId="96" fillId="3" borderId="0" xfId="0" applyNumberFormat="1" applyFont="1" applyFill="1" applyBorder="1" applyAlignment="1" applyProtection="1">
      <alignment horizontal="center" vertical="center"/>
      <protection hidden="1"/>
    </xf>
    <xf numFmtId="0" fontId="54" fillId="0" borderId="0" xfId="0" applyFont="1" applyAlignment="1">
      <alignment horizontal="center" vertical="center" textRotation="90" wrapText="1"/>
    </xf>
    <xf numFmtId="0" fontId="54" fillId="0" borderId="0" xfId="0" applyFont="1" applyAlignment="1">
      <alignment horizontal="center" vertical="center" textRotation="90"/>
    </xf>
    <xf numFmtId="0" fontId="0" fillId="11" borderId="12" xfId="0" applyFill="1" applyBorder="1" applyAlignment="1" applyProtection="1">
      <alignment horizontal="center"/>
      <protection hidden="1"/>
    </xf>
    <xf numFmtId="164" fontId="49" fillId="0" borderId="0" xfId="0" applyNumberFormat="1" applyFont="1" applyAlignment="1" applyProtection="1">
      <alignment horizontal="left"/>
      <protection locked="0"/>
    </xf>
    <xf numFmtId="164" fontId="49" fillId="0" borderId="12" xfId="0" applyNumberFormat="1" applyFont="1" applyBorder="1" applyAlignment="1" applyProtection="1">
      <alignment horizontal="left"/>
      <protection locked="0"/>
    </xf>
    <xf numFmtId="0" fontId="22" fillId="15" borderId="0" xfId="0" applyFont="1" applyFill="1" applyAlignment="1" applyProtection="1">
      <alignment horizontal="left" vertical="top" wrapText="1"/>
      <protection locked="0" hidden="1"/>
    </xf>
    <xf numFmtId="0" fontId="22" fillId="15" borderId="0" xfId="0" applyFont="1" applyFill="1" applyAlignment="1" applyProtection="1">
      <alignment horizontal="left" vertical="top" wrapText="1"/>
      <protection hidden="1"/>
    </xf>
    <xf numFmtId="0" fontId="46" fillId="10" borderId="22" xfId="0" applyFont="1" applyFill="1" applyBorder="1" applyAlignment="1" applyProtection="1">
      <alignment horizontal="left"/>
      <protection hidden="1"/>
    </xf>
    <xf numFmtId="0" fontId="46" fillId="10" borderId="23" xfId="0" applyFont="1" applyFill="1" applyBorder="1" applyAlignment="1" applyProtection="1">
      <alignment horizontal="left"/>
      <protection hidden="1"/>
    </xf>
    <xf numFmtId="0" fontId="45" fillId="12" borderId="0" xfId="0" applyFont="1" applyFill="1" applyAlignment="1" applyProtection="1">
      <alignment horizontal="left"/>
      <protection hidden="1"/>
    </xf>
    <xf numFmtId="0" fontId="45" fillId="12" borderId="12" xfId="0" applyFont="1" applyFill="1" applyBorder="1" applyAlignment="1" applyProtection="1">
      <alignment horizontal="left"/>
      <protection hidden="1"/>
    </xf>
  </cellXfs>
  <cellStyles count="5">
    <cellStyle name="Hipervínculo" xfId="3" builtinId="8" customBuiltin="1"/>
    <cellStyle name="Hipervínculo visitado" xfId="4" builtinId="9" customBuiltin="1"/>
    <cellStyle name="Millares" xfId="1" builtinId="3"/>
    <cellStyle name="Normal" xfId="0" builtinId="0"/>
    <cellStyle name="Porcentaje" xfId="2" builtinId="5"/>
  </cellStyles>
  <dxfs count="222">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i val="0"/>
        <strike val="0"/>
        <color auto="1"/>
      </font>
    </dxf>
    <dxf>
      <font>
        <color rgb="FF6CCCEC"/>
      </font>
      <fill>
        <patternFill>
          <bgColor rgb="FF6CCCEC"/>
        </patternFill>
      </fill>
    </dxf>
    <dxf>
      <font>
        <color rgb="FF6CCCEC"/>
      </font>
      <fill>
        <patternFill>
          <bgColor rgb="FF6CCCEC"/>
        </patternFill>
      </fill>
    </dxf>
    <dxf>
      <font>
        <color theme="0"/>
      </font>
    </dxf>
    <dxf>
      <font>
        <b/>
        <i val="0"/>
        <color rgb="FFFF0000"/>
      </font>
    </dxf>
    <dxf>
      <font>
        <color theme="0"/>
      </font>
    </dxf>
    <dxf>
      <font>
        <b/>
        <i val="0"/>
        <color theme="2" tint="-0.749961851863155"/>
      </font>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color rgb="FF6CCCEC"/>
      </font>
      <fill>
        <patternFill>
          <bgColor rgb="FF6CCCEC"/>
        </patternFill>
      </fill>
    </dxf>
    <dxf>
      <font>
        <color rgb="FF6CCCEC"/>
      </font>
    </dxf>
    <dxf>
      <font>
        <color rgb="FF6CCCEC"/>
      </font>
    </dxf>
    <dxf>
      <font>
        <color rgb="FF6CCCEC"/>
      </font>
      <fill>
        <patternFill>
          <bgColor rgb="FF6CCCEC"/>
        </patternFill>
      </fill>
    </dxf>
    <dxf>
      <font>
        <color rgb="FF6CCCEC"/>
      </font>
      <fill>
        <patternFill>
          <bgColor rgb="FF6CCCEC"/>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color theme="4" tint="0.39994506668294322"/>
      </font>
    </dxf>
    <dxf>
      <fill>
        <patternFill>
          <bgColor rgb="FFFFC000"/>
        </patternFill>
      </fill>
    </dxf>
    <dxf>
      <font>
        <color theme="4" tint="0.39994506668294322"/>
      </font>
    </dxf>
    <dxf>
      <font>
        <color theme="4" tint="0.39994506668294322"/>
      </font>
    </dxf>
    <dxf>
      <fill>
        <patternFill>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7" tint="0.39994506668294322"/>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00556A"/>
      <color rgb="FF3399FF"/>
      <color rgb="FF66CCFF"/>
      <color rgb="FFAEE1E6"/>
      <color rgb="FF00FFFF"/>
      <color rgb="FF66FFFF"/>
      <color rgb="FF6CCCE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29545721863251"/>
          <c:y val="4.8162923377804361E-2"/>
          <c:w val="0.51541119605100305"/>
          <c:h val="0.86284846742425392"/>
        </c:manualLayout>
      </c:layout>
      <c:doughnut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82D-4613-B3BF-61C309DE3499}"/>
              </c:ext>
            </c:extLst>
          </c:dPt>
          <c:dPt>
            <c:idx val="1"/>
            <c:bubble3D val="0"/>
            <c:spPr>
              <a:solidFill>
                <a:srgbClr val="00556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2D-4613-B3BF-61C309DE3499}"/>
              </c:ext>
            </c:extLst>
          </c:dPt>
          <c:dPt>
            <c:idx val="2"/>
            <c:bubble3D val="0"/>
            <c:spPr>
              <a:solidFill>
                <a:schemeClr val="bg2">
                  <a:lumMod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75B-47E1-B423-577D86218FE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3-B82D-4613-B3BF-61C309DE349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2-B82D-4613-B3BF-61C309DE349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4-575B-47E1-B423-577D86218FE8}"/>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cat>
            <c:strRef>
              <c:f>PRINCIPAL!$C$4:$E$4</c:f>
              <c:strCache>
                <c:ptCount val="3"/>
                <c:pt idx="0">
                  <c:v>Equip+Serv Prof.</c:v>
                </c:pt>
                <c:pt idx="1">
                  <c:v>Serv. Oper. FIJO</c:v>
                </c:pt>
                <c:pt idx="2">
                  <c:v>Serv. Oper. Móvil</c:v>
                </c:pt>
              </c:strCache>
            </c:strRef>
          </c:cat>
          <c:val>
            <c:numRef>
              <c:f>PRINCIPAL!$C$5:$E$5</c:f>
              <c:numCache>
                <c:formatCode>_-* #.##000\ [$€-C0A]_-;\-* #.##000\ [$€-C0A]_-;_-* "-"??\ [$€-C0A]_-;_-@_-</c:formatCode>
                <c:ptCount val="3"/>
                <c:pt idx="0">
                  <c:v>0</c:v>
                </c:pt>
                <c:pt idx="1">
                  <c:v>0</c:v>
                </c:pt>
                <c:pt idx="2">
                  <c:v>0</c:v>
                </c:pt>
              </c:numCache>
            </c:numRef>
          </c:val>
          <c:extLst>
            <c:ext xmlns:c16="http://schemas.microsoft.com/office/drawing/2014/chart" uri="{C3380CC4-5D6E-409C-BE32-E72D297353CC}">
              <c16:uniqueId val="{00000000-B82D-4613-B3BF-61C309DE3499}"/>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l"/>
      <c:overlay val="1"/>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icono-castillo-candado-seguridad-1691288/"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5.png"/><Relationship Id="rId21" Type="http://schemas.openxmlformats.org/officeDocument/2006/relationships/hyperlink" Target="https://www.circuit.com/pricing" TargetMode="External"/><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4.jpeg"/><Relationship Id="rId2" Type="http://schemas.openxmlformats.org/officeDocument/2006/relationships/image" Target="../media/image4.png"/><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3.png"/><Relationship Id="rId6" Type="http://schemas.openxmlformats.org/officeDocument/2006/relationships/chart" Target="../charts/chart1.xml"/><Relationship Id="rId11" Type="http://schemas.openxmlformats.org/officeDocument/2006/relationships/image" Target="../media/image12.png"/><Relationship Id="rId24" Type="http://schemas.openxmlformats.org/officeDocument/2006/relationships/image" Target="../media/image23.png"/><Relationship Id="rId5" Type="http://schemas.openxmlformats.org/officeDocument/2006/relationships/image" Target="../media/image7.png"/><Relationship Id="rId15" Type="http://schemas.openxmlformats.org/officeDocument/2006/relationships/image" Target="../media/image16.jpeg"/><Relationship Id="rId23" Type="http://schemas.microsoft.com/office/2007/relationships/hdphoto" Target="../media/hdphoto1.wdp"/><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6.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jpeg"/></Relationships>
</file>

<file path=xl/drawings/drawing1.xml><?xml version="1.0" encoding="utf-8"?>
<xdr:wsDr xmlns:xdr="http://schemas.openxmlformats.org/drawingml/2006/spreadsheetDrawing" xmlns:a="http://schemas.openxmlformats.org/drawingml/2006/main">
  <xdr:twoCellAnchor editAs="oneCell">
    <xdr:from>
      <xdr:col>0</xdr:col>
      <xdr:colOff>704850</xdr:colOff>
      <xdr:row>6</xdr:row>
      <xdr:rowOff>19050</xdr:rowOff>
    </xdr:from>
    <xdr:to>
      <xdr:col>4</xdr:col>
      <xdr:colOff>647700</xdr:colOff>
      <xdr:row>21</xdr:row>
      <xdr:rowOff>161925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704850" y="1304925"/>
          <a:ext cx="3295650" cy="3295650"/>
        </a:xfrm>
        <a:prstGeom prst="rect">
          <a:avLst/>
        </a:prstGeom>
      </xdr:spPr>
    </xdr:pic>
    <xdr:clientData/>
  </xdr:twoCellAnchor>
  <xdr:twoCellAnchor editAs="oneCell">
    <xdr:from>
      <xdr:col>7</xdr:col>
      <xdr:colOff>38100</xdr:colOff>
      <xdr:row>11</xdr:row>
      <xdr:rowOff>104775</xdr:rowOff>
    </xdr:from>
    <xdr:to>
      <xdr:col>16</xdr:col>
      <xdr:colOff>114300</xdr:colOff>
      <xdr:row>28</xdr:row>
      <xdr:rowOff>66675</xdr:rowOff>
    </xdr:to>
    <xdr:pic>
      <xdr:nvPicPr>
        <xdr:cNvPr id="4" name="Imagen 3" descr="CÃ³mo forzar al usuario a habilitar las macros en Exce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05500" y="2447925"/>
          <a:ext cx="7620000"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26</xdr:row>
      <xdr:rowOff>286806</xdr:rowOff>
    </xdr:from>
    <xdr:to>
      <xdr:col>16384</xdr:col>
      <xdr:colOff>23812</xdr:colOff>
      <xdr:row>29</xdr:row>
      <xdr:rowOff>37542</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771744"/>
          <a:ext cx="15803562" cy="890589"/>
        </a:xfrm>
        <a:prstGeom prst="rect">
          <a:avLst/>
        </a:prstGeom>
      </xdr:spPr>
    </xdr:pic>
    <xdr:clientData/>
  </xdr:twoCellAnchor>
  <xdr:oneCellAnchor>
    <xdr:from>
      <xdr:col>1</xdr:col>
      <xdr:colOff>47274</xdr:colOff>
      <xdr:row>257</xdr:row>
      <xdr:rowOff>177473</xdr:rowOff>
    </xdr:from>
    <xdr:ext cx="1371429" cy="561905"/>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636917" y="53233991"/>
          <a:ext cx="1371429" cy="561905"/>
        </a:xfrm>
        <a:prstGeom prst="rect">
          <a:avLst/>
        </a:prstGeom>
      </xdr:spPr>
    </xdr:pic>
    <xdr:clientData/>
  </xdr:oneCellAnchor>
  <xdr:twoCellAnchor>
    <xdr:from>
      <xdr:col>8</xdr:col>
      <xdr:colOff>27729</xdr:colOff>
      <xdr:row>0</xdr:row>
      <xdr:rowOff>62802</xdr:rowOff>
    </xdr:from>
    <xdr:to>
      <xdr:col>9</xdr:col>
      <xdr:colOff>28671</xdr:colOff>
      <xdr:row>0</xdr:row>
      <xdr:rowOff>334945</xdr:rowOff>
    </xdr:to>
    <xdr:sp macro="[0]!Borraryeliminar" textlink="">
      <xdr:nvSpPr>
        <xdr:cNvPr id="21" name="Rectángulo: esquinas redondeadas 20">
          <a:extLst>
            <a:ext uri="{FF2B5EF4-FFF2-40B4-BE49-F238E27FC236}">
              <a16:creationId xmlns:a16="http://schemas.microsoft.com/office/drawing/2014/main" id="{00000000-0008-0000-0200-000015000000}"/>
            </a:ext>
          </a:extLst>
        </xdr:cNvPr>
        <xdr:cNvSpPr/>
      </xdr:nvSpPr>
      <xdr:spPr>
        <a:xfrm>
          <a:off x="11332997" y="62802"/>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BORRAR DATOS</a:t>
          </a:r>
        </a:p>
      </xdr:txBody>
    </xdr:sp>
    <xdr:clientData/>
  </xdr:twoCellAnchor>
  <xdr:twoCellAnchor editAs="oneCell">
    <xdr:from>
      <xdr:col>8</xdr:col>
      <xdr:colOff>1195164</xdr:colOff>
      <xdr:row>30</xdr:row>
      <xdr:rowOff>102161</xdr:rowOff>
    </xdr:from>
    <xdr:to>
      <xdr:col>10</xdr:col>
      <xdr:colOff>571500</xdr:colOff>
      <xdr:row>39</xdr:row>
      <xdr:rowOff>201678</xdr:rowOff>
    </xdr:to>
    <xdr:pic macro="[0]!CLOSEEYE_UNIFY">
      <xdr:nvPicPr>
        <xdr:cNvPr id="22" name="Imagen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0432" y="8243768"/>
          <a:ext cx="2211157" cy="2344695"/>
        </a:xfrm>
        <a:prstGeom prst="rect">
          <a:avLst/>
        </a:prstGeom>
        <a:ln>
          <a:noFill/>
        </a:ln>
        <a:effectLst>
          <a:outerShdw blurRad="292100" dist="139700" dir="2700000" algn="tl" rotWithShape="0">
            <a:srgbClr val="333333">
              <a:alpha val="65000"/>
            </a:srgbClr>
          </a:outerShdw>
        </a:effectLst>
      </xdr:spPr>
    </xdr:pic>
    <xdr:clientData fLocksWithSheet="0"/>
  </xdr:twoCellAnchor>
  <xdr:twoCellAnchor editAs="oneCell">
    <xdr:from>
      <xdr:col>7</xdr:col>
      <xdr:colOff>331524</xdr:colOff>
      <xdr:row>30</xdr:row>
      <xdr:rowOff>103564</xdr:rowOff>
    </xdr:from>
    <xdr:to>
      <xdr:col>8</xdr:col>
      <xdr:colOff>1294946</xdr:colOff>
      <xdr:row>41</xdr:row>
      <xdr:rowOff>61233</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19381" y="8245171"/>
          <a:ext cx="2380833" cy="2701775"/>
        </a:xfrm>
        <a:prstGeom prst="rect">
          <a:avLst/>
        </a:prstGeom>
      </xdr:spPr>
    </xdr:pic>
    <xdr:clientData/>
  </xdr:twoCellAnchor>
  <xdr:oneCellAnchor>
    <xdr:from>
      <xdr:col>9</xdr:col>
      <xdr:colOff>603249</xdr:colOff>
      <xdr:row>3</xdr:row>
      <xdr:rowOff>244436</xdr:rowOff>
    </xdr:from>
    <xdr:ext cx="1608667" cy="697479"/>
    <xdr:pic macro="[0]!OPENEYE_UNIFY">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4999" y="868853"/>
          <a:ext cx="1608667" cy="697479"/>
        </a:xfrm>
        <a:prstGeom prst="rect">
          <a:avLst/>
        </a:prstGeom>
      </xdr:spPr>
    </xdr:pic>
    <xdr:clientData fLocksWithSheet="0"/>
  </xdr:oneCellAnchor>
  <xdr:twoCellAnchor>
    <xdr:from>
      <xdr:col>7</xdr:col>
      <xdr:colOff>398470</xdr:colOff>
      <xdr:row>1</xdr:row>
      <xdr:rowOff>216139</xdr:rowOff>
    </xdr:from>
    <xdr:to>
      <xdr:col>10</xdr:col>
      <xdr:colOff>372492</xdr:colOff>
      <xdr:row>7</xdr:row>
      <xdr:rowOff>102587</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1431925</xdr:colOff>
      <xdr:row>4</xdr:row>
      <xdr:rowOff>210609</xdr:rowOff>
    </xdr:from>
    <xdr:to>
      <xdr:col>1</xdr:col>
      <xdr:colOff>2124075</xdr:colOff>
      <xdr:row>5</xdr:row>
      <xdr:rowOff>228600</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2022475" y="1277409"/>
          <a:ext cx="692150" cy="265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Cuotas </a:t>
          </a:r>
        </a:p>
      </xdr:txBody>
    </xdr:sp>
    <xdr:clientData/>
  </xdr:twoCellAnchor>
  <xdr:twoCellAnchor>
    <xdr:from>
      <xdr:col>1</xdr:col>
      <xdr:colOff>1406961</xdr:colOff>
      <xdr:row>7</xdr:row>
      <xdr:rowOff>161240</xdr:rowOff>
    </xdr:from>
    <xdr:to>
      <xdr:col>2</xdr:col>
      <xdr:colOff>274545</xdr:colOff>
      <xdr:row>8</xdr:row>
      <xdr:rowOff>235324</xdr:rowOff>
    </xdr:to>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2000873" y="2032622"/>
          <a:ext cx="1075143" cy="26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Extensiones</a:t>
          </a:r>
        </a:p>
      </xdr:txBody>
    </xdr:sp>
    <xdr:clientData/>
  </xdr:twoCellAnchor>
  <xdr:twoCellAnchor>
    <xdr:from>
      <xdr:col>4</xdr:col>
      <xdr:colOff>150813</xdr:colOff>
      <xdr:row>17</xdr:row>
      <xdr:rowOff>268940</xdr:rowOff>
    </xdr:from>
    <xdr:to>
      <xdr:col>4</xdr:col>
      <xdr:colOff>561975</xdr:colOff>
      <xdr:row>21</xdr:row>
      <xdr:rowOff>7935</xdr:rowOff>
    </xdr:to>
    <xdr:sp macro="" textlink="">
      <xdr:nvSpPr>
        <xdr:cNvPr id="44" name="CuadroTexto 43">
          <a:extLst>
            <a:ext uri="{FF2B5EF4-FFF2-40B4-BE49-F238E27FC236}">
              <a16:creationId xmlns:a16="http://schemas.microsoft.com/office/drawing/2014/main" id="{00000000-0008-0000-0200-00002C000000}"/>
            </a:ext>
          </a:extLst>
        </xdr:cNvPr>
        <xdr:cNvSpPr txBox="1"/>
      </xdr:nvSpPr>
      <xdr:spPr>
        <a:xfrm>
          <a:off x="5798578" y="4448734"/>
          <a:ext cx="411162" cy="55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2</xdr:col>
      <xdr:colOff>1333500</xdr:colOff>
      <xdr:row>3</xdr:row>
      <xdr:rowOff>85725</xdr:rowOff>
    </xdr:from>
    <xdr:to>
      <xdr:col>3</xdr:col>
      <xdr:colOff>325437</xdr:colOff>
      <xdr:row>5</xdr:row>
      <xdr:rowOff>46037</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4133850"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3</xdr:col>
      <xdr:colOff>1314450</xdr:colOff>
      <xdr:row>3</xdr:row>
      <xdr:rowOff>85725</xdr:rowOff>
    </xdr:from>
    <xdr:to>
      <xdr:col>4</xdr:col>
      <xdr:colOff>306387</xdr:colOff>
      <xdr:row>5</xdr:row>
      <xdr:rowOff>46037</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5534025"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4</xdr:col>
      <xdr:colOff>1414689</xdr:colOff>
      <xdr:row>3</xdr:row>
      <xdr:rowOff>74385</xdr:rowOff>
    </xdr:from>
    <xdr:to>
      <xdr:col>5</xdr:col>
      <xdr:colOff>406626</xdr:colOff>
      <xdr:row>5</xdr:row>
      <xdr:rowOff>34697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7050314" y="958849"/>
          <a:ext cx="409348" cy="527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solidFill>
            </a:rPr>
            <a:t>=</a:t>
          </a:r>
        </a:p>
      </xdr:txBody>
    </xdr:sp>
    <xdr:clientData/>
  </xdr:twoCellAnchor>
  <xdr:twoCellAnchor>
    <xdr:from>
      <xdr:col>7</xdr:col>
      <xdr:colOff>1</xdr:colOff>
      <xdr:row>17</xdr:row>
      <xdr:rowOff>235323</xdr:rowOff>
    </xdr:from>
    <xdr:to>
      <xdr:col>7</xdr:col>
      <xdr:colOff>411163</xdr:colOff>
      <xdr:row>20</xdr:row>
      <xdr:rowOff>154322</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9917207" y="4415117"/>
          <a:ext cx="411162" cy="54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9</xdr:col>
      <xdr:colOff>159831</xdr:colOff>
      <xdr:row>18</xdr:row>
      <xdr:rowOff>54850</xdr:rowOff>
    </xdr:from>
    <xdr:to>
      <xdr:col>9</xdr:col>
      <xdr:colOff>570403</xdr:colOff>
      <xdr:row>21</xdr:row>
      <xdr:rowOff>68803</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12923331" y="4548409"/>
          <a:ext cx="410572" cy="518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800" b="1">
              <a:solidFill>
                <a:schemeClr val="accent2">
                  <a:lumMod val="40000"/>
                  <a:lumOff val="60000"/>
                </a:schemeClr>
              </a:solidFill>
            </a:rPr>
            <a:t>ó</a:t>
          </a:r>
        </a:p>
      </xdr:txBody>
    </xdr:sp>
    <xdr:clientData/>
  </xdr:twoCellAnchor>
  <xdr:twoCellAnchor>
    <xdr:from>
      <xdr:col>9</xdr:col>
      <xdr:colOff>11206</xdr:colOff>
      <xdr:row>16</xdr:row>
      <xdr:rowOff>44824</xdr:rowOff>
    </xdr:from>
    <xdr:to>
      <xdr:col>9</xdr:col>
      <xdr:colOff>795619</xdr:colOff>
      <xdr:row>16</xdr:row>
      <xdr:rowOff>168089</xdr:rowOff>
    </xdr:to>
    <xdr:cxnSp macro="">
      <xdr:nvCxnSpPr>
        <xdr:cNvPr id="33" name="Conector recto de flecha 32">
          <a:extLst>
            <a:ext uri="{FF2B5EF4-FFF2-40B4-BE49-F238E27FC236}">
              <a16:creationId xmlns:a16="http://schemas.microsoft.com/office/drawing/2014/main" id="{00000000-0008-0000-0200-000021000000}"/>
            </a:ext>
          </a:extLst>
        </xdr:cNvPr>
        <xdr:cNvCxnSpPr/>
      </xdr:nvCxnSpPr>
      <xdr:spPr>
        <a:xfrm flipH="1">
          <a:off x="12774706" y="3910853"/>
          <a:ext cx="784413"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1086971</xdr:colOff>
      <xdr:row>16</xdr:row>
      <xdr:rowOff>44824</xdr:rowOff>
    </xdr:from>
    <xdr:to>
      <xdr:col>10</xdr:col>
      <xdr:colOff>582706</xdr:colOff>
      <xdr:row>16</xdr:row>
      <xdr:rowOff>168089</xdr:rowOff>
    </xdr:to>
    <xdr:cxnSp macro="">
      <xdr:nvCxnSpPr>
        <xdr:cNvPr id="45" name="Conector recto de flecha 44">
          <a:extLst>
            <a:ext uri="{FF2B5EF4-FFF2-40B4-BE49-F238E27FC236}">
              <a16:creationId xmlns:a16="http://schemas.microsoft.com/office/drawing/2014/main" id="{00000000-0008-0000-0200-00002D000000}"/>
            </a:ext>
          </a:extLst>
        </xdr:cNvPr>
        <xdr:cNvCxnSpPr/>
      </xdr:nvCxnSpPr>
      <xdr:spPr>
        <a:xfrm>
          <a:off x="13850471" y="3910853"/>
          <a:ext cx="918882"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97111</xdr:colOff>
      <xdr:row>115</xdr:row>
      <xdr:rowOff>249465</xdr:rowOff>
    </xdr:from>
    <xdr:to>
      <xdr:col>2</xdr:col>
      <xdr:colOff>1292678</xdr:colOff>
      <xdr:row>115</xdr:row>
      <xdr:rowOff>1450120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2897915" y="28166786"/>
          <a:ext cx="1195567" cy="1200655"/>
        </a:xfrm>
        <a:prstGeom prst="rect">
          <a:avLst/>
        </a:prstGeom>
      </xdr:spPr>
    </xdr:pic>
    <xdr:clientData/>
  </xdr:twoCellAnchor>
  <xdr:twoCellAnchor editAs="oneCell">
    <xdr:from>
      <xdr:col>3</xdr:col>
      <xdr:colOff>79375</xdr:colOff>
      <xdr:row>115</xdr:row>
      <xdr:rowOff>453572</xdr:rowOff>
    </xdr:from>
    <xdr:to>
      <xdr:col>3</xdr:col>
      <xdr:colOff>1365502</xdr:colOff>
      <xdr:row>115</xdr:row>
      <xdr:rowOff>1360716</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8"/>
        <a:srcRect b="22501"/>
        <a:stretch/>
      </xdr:blipFill>
      <xdr:spPr>
        <a:xfrm>
          <a:off x="4297589" y="28370893"/>
          <a:ext cx="1286127" cy="907144"/>
        </a:xfrm>
        <a:prstGeom prst="rect">
          <a:avLst/>
        </a:prstGeom>
      </xdr:spPr>
    </xdr:pic>
    <xdr:clientData/>
  </xdr:twoCellAnchor>
  <xdr:twoCellAnchor editAs="oneCell">
    <xdr:from>
      <xdr:col>3</xdr:col>
      <xdr:colOff>1383393</xdr:colOff>
      <xdr:row>115</xdr:row>
      <xdr:rowOff>260804</xdr:rowOff>
    </xdr:from>
    <xdr:to>
      <xdr:col>4</xdr:col>
      <xdr:colOff>1273933</xdr:colOff>
      <xdr:row>115</xdr:row>
      <xdr:rowOff>1417411</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9"/>
        <a:srcRect b="11570"/>
        <a:stretch/>
      </xdr:blipFill>
      <xdr:spPr>
        <a:xfrm>
          <a:off x="5601607" y="28178125"/>
          <a:ext cx="1307951" cy="1156607"/>
        </a:xfrm>
        <a:prstGeom prst="rect">
          <a:avLst/>
        </a:prstGeom>
      </xdr:spPr>
    </xdr:pic>
    <xdr:clientData/>
  </xdr:twoCellAnchor>
  <xdr:twoCellAnchor editAs="oneCell">
    <xdr:from>
      <xdr:col>5</xdr:col>
      <xdr:colOff>124732</xdr:colOff>
      <xdr:row>115</xdr:row>
      <xdr:rowOff>260803</xdr:rowOff>
    </xdr:from>
    <xdr:to>
      <xdr:col>5</xdr:col>
      <xdr:colOff>1382085</xdr:colOff>
      <xdr:row>115</xdr:row>
      <xdr:rowOff>1518156</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0"/>
        <a:stretch>
          <a:fillRect/>
        </a:stretch>
      </xdr:blipFill>
      <xdr:spPr>
        <a:xfrm>
          <a:off x="7177768" y="28178124"/>
          <a:ext cx="1257353" cy="1257353"/>
        </a:xfrm>
        <a:prstGeom prst="rect">
          <a:avLst/>
        </a:prstGeom>
      </xdr:spPr>
    </xdr:pic>
    <xdr:clientData/>
  </xdr:twoCellAnchor>
  <xdr:twoCellAnchor editAs="oneCell">
    <xdr:from>
      <xdr:col>6</xdr:col>
      <xdr:colOff>45358</xdr:colOff>
      <xdr:row>115</xdr:row>
      <xdr:rowOff>306160</xdr:rowOff>
    </xdr:from>
    <xdr:to>
      <xdr:col>6</xdr:col>
      <xdr:colOff>1409548</xdr:colOff>
      <xdr:row>115</xdr:row>
      <xdr:rowOff>1348066</xdr:rowOff>
    </xdr:to>
    <xdr:pic>
      <xdr:nvPicPr>
        <xdr:cNvPr id="35" name="Imagen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1"/>
        <a:stretch>
          <a:fillRect/>
        </a:stretch>
      </xdr:blipFill>
      <xdr:spPr>
        <a:xfrm>
          <a:off x="8515804" y="28223481"/>
          <a:ext cx="1364190" cy="1041906"/>
        </a:xfrm>
        <a:prstGeom prst="rect">
          <a:avLst/>
        </a:prstGeom>
      </xdr:spPr>
    </xdr:pic>
    <xdr:clientData/>
  </xdr:twoCellAnchor>
  <xdr:twoCellAnchor editAs="oneCell">
    <xdr:from>
      <xdr:col>7</xdr:col>
      <xdr:colOff>136071</xdr:colOff>
      <xdr:row>115</xdr:row>
      <xdr:rowOff>340179</xdr:rowOff>
    </xdr:from>
    <xdr:to>
      <xdr:col>7</xdr:col>
      <xdr:colOff>1210450</xdr:colOff>
      <xdr:row>115</xdr:row>
      <xdr:rowOff>1410005</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2"/>
        <a:stretch>
          <a:fillRect/>
        </a:stretch>
      </xdr:blipFill>
      <xdr:spPr>
        <a:xfrm>
          <a:off x="10023928" y="28257500"/>
          <a:ext cx="1074379" cy="1069826"/>
        </a:xfrm>
        <a:prstGeom prst="rect">
          <a:avLst/>
        </a:prstGeom>
      </xdr:spPr>
    </xdr:pic>
    <xdr:clientData/>
  </xdr:twoCellAnchor>
  <xdr:twoCellAnchor editAs="oneCell">
    <xdr:from>
      <xdr:col>8</xdr:col>
      <xdr:colOff>170089</xdr:colOff>
      <xdr:row>115</xdr:row>
      <xdr:rowOff>238125</xdr:rowOff>
    </xdr:from>
    <xdr:to>
      <xdr:col>8</xdr:col>
      <xdr:colOff>1268692</xdr:colOff>
      <xdr:row>115</xdr:row>
      <xdr:rowOff>1432684</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3"/>
        <a:stretch>
          <a:fillRect/>
        </a:stretch>
      </xdr:blipFill>
      <xdr:spPr>
        <a:xfrm>
          <a:off x="11475357" y="28155446"/>
          <a:ext cx="1098603" cy="1194559"/>
        </a:xfrm>
        <a:prstGeom prst="rect">
          <a:avLst/>
        </a:prstGeom>
      </xdr:spPr>
    </xdr:pic>
    <xdr:clientData/>
  </xdr:twoCellAnchor>
  <xdr:twoCellAnchor editAs="oneCell">
    <xdr:from>
      <xdr:col>9</xdr:col>
      <xdr:colOff>22679</xdr:colOff>
      <xdr:row>115</xdr:row>
      <xdr:rowOff>260803</xdr:rowOff>
    </xdr:from>
    <xdr:to>
      <xdr:col>9</xdr:col>
      <xdr:colOff>1257353</xdr:colOff>
      <xdr:row>115</xdr:row>
      <xdr:rowOff>1495477</xdr:rowOff>
    </xdr:to>
    <xdr:pic>
      <xdr:nvPicPr>
        <xdr:cNvPr id="43" name="Imagen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14"/>
        <a:stretch>
          <a:fillRect/>
        </a:stretch>
      </xdr:blipFill>
      <xdr:spPr>
        <a:xfrm>
          <a:off x="12745358" y="28178124"/>
          <a:ext cx="1234674" cy="1234674"/>
        </a:xfrm>
        <a:prstGeom prst="rect">
          <a:avLst/>
        </a:prstGeom>
      </xdr:spPr>
    </xdr:pic>
    <xdr:clientData/>
  </xdr:twoCellAnchor>
  <xdr:twoCellAnchor editAs="oneCell">
    <xdr:from>
      <xdr:col>10</xdr:col>
      <xdr:colOff>381284</xdr:colOff>
      <xdr:row>115</xdr:row>
      <xdr:rowOff>385650</xdr:rowOff>
    </xdr:from>
    <xdr:to>
      <xdr:col>10</xdr:col>
      <xdr:colOff>952500</xdr:colOff>
      <xdr:row>115</xdr:row>
      <xdr:rowOff>1406074</xdr:rowOff>
    </xdr:to>
    <xdr:pic>
      <xdr:nvPicPr>
        <xdr:cNvPr id="50" name="Imagen 49" descr="Gigaset S30852-H2761-R701 - C530HX">
          <a:extLst>
            <a:ext uri="{FF2B5EF4-FFF2-40B4-BE49-F238E27FC236}">
              <a16:creationId xmlns:a16="http://schemas.microsoft.com/office/drawing/2014/main" id="{00000000-0008-0000-0200-000032000000}"/>
            </a:ext>
          </a:extLst>
        </xdr:cNvPr>
        <xdr:cNvPicPr>
          <a:picLocks noChangeAspect="1" noChangeArrowheads="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26604" t="17552" r="31876" b="19122"/>
        <a:stretch/>
      </xdr:blipFill>
      <xdr:spPr bwMode="auto">
        <a:xfrm flipH="1">
          <a:off x="14521373" y="28302971"/>
          <a:ext cx="571216" cy="1020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2156833</xdr:colOff>
      <xdr:row>83</xdr:row>
      <xdr:rowOff>34018</xdr:rowOff>
    </xdr:from>
    <xdr:to>
      <xdr:col>2</xdr:col>
      <xdr:colOff>1381577</xdr:colOff>
      <xdr:row>84</xdr:row>
      <xdr:rowOff>15876</xdr:rowOff>
    </xdr:to>
    <xdr:pic>
      <xdr:nvPicPr>
        <xdr:cNvPr id="46" name="Imagen 45" descr="CP100 front view low res.png">
          <a:extLst>
            <a:ext uri="{FF2B5EF4-FFF2-40B4-BE49-F238E27FC236}">
              <a16:creationId xmlns:a16="http://schemas.microsoft.com/office/drawing/2014/main" id="{1E9FD8E5-2006-4483-AC88-A9BA2373AF7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746476" y="20376697"/>
          <a:ext cx="1435905" cy="1501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56696</xdr:colOff>
      <xdr:row>83</xdr:row>
      <xdr:rowOff>192769</xdr:rowOff>
    </xdr:from>
    <xdr:to>
      <xdr:col>3</xdr:col>
      <xdr:colOff>1270001</xdr:colOff>
      <xdr:row>83</xdr:row>
      <xdr:rowOff>1400985</xdr:rowOff>
    </xdr:to>
    <xdr:pic>
      <xdr:nvPicPr>
        <xdr:cNvPr id="47" name="Imagen 46" descr="OpenScape Desk Phone CP200 front view.png">
          <a:extLst>
            <a:ext uri="{FF2B5EF4-FFF2-40B4-BE49-F238E27FC236}">
              <a16:creationId xmlns:a16="http://schemas.microsoft.com/office/drawing/2014/main" id="{B2B58F9E-0EDF-4C37-B9B4-5112D3F6503F}"/>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274910" y="20535448"/>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1406072</xdr:colOff>
      <xdr:row>83</xdr:row>
      <xdr:rowOff>204107</xdr:rowOff>
    </xdr:from>
    <xdr:to>
      <xdr:col>4</xdr:col>
      <xdr:colOff>1201966</xdr:colOff>
      <xdr:row>83</xdr:row>
      <xdr:rowOff>1412323</xdr:rowOff>
    </xdr:to>
    <xdr:pic>
      <xdr:nvPicPr>
        <xdr:cNvPr id="49" name="Imagen 48" descr="OpenScape Desk Phone CP200 front view.png">
          <a:extLst>
            <a:ext uri="{FF2B5EF4-FFF2-40B4-BE49-F238E27FC236}">
              <a16:creationId xmlns:a16="http://schemas.microsoft.com/office/drawing/2014/main" id="{A510525F-EC31-4C0A-AB9B-F6F22560E75A}"/>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624286" y="20546786"/>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1406073</xdr:colOff>
      <xdr:row>83</xdr:row>
      <xdr:rowOff>226785</xdr:rowOff>
    </xdr:from>
    <xdr:to>
      <xdr:col>6</xdr:col>
      <xdr:colOff>4386</xdr:colOff>
      <xdr:row>83</xdr:row>
      <xdr:rowOff>1377950</xdr:rowOff>
    </xdr:to>
    <xdr:pic>
      <xdr:nvPicPr>
        <xdr:cNvPr id="51" name="Imagen 50" descr="OpenScape Desk Phone CP400 front view with Keymodul.png">
          <a:extLst>
            <a:ext uri="{FF2B5EF4-FFF2-40B4-BE49-F238E27FC236}">
              <a16:creationId xmlns:a16="http://schemas.microsoft.com/office/drawing/2014/main" id="{5BC562DA-A206-4EC7-8DC4-DF8CD13644CC}"/>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r="23751"/>
        <a:stretch/>
      </xdr:blipFill>
      <xdr:spPr bwMode="auto">
        <a:xfrm>
          <a:off x="7041698" y="20569464"/>
          <a:ext cx="1433134" cy="1151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430893</xdr:colOff>
      <xdr:row>83</xdr:row>
      <xdr:rowOff>215447</xdr:rowOff>
    </xdr:from>
    <xdr:to>
      <xdr:col>6</xdr:col>
      <xdr:colOff>888815</xdr:colOff>
      <xdr:row>83</xdr:row>
      <xdr:rowOff>1411969</xdr:rowOff>
    </xdr:to>
    <xdr:pic>
      <xdr:nvPicPr>
        <xdr:cNvPr id="52" name="Imagen 51" descr="OpenScape Desk Phone CP400 front view with Keymodul.png">
          <a:extLst>
            <a:ext uri="{FF2B5EF4-FFF2-40B4-BE49-F238E27FC236}">
              <a16:creationId xmlns:a16="http://schemas.microsoft.com/office/drawing/2014/main" id="{3EF29EDA-8B80-48FA-8940-2B33BCC402F0}"/>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76560"/>
        <a:stretch/>
      </xdr:blipFill>
      <xdr:spPr bwMode="auto">
        <a:xfrm>
          <a:off x="8901339" y="20558126"/>
          <a:ext cx="457922" cy="1196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1383393</xdr:colOff>
      <xdr:row>83</xdr:row>
      <xdr:rowOff>147410</xdr:rowOff>
    </xdr:from>
    <xdr:to>
      <xdr:col>7</xdr:col>
      <xdr:colOff>1250375</xdr:colOff>
      <xdr:row>83</xdr:row>
      <xdr:rowOff>1483178</xdr:rowOff>
    </xdr:to>
    <xdr:pic>
      <xdr:nvPicPr>
        <xdr:cNvPr id="53" name="Imagen 52" descr="OpenScape Desk Phone CP600E front view with Keymodul.png">
          <a:extLst>
            <a:ext uri="{FF2B5EF4-FFF2-40B4-BE49-F238E27FC236}">
              <a16:creationId xmlns:a16="http://schemas.microsoft.com/office/drawing/2014/main" id="{9D1C9AFD-9F14-4E9E-83E0-F23329A90C5C}"/>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9853839" y="20490089"/>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408213</xdr:colOff>
      <xdr:row>83</xdr:row>
      <xdr:rowOff>90713</xdr:rowOff>
    </xdr:from>
    <xdr:to>
      <xdr:col>9</xdr:col>
      <xdr:colOff>974575</xdr:colOff>
      <xdr:row>83</xdr:row>
      <xdr:rowOff>1494517</xdr:rowOff>
    </xdr:to>
    <xdr:pic>
      <xdr:nvPicPr>
        <xdr:cNvPr id="54" name="Imagen 53" descr="OpenScape Desk Phone CP600E front view with Keymodul.png">
          <a:extLst>
            <a:ext uri="{FF2B5EF4-FFF2-40B4-BE49-F238E27FC236}">
              <a16:creationId xmlns:a16="http://schemas.microsoft.com/office/drawing/2014/main" id="{EF676054-A7F1-436B-B9A1-6DABF25EF83B}"/>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l="71006"/>
        <a:stretch/>
      </xdr:blipFill>
      <xdr:spPr bwMode="auto">
        <a:xfrm>
          <a:off x="13130892" y="20433392"/>
          <a:ext cx="566362" cy="14038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1383393</xdr:colOff>
      <xdr:row>83</xdr:row>
      <xdr:rowOff>102053</xdr:rowOff>
    </xdr:from>
    <xdr:to>
      <xdr:col>8</xdr:col>
      <xdr:colOff>1250375</xdr:colOff>
      <xdr:row>83</xdr:row>
      <xdr:rowOff>1437821</xdr:rowOff>
    </xdr:to>
    <xdr:pic>
      <xdr:nvPicPr>
        <xdr:cNvPr id="55" name="Imagen 54" descr="OpenScape Desk Phone CP600E front view with Keymodul.png">
          <a:extLst>
            <a:ext uri="{FF2B5EF4-FFF2-40B4-BE49-F238E27FC236}">
              <a16:creationId xmlns:a16="http://schemas.microsoft.com/office/drawing/2014/main" id="{1E040045-66C8-4816-946D-F126AEDFA85A}"/>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11271250" y="20444732"/>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328838</xdr:colOff>
      <xdr:row>83</xdr:row>
      <xdr:rowOff>45356</xdr:rowOff>
    </xdr:from>
    <xdr:to>
      <xdr:col>10</xdr:col>
      <xdr:colOff>1107621</xdr:colOff>
      <xdr:row>83</xdr:row>
      <xdr:rowOff>1421887</xdr:rowOff>
    </xdr:to>
    <xdr:pic>
      <xdr:nvPicPr>
        <xdr:cNvPr id="48" name="Imagen 47" descr="OpenScape Personal Edition | Telconnect">
          <a:extLst>
            <a:ext uri="{FF2B5EF4-FFF2-40B4-BE49-F238E27FC236}">
              <a16:creationId xmlns:a16="http://schemas.microsoft.com/office/drawing/2014/main" id="{6355A285-9EE2-4C72-AF1D-E6B50DDC2B75}"/>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4468927" y="16147142"/>
          <a:ext cx="778783" cy="1376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521608</xdr:colOff>
      <xdr:row>150</xdr:row>
      <xdr:rowOff>249464</xdr:rowOff>
    </xdr:from>
    <xdr:to>
      <xdr:col>6</xdr:col>
      <xdr:colOff>99952</xdr:colOff>
      <xdr:row>155</xdr:row>
      <xdr:rowOff>136071</xdr:rowOff>
    </xdr:to>
    <xdr:pic>
      <xdr:nvPicPr>
        <xdr:cNvPr id="3" name="Imagen 2">
          <a:hlinkClick xmlns:r="http://schemas.openxmlformats.org/officeDocument/2006/relationships" r:id="rId21" tooltip="+info"/>
          <a:extLst>
            <a:ext uri="{FF2B5EF4-FFF2-40B4-BE49-F238E27FC236}">
              <a16:creationId xmlns:a16="http://schemas.microsoft.com/office/drawing/2014/main" id="{BE1C7196-C4E5-4932-8C07-6D20DDC38AB3}"/>
            </a:ext>
          </a:extLst>
        </xdr:cNvPr>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backgroundRemoval t="2649" b="94040" l="5769" r="96795">
                      <a14:foregroundMark x1="42308" y1="12583" x2="42308" y2="12583"/>
                      <a14:foregroundMark x1="53205" y1="15894" x2="53205" y2="15894"/>
                      <a14:foregroundMark x1="48718" y1="28477" x2="48718" y2="28477"/>
                      <a14:foregroundMark x1="39103" y1="28477" x2="39103" y2="28477"/>
                      <a14:foregroundMark x1="27564" y1="26490" x2="27564" y2="26490"/>
                      <a14:foregroundMark x1="34615" y1="21854" x2="34615" y2="21854"/>
                      <a14:foregroundMark x1="55769" y1="15894" x2="55769" y2="15894"/>
                      <a14:foregroundMark x1="72436" y1="25166" x2="72436" y2="25166"/>
                      <a14:foregroundMark x1="91026" y1="45695" x2="91026" y2="45695"/>
                      <a14:foregroundMark x1="77564" y1="84768" x2="77564" y2="84768"/>
                      <a14:foregroundMark x1="46795" y1="94040" x2="46795" y2="94040"/>
                      <a14:foregroundMark x1="7692" y1="45695" x2="7692" y2="45695"/>
                      <a14:foregroundMark x1="50000" y1="7947" x2="50000" y2="7947"/>
                      <a14:foregroundMark x1="54487" y1="3311" x2="54487" y2="3311"/>
                      <a14:foregroundMark x1="96795" y1="42384" x2="96795" y2="42384"/>
                      <a14:backgroundMark x1="13462" y1="7947" x2="13462" y2="7947"/>
                      <a14:backgroundMark x1="13462" y1="17219" x2="13462" y2="17219"/>
                      <a14:backgroundMark x1="5769" y1="15894" x2="5769" y2="15894"/>
                      <a14:backgroundMark x1="10897" y1="15894" x2="10897" y2="15894"/>
                      <a14:backgroundMark x1="13462" y1="15894" x2="13462" y2="15894"/>
                      <a14:backgroundMark x1="13462" y1="15894" x2="13462" y2="15894"/>
                      <a14:backgroundMark x1="24359" y1="5960" x2="24359" y2="5960"/>
                    </a14:backgroundRemoval>
                  </a14:imgEffect>
                </a14:imgLayer>
              </a14:imgProps>
            </a:ext>
          </a:extLst>
        </a:blip>
        <a:stretch>
          <a:fillRect/>
        </a:stretch>
      </xdr:blipFill>
      <xdr:spPr>
        <a:xfrm>
          <a:off x="7574644" y="36625893"/>
          <a:ext cx="995754" cy="963839"/>
        </a:xfrm>
        <a:prstGeom prst="rect">
          <a:avLst/>
        </a:prstGeom>
      </xdr:spPr>
    </xdr:pic>
    <xdr:clientData/>
  </xdr:twoCellAnchor>
  <xdr:twoCellAnchor editAs="oneCell">
    <xdr:from>
      <xdr:col>8</xdr:col>
      <xdr:colOff>1053353</xdr:colOff>
      <xdr:row>150</xdr:row>
      <xdr:rowOff>75713</xdr:rowOff>
    </xdr:from>
    <xdr:to>
      <xdr:col>12</xdr:col>
      <xdr:colOff>0</xdr:colOff>
      <xdr:row>162</xdr:row>
      <xdr:rowOff>124731</xdr:rowOff>
    </xdr:to>
    <xdr:pic>
      <xdr:nvPicPr>
        <xdr:cNvPr id="58" name="Imagen 57" descr="Circuit by Unify | E-KOMM - IT &amp; Kommunikation">
          <a:extLst>
            <a:ext uri="{FF2B5EF4-FFF2-40B4-BE49-F238E27FC236}">
              <a16:creationId xmlns:a16="http://schemas.microsoft.com/office/drawing/2014/main" id="{A110B27A-AF50-4FB7-81D2-8AE16E8BF7F9}"/>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2393706" y="37055125"/>
          <a:ext cx="3417794" cy="2648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219992</xdr:colOff>
      <xdr:row>150</xdr:row>
      <xdr:rowOff>79375</xdr:rowOff>
    </xdr:from>
    <xdr:to>
      <xdr:col>8</xdr:col>
      <xdr:colOff>1274545</xdr:colOff>
      <xdr:row>162</xdr:row>
      <xdr:rowOff>125984</xdr:rowOff>
    </xdr:to>
    <xdr:pic>
      <xdr:nvPicPr>
        <xdr:cNvPr id="56" name="Imagen 55" descr="Unify Circuit Videokonferenzen im Test - com! professional">
          <a:extLst>
            <a:ext uri="{FF2B5EF4-FFF2-40B4-BE49-F238E27FC236}">
              <a16:creationId xmlns:a16="http://schemas.microsoft.com/office/drawing/2014/main" id="{5768B49B-AA63-4E0B-A7F0-95A9ECF8420B}"/>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697242" y="36568063"/>
          <a:ext cx="3896178" cy="2570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168088</xdr:colOff>
      <xdr:row>0</xdr:row>
      <xdr:rowOff>67235</xdr:rowOff>
    </xdr:from>
    <xdr:to>
      <xdr:col>10</xdr:col>
      <xdr:colOff>163294</xdr:colOff>
      <xdr:row>0</xdr:row>
      <xdr:rowOff>339378</xdr:rowOff>
    </xdr:to>
    <xdr:sp macro="[0]!MaXimOptimismUNIFY" textlink="">
      <xdr:nvSpPr>
        <xdr:cNvPr id="57" name="Rectángulo: esquinas redondeadas 56">
          <a:extLst>
            <a:ext uri="{FF2B5EF4-FFF2-40B4-BE49-F238E27FC236}">
              <a16:creationId xmlns:a16="http://schemas.microsoft.com/office/drawing/2014/main" id="{B3C88F6F-D8F1-473D-A486-A2EF122354DC}"/>
            </a:ext>
          </a:extLst>
        </xdr:cNvPr>
        <xdr:cNvSpPr/>
      </xdr:nvSpPr>
      <xdr:spPr>
        <a:xfrm>
          <a:off x="12931588" y="67235"/>
          <a:ext cx="1418353" cy="272143"/>
        </a:xfrm>
        <a:prstGeom prst="roundRect">
          <a:avLst/>
        </a:prstGeom>
        <a:solidFill>
          <a:srgbClr val="3399FF"/>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OPTIMíZALO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188406</xdr:colOff>
      <xdr:row>2</xdr:row>
      <xdr:rowOff>37233</xdr:rowOff>
    </xdr:from>
    <xdr:to>
      <xdr:col>1</xdr:col>
      <xdr:colOff>1245576</xdr:colOff>
      <xdr:row>8</xdr:row>
      <xdr:rowOff>1333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406" y="623387"/>
          <a:ext cx="2690027" cy="1220144"/>
        </a:xfrm>
        <a:prstGeom prst="rect">
          <a:avLst/>
        </a:prstGeom>
      </xdr:spPr>
    </xdr:pic>
    <xdr:clientData/>
  </xdr:twoCellAnchor>
  <xdr:twoCellAnchor editAs="oneCell">
    <xdr:from>
      <xdr:col>0</xdr:col>
      <xdr:colOff>1339780</xdr:colOff>
      <xdr:row>7</xdr:row>
      <xdr:rowOff>167473</xdr:rowOff>
    </xdr:from>
    <xdr:to>
      <xdr:col>1</xdr:col>
      <xdr:colOff>1182775</xdr:colOff>
      <xdr:row>9</xdr:row>
      <xdr:rowOff>129845</xdr:rowOff>
    </xdr:to>
    <xdr:pic>
      <xdr:nvPicPr>
        <xdr:cNvPr id="2" name="Imagen 1">
          <a:extLst>
            <a:ext uri="{FF2B5EF4-FFF2-40B4-BE49-F238E27FC236}">
              <a16:creationId xmlns:a16="http://schemas.microsoft.com/office/drawing/2014/main" id="{F9418A24-2EAE-45F7-9DD8-252BAF769FD8}"/>
            </a:ext>
          </a:extLst>
        </xdr:cNvPr>
        <xdr:cNvPicPr>
          <a:picLocks noChangeAspect="1"/>
        </xdr:cNvPicPr>
      </xdr:nvPicPr>
      <xdr:blipFill>
        <a:blip xmlns:r="http://schemas.openxmlformats.org/officeDocument/2006/relationships" r:embed="rId2"/>
        <a:stretch>
          <a:fillRect/>
        </a:stretch>
      </xdr:blipFill>
      <xdr:spPr>
        <a:xfrm>
          <a:off x="1339780" y="1800330"/>
          <a:ext cx="1475852" cy="381053"/>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7166B-FCEE-4B28-9533-313E0008F49B}">
  <sheetPr codeName="Hoja2"/>
  <dimension ref="A1:Q34"/>
  <sheetViews>
    <sheetView showGridLines="0" showRowColHeaders="0" tabSelected="1" workbookViewId="0">
      <selection activeCell="A3" sqref="A3"/>
    </sheetView>
  </sheetViews>
  <sheetFormatPr baseColWidth="10" defaultColWidth="0" defaultRowHeight="16.5" zeroHeight="1" x14ac:dyDescent="0.3"/>
  <cols>
    <col min="1" max="17" width="11" customWidth="1"/>
    <col min="18" max="16384" width="11" hidden="1"/>
  </cols>
  <sheetData>
    <row r="1" spans="2:12" x14ac:dyDescent="0.3"/>
    <row r="2" spans="2:12" x14ac:dyDescent="0.3"/>
    <row r="3" spans="2:12" x14ac:dyDescent="0.3"/>
    <row r="4" spans="2:12" x14ac:dyDescent="0.3"/>
    <row r="5" spans="2:12" x14ac:dyDescent="0.3"/>
    <row r="6" spans="2:12" ht="22.5" x14ac:dyDescent="0.3">
      <c r="B6" s="173" t="s">
        <v>332</v>
      </c>
      <c r="G6" s="172"/>
      <c r="H6" s="172"/>
      <c r="I6" s="172"/>
      <c r="J6" s="172"/>
    </row>
    <row r="7" spans="2:12" x14ac:dyDescent="0.3"/>
    <row r="8" spans="2:12" ht="17.25" customHeight="1" x14ac:dyDescent="0.3">
      <c r="H8" s="389" t="s">
        <v>333</v>
      </c>
      <c r="I8" s="389"/>
      <c r="J8" s="389"/>
      <c r="K8" s="389"/>
      <c r="L8" s="389"/>
    </row>
    <row r="9" spans="2:12" ht="16.5" customHeight="1" x14ac:dyDescent="0.3">
      <c r="H9" s="389"/>
      <c r="I9" s="389"/>
      <c r="J9" s="389"/>
      <c r="K9" s="389"/>
      <c r="L9" s="389"/>
    </row>
    <row r="10" spans="2:12" ht="16.5" customHeight="1" x14ac:dyDescent="0.3">
      <c r="H10" s="389"/>
      <c r="I10" s="389"/>
      <c r="J10" s="389"/>
      <c r="K10" s="389"/>
      <c r="L10" s="389"/>
    </row>
    <row r="11" spans="2:12" ht="16.5" customHeight="1" x14ac:dyDescent="0.3">
      <c r="H11" s="389"/>
      <c r="I11" s="389"/>
      <c r="J11" s="389"/>
      <c r="K11" s="389"/>
      <c r="L11" s="389"/>
    </row>
    <row r="12" spans="2:12" x14ac:dyDescent="0.3"/>
    <row r="13" spans="2:12" x14ac:dyDescent="0.3"/>
    <row r="14" spans="2:12" x14ac:dyDescent="0.3"/>
    <row r="15" spans="2:12" x14ac:dyDescent="0.3"/>
    <row r="16" spans="2:12"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sheetData>
  <sheetProtection algorithmName="SHA-512" hashValue="AwJWmPw5wpoFnkVDeJm1bmbqRnM/wVOVpgDKC6S3rGP5m9dfAoE1BuKg/GfXuEUwojiWFx8ukmKSrmIqnR69Kw==" saltValue="qnqv/0AfSiJ1vHKa4UQG/Q==" spinCount="100000" sheet="1" objects="1" scenarios="1"/>
  <mergeCells count="1">
    <mergeCell ref="H8:L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AF8-3E41-4E18-A912-EC8C4F285CF7}">
  <sheetPr codeName="Hoja4">
    <pageSetUpPr fitToPage="1"/>
  </sheetPr>
  <dimension ref="A1:P1795"/>
  <sheetViews>
    <sheetView showGridLines="0" zoomScale="75" zoomScaleNormal="75" zoomScaleSheetLayoutView="93" workbookViewId="0">
      <pane xSplit="2" ySplit="10" topLeftCell="C413" activePane="bottomRight" state="frozen"/>
      <selection pane="topRight" activeCell="C1" sqref="C1"/>
      <selection pane="bottomLeft" activeCell="A8" sqref="A8"/>
      <selection pane="bottomRight" activeCell="E425" sqref="E425:F427"/>
    </sheetView>
  </sheetViews>
  <sheetFormatPr baseColWidth="10" defaultColWidth="0" defaultRowHeight="16.5" customHeight="1" x14ac:dyDescent="0.3"/>
  <cols>
    <col min="1" max="1" width="7.75" customWidth="1"/>
    <col min="2" max="2" width="29" style="70" customWidth="1"/>
    <col min="3" max="8" width="18.625" style="63" customWidth="1"/>
    <col min="9" max="11" width="18.625" customWidth="1"/>
    <col min="12" max="12" width="2.625" customWidth="1"/>
    <col min="13" max="15" width="11" hidden="1" customWidth="1"/>
    <col min="16" max="16" width="12.25" hidden="1" customWidth="1"/>
    <col min="17" max="16384" width="11" hidden="1"/>
  </cols>
  <sheetData>
    <row r="1" spans="1:14" ht="35.1" customHeight="1" x14ac:dyDescent="0.35">
      <c r="A1" s="17"/>
      <c r="B1" s="298" t="s">
        <v>226</v>
      </c>
      <c r="C1" s="298" t="s">
        <v>229</v>
      </c>
      <c r="D1" s="298" t="s">
        <v>63</v>
      </c>
      <c r="E1" s="298" t="s">
        <v>241</v>
      </c>
      <c r="F1" s="298" t="s">
        <v>227</v>
      </c>
      <c r="G1" s="51" t="s">
        <v>233</v>
      </c>
      <c r="H1" s="46"/>
      <c r="I1" s="176"/>
      <c r="J1" s="177"/>
      <c r="K1" s="175"/>
      <c r="L1" s="17"/>
    </row>
    <row r="2" spans="1:14" ht="20.100000000000001" customHeight="1" x14ac:dyDescent="0.3">
      <c r="A2" s="238" t="s">
        <v>363</v>
      </c>
      <c r="B2" s="188"/>
      <c r="C2" s="188"/>
      <c r="D2" s="188"/>
      <c r="E2" s="188"/>
      <c r="F2" s="188"/>
      <c r="G2" s="188"/>
      <c r="H2" s="188"/>
      <c r="I2" s="188"/>
      <c r="J2" s="188"/>
      <c r="K2" s="188"/>
      <c r="L2" s="188"/>
    </row>
    <row r="3" spans="1:14" ht="15" customHeight="1" x14ac:dyDescent="0.3">
      <c r="A3" s="392" t="str">
        <f>IF(C456=0,"Por Definir",INDEX(B457:B462,C456,1))</f>
        <v>Por Definir</v>
      </c>
      <c r="B3" s="392"/>
      <c r="C3" s="226" t="s">
        <v>191</v>
      </c>
      <c r="D3" s="224" t="s">
        <v>192</v>
      </c>
      <c r="E3" s="224" t="s">
        <v>349</v>
      </c>
      <c r="F3" s="396" t="s">
        <v>355</v>
      </c>
      <c r="G3" s="396"/>
      <c r="H3" s="188"/>
      <c r="I3" s="188"/>
      <c r="J3" s="64"/>
      <c r="K3" s="64"/>
      <c r="L3" s="64"/>
    </row>
    <row r="4" spans="1:14" ht="24.95" customHeight="1" x14ac:dyDescent="0.3">
      <c r="A4" s="392"/>
      <c r="B4" s="392"/>
      <c r="C4" s="214" t="s">
        <v>347</v>
      </c>
      <c r="D4" s="252" t="s">
        <v>342</v>
      </c>
      <c r="E4" s="253" t="s">
        <v>343</v>
      </c>
      <c r="F4" s="254" t="s">
        <v>335</v>
      </c>
      <c r="G4" s="248"/>
      <c r="H4" s="188"/>
      <c r="I4" s="188"/>
      <c r="J4" s="54"/>
      <c r="K4" s="54"/>
      <c r="L4" s="64"/>
    </row>
    <row r="5" spans="1:14" ht="20.100000000000001" customHeight="1" x14ac:dyDescent="0.3">
      <c r="A5" s="182"/>
      <c r="B5" s="393" t="str">
        <f>IF(D32=B371,"24","36")</f>
        <v>24</v>
      </c>
      <c r="C5" s="213">
        <f>J494</f>
        <v>0</v>
      </c>
      <c r="D5" s="212">
        <f>I532</f>
        <v>0</v>
      </c>
      <c r="E5" s="222">
        <f>I537</f>
        <v>0</v>
      </c>
      <c r="F5" s="397">
        <f>I539</f>
        <v>0</v>
      </c>
      <c r="G5" s="397"/>
      <c r="H5" s="188"/>
      <c r="I5" s="251">
        <f>F5</f>
        <v>0</v>
      </c>
      <c r="J5" s="54"/>
      <c r="K5" s="54"/>
      <c r="L5" s="64"/>
    </row>
    <row r="6" spans="1:14" ht="20.100000000000001" customHeight="1" x14ac:dyDescent="0.3">
      <c r="A6" s="54"/>
      <c r="B6" s="393"/>
      <c r="C6" s="215" t="s">
        <v>334</v>
      </c>
      <c r="D6" s="216" t="s">
        <v>334</v>
      </c>
      <c r="E6" s="223" t="s">
        <v>334</v>
      </c>
      <c r="F6" s="397"/>
      <c r="G6" s="397"/>
      <c r="H6" s="233"/>
      <c r="I6" s="188"/>
      <c r="J6" s="54"/>
      <c r="K6" s="54"/>
      <c r="L6" s="64"/>
    </row>
    <row r="7" spans="1:14" ht="15" customHeight="1" x14ac:dyDescent="0.8">
      <c r="A7" s="54"/>
      <c r="B7" s="217"/>
      <c r="C7" s="217"/>
      <c r="D7" s="217"/>
      <c r="E7" s="217"/>
      <c r="F7" s="217"/>
      <c r="G7" s="371" t="s">
        <v>334</v>
      </c>
      <c r="H7" s="64"/>
      <c r="I7" s="187"/>
      <c r="J7" s="54"/>
      <c r="K7" s="54"/>
      <c r="L7" s="64"/>
    </row>
    <row r="8" spans="1:14" ht="15" customHeight="1" x14ac:dyDescent="0.3">
      <c r="A8" s="54"/>
      <c r="B8" s="394">
        <f>C385+IF(C388&gt;0,C386,0)</f>
        <v>0</v>
      </c>
      <c r="C8" s="225" t="s">
        <v>336</v>
      </c>
      <c r="D8" s="183"/>
      <c r="E8" s="255" t="s">
        <v>356</v>
      </c>
      <c r="F8" s="255" t="s">
        <v>357</v>
      </c>
      <c r="G8" s="64"/>
      <c r="H8" s="64"/>
      <c r="I8" s="186"/>
      <c r="J8" s="54"/>
      <c r="K8" s="54"/>
      <c r="L8" s="64"/>
    </row>
    <row r="9" spans="1:14" ht="24.95" customHeight="1" x14ac:dyDescent="0.3">
      <c r="A9" s="54"/>
      <c r="B9" s="394"/>
      <c r="C9" s="181"/>
      <c r="D9" s="181">
        <f>IF(ISERROR(I540),0,I540)</f>
        <v>0</v>
      </c>
      <c r="E9" s="183">
        <f>IF(ISERROR($I$471),IF((C165+D165+E165)&gt;0,D9/(C165+D165+E165),0),$I$471)</f>
        <v>0</v>
      </c>
      <c r="F9" s="191">
        <f>K464</f>
        <v>0</v>
      </c>
      <c r="G9" s="64"/>
      <c r="H9" s="64"/>
      <c r="I9" s="64" t="s">
        <v>473</v>
      </c>
      <c r="J9" s="54"/>
      <c r="K9" s="54"/>
      <c r="L9" s="64"/>
    </row>
    <row r="10" spans="1:14" ht="24.95" hidden="1" customHeight="1" x14ac:dyDescent="0.3">
      <c r="A10" s="54"/>
      <c r="B10" s="394"/>
      <c r="C10" s="181"/>
      <c r="D10" s="190" t="str">
        <f>" Mesual / "&amp;IF(VALIDADOR_INIMBUSESP,I49,B8)&amp;"Ext"</f>
        <v xml:space="preserve"> Mesual / 0Ext</v>
      </c>
      <c r="E10" s="190" t="str">
        <f>D10</f>
        <v xml:space="preserve"> Mesual / 0Ext</v>
      </c>
      <c r="F10" s="190" t="str">
        <f>E10</f>
        <v xml:space="preserve"> Mesual / 0Ext</v>
      </c>
      <c r="G10" s="185"/>
      <c r="H10" s="64"/>
      <c r="I10" s="54"/>
      <c r="J10" s="54"/>
      <c r="K10" s="54"/>
      <c r="L10" s="68"/>
    </row>
    <row r="11" spans="1:14" ht="20.100000000000001" hidden="1" customHeight="1" x14ac:dyDescent="0.3">
      <c r="A11" s="238" t="s">
        <v>248</v>
      </c>
      <c r="B11" s="239"/>
      <c r="C11" s="240"/>
      <c r="D11" s="241" t="s">
        <v>359</v>
      </c>
      <c r="E11" s="240"/>
      <c r="F11" s="239"/>
      <c r="G11" s="241" t="s">
        <v>360</v>
      </c>
      <c r="H11" s="239"/>
      <c r="I11" s="54"/>
      <c r="J11" s="247" t="s">
        <v>442</v>
      </c>
      <c r="K11" s="250" t="s">
        <v>358</v>
      </c>
      <c r="L11" s="242"/>
      <c r="M11" s="5"/>
      <c r="N11" s="189"/>
    </row>
    <row r="12" spans="1:14" ht="15" hidden="1" customHeight="1" x14ac:dyDescent="0.3">
      <c r="A12" s="194"/>
      <c r="B12" s="69"/>
      <c r="C12" s="67"/>
      <c r="D12" s="69"/>
      <c r="E12" s="171"/>
      <c r="F12" s="225"/>
      <c r="G12" s="171"/>
      <c r="H12" s="221"/>
      <c r="I12" s="190" t="str">
        <f>"si renuevas a "&amp;36&amp;" Meses"</f>
        <v>si renuevas a 36 Meses</v>
      </c>
      <c r="J12" s="54"/>
      <c r="K12" s="190" t="str">
        <f>"si renuevas a "&amp;48&amp;" Meses"</f>
        <v>si renuevas a 48 Meses</v>
      </c>
      <c r="L12" s="68"/>
      <c r="M12" s="5"/>
    </row>
    <row r="13" spans="1:14" ht="20.100000000000001" hidden="1" customHeight="1" x14ac:dyDescent="0.3">
      <c r="A13" s="54"/>
      <c r="B13" s="219">
        <v>1</v>
      </c>
      <c r="C13" s="249" t="s">
        <v>351</v>
      </c>
      <c r="D13" s="220">
        <f>I481</f>
        <v>0</v>
      </c>
      <c r="E13" s="219">
        <v>0.12</v>
      </c>
      <c r="F13" s="171" t="s">
        <v>567</v>
      </c>
      <c r="G13" s="231">
        <f>(I513+J521)*E13</f>
        <v>0</v>
      </c>
      <c r="H13" s="411">
        <v>0.5</v>
      </c>
      <c r="I13" s="410" t="s">
        <v>362</v>
      </c>
      <c r="J13" s="409">
        <f>C5*50%</f>
        <v>0</v>
      </c>
      <c r="K13" s="54"/>
      <c r="L13" s="68"/>
    </row>
    <row r="14" spans="1:14" ht="20.100000000000001" hidden="1" customHeight="1" x14ac:dyDescent="0.3">
      <c r="A14" s="54"/>
      <c r="B14" s="219">
        <v>1</v>
      </c>
      <c r="C14" s="249" t="s">
        <v>350</v>
      </c>
      <c r="D14" s="220">
        <f>I484+I485</f>
        <v>0</v>
      </c>
      <c r="E14" s="64"/>
      <c r="F14" s="64"/>
      <c r="G14" s="64"/>
      <c r="H14" s="412"/>
      <c r="I14" s="410"/>
      <c r="J14" s="409"/>
      <c r="K14" s="221" t="s">
        <v>334</v>
      </c>
      <c r="L14" s="68"/>
    </row>
    <row r="15" spans="1:14" ht="20.100000000000001" hidden="1" customHeight="1" x14ac:dyDescent="0.3">
      <c r="A15" s="54"/>
      <c r="B15" s="219">
        <v>1</v>
      </c>
      <c r="C15" s="249" t="s">
        <v>361</v>
      </c>
      <c r="D15" s="228">
        <f>I486+I487+I488+I489</f>
        <v>0</v>
      </c>
      <c r="E15" s="219">
        <v>0.1</v>
      </c>
      <c r="F15" s="171" t="s">
        <v>568</v>
      </c>
      <c r="G15" s="232">
        <f>I535*10%</f>
        <v>0</v>
      </c>
      <c r="H15" s="192"/>
      <c r="I15" s="373" t="s">
        <v>602</v>
      </c>
      <c r="J15" s="375">
        <f>G16</f>
        <v>0</v>
      </c>
      <c r="K15" s="376" t="s">
        <v>334</v>
      </c>
      <c r="L15" s="68"/>
    </row>
    <row r="16" spans="1:14" ht="24.95" hidden="1" customHeight="1" x14ac:dyDescent="0.3">
      <c r="A16" s="54"/>
      <c r="B16" s="243"/>
      <c r="C16" s="244" t="s">
        <v>353</v>
      </c>
      <c r="D16" s="229">
        <f>I491</f>
        <v>0</v>
      </c>
      <c r="E16" s="64"/>
      <c r="F16" s="65" t="s">
        <v>354</v>
      </c>
      <c r="G16" s="245">
        <f>G15+G13</f>
        <v>0</v>
      </c>
      <c r="H16" s="233" t="s">
        <v>334</v>
      </c>
      <c r="I16" s="373"/>
      <c r="J16" s="374">
        <f>J15+J13</f>
        <v>0</v>
      </c>
      <c r="K16" s="376" t="s">
        <v>334</v>
      </c>
      <c r="L16" s="68"/>
    </row>
    <row r="17" spans="1:13" ht="24.95" hidden="1" customHeight="1" thickBot="1" x14ac:dyDescent="0.35">
      <c r="A17" s="54"/>
      <c r="B17" s="380">
        <v>0.4</v>
      </c>
      <c r="C17" s="218" t="s">
        <v>341</v>
      </c>
      <c r="D17" s="183">
        <f>(I469-SUM(I425:I427))*$B$17</f>
        <v>0</v>
      </c>
      <c r="E17" s="64" t="str">
        <f>"+"</f>
        <v>+</v>
      </c>
      <c r="F17" s="64"/>
      <c r="G17" s="237" t="str">
        <f>" X "&amp;B5&amp; "   "</f>
        <v xml:space="preserve"> X 24   </v>
      </c>
      <c r="H17" s="233" t="s">
        <v>352</v>
      </c>
      <c r="I17" s="246">
        <f>J16</f>
        <v>0</v>
      </c>
      <c r="J17" s="374"/>
      <c r="K17" s="246">
        <f>J16</f>
        <v>0</v>
      </c>
      <c r="L17" s="373"/>
    </row>
    <row r="18" spans="1:13" ht="24.95" hidden="1" customHeight="1" thickTop="1" thickBot="1" x14ac:dyDescent="0.35">
      <c r="A18" s="54"/>
      <c r="B18" s="380">
        <v>0.2</v>
      </c>
      <c r="C18" s="218" t="s">
        <v>566</v>
      </c>
      <c r="D18" s="230">
        <f>SUM(I425:I427)*$B$18</f>
        <v>0</v>
      </c>
      <c r="E18" s="64"/>
      <c r="F18" s="64"/>
      <c r="G18" s="67"/>
      <c r="H18" s="233"/>
      <c r="I18" s="237" t="str">
        <f>" X "&amp;36-B5&amp; "   "</f>
        <v xml:space="preserve"> X 12   </v>
      </c>
      <c r="J18" s="233" t="s">
        <v>352</v>
      </c>
      <c r="K18" s="237" t="str">
        <f>" X "&amp;48-B5&amp; "   "</f>
        <v xml:space="preserve"> X 24   </v>
      </c>
      <c r="L18" s="233" t="s">
        <v>352</v>
      </c>
    </row>
    <row r="19" spans="1:13" ht="9.9499999999999993" hidden="1" customHeight="1" thickTop="1" x14ac:dyDescent="0.3">
      <c r="A19" s="54"/>
      <c r="B19" s="219"/>
      <c r="C19" s="67"/>
      <c r="D19" s="220"/>
      <c r="E19" s="190"/>
      <c r="F19" s="227"/>
      <c r="G19" s="64"/>
      <c r="H19" s="192"/>
      <c r="I19" s="68"/>
      <c r="J19" s="190"/>
      <c r="K19" s="68"/>
      <c r="L19" s="68"/>
    </row>
    <row r="20" spans="1:13" ht="15" hidden="1" customHeight="1" x14ac:dyDescent="0.3">
      <c r="A20" s="66"/>
      <c r="B20" s="400" t="str">
        <f>"(A)"</f>
        <v>(A)</v>
      </c>
      <c r="C20" s="398">
        <f>(D16+D17+D18)</f>
        <v>0</v>
      </c>
      <c r="D20" s="398"/>
      <c r="E20" s="400" t="str">
        <f>"(B)"</f>
        <v>(B)</v>
      </c>
      <c r="F20" s="399">
        <f>(IF(D32=B371,24,36))*G16</f>
        <v>0</v>
      </c>
      <c r="G20" s="399"/>
      <c r="H20" s="400" t="str">
        <f>"(C)"</f>
        <v>(C)</v>
      </c>
      <c r="I20" s="399">
        <f>J13*(36-B5)</f>
        <v>0</v>
      </c>
      <c r="J20" s="400" t="str">
        <f>"(D)"</f>
        <v>(D)</v>
      </c>
      <c r="K20" s="399">
        <f>J13*(48-B5)</f>
        <v>0</v>
      </c>
      <c r="L20" s="68"/>
      <c r="M20" s="5"/>
    </row>
    <row r="21" spans="1:13" ht="15" hidden="1" customHeight="1" x14ac:dyDescent="0.3">
      <c r="A21" s="194"/>
      <c r="B21" s="400"/>
      <c r="C21" s="398"/>
      <c r="D21" s="398"/>
      <c r="E21" s="400"/>
      <c r="F21" s="399"/>
      <c r="G21" s="399"/>
      <c r="H21" s="400"/>
      <c r="I21" s="399"/>
      <c r="J21" s="400"/>
      <c r="K21" s="399"/>
      <c r="L21" s="68"/>
      <c r="M21" s="5"/>
    </row>
    <row r="22" spans="1:13" ht="24.95" hidden="1" customHeight="1" x14ac:dyDescent="0.3">
      <c r="A22" s="54"/>
      <c r="B22" s="219"/>
      <c r="C22" s="67"/>
      <c r="D22" s="221" t="str">
        <f>"Ingreso Unico al comienzo"</f>
        <v>Ingreso Unico al comienzo</v>
      </c>
      <c r="E22" s="190"/>
      <c r="F22" s="227"/>
      <c r="G22" s="221" t="str">
        <f>"Ingreso Total Después de "&amp;B5&amp;"meses"</f>
        <v>Ingreso Total Después de 24meses</v>
      </c>
      <c r="H22" s="64"/>
      <c r="I22" s="221" t="str">
        <f>"Ingreso Adicional"</f>
        <v>Ingreso Adicional</v>
      </c>
      <c r="J22" s="68"/>
      <c r="K22" s="221" t="str">
        <f>"Ingreso Adicional"</f>
        <v>Ingreso Adicional</v>
      </c>
      <c r="L22" s="68"/>
    </row>
    <row r="23" spans="1:13" ht="24.95" hidden="1" customHeight="1" x14ac:dyDescent="0.3">
      <c r="A23" s="54"/>
      <c r="B23" s="219"/>
      <c r="C23" s="234"/>
      <c r="D23" s="234"/>
      <c r="E23" s="236" t="s">
        <v>348</v>
      </c>
      <c r="F23" s="401">
        <f>F20+C20</f>
        <v>0</v>
      </c>
      <c r="G23" s="401"/>
      <c r="H23" s="235" t="str">
        <f>"(A)+(B)+(C)"</f>
        <v>(A)+(B)+(C)</v>
      </c>
      <c r="I23" s="413">
        <f>I20+F23</f>
        <v>0</v>
      </c>
      <c r="J23" s="235" t="str">
        <f>"(A)+(B)+(D)"</f>
        <v>(A)+(B)+(D)</v>
      </c>
      <c r="K23" s="414">
        <f>F23+K20</f>
        <v>0</v>
      </c>
      <c r="L23" s="68"/>
    </row>
    <row r="24" spans="1:13" ht="24.95" hidden="1" customHeight="1" x14ac:dyDescent="0.3">
      <c r="A24" s="194"/>
      <c r="B24" s="69"/>
      <c r="C24" s="64"/>
      <c r="D24" s="64"/>
      <c r="E24" s="64"/>
      <c r="F24" s="401"/>
      <c r="G24" s="401"/>
      <c r="H24" s="354" t="s">
        <v>500</v>
      </c>
      <c r="I24" s="413"/>
      <c r="J24" s="68"/>
      <c r="K24" s="414"/>
      <c r="L24" s="68"/>
    </row>
    <row r="25" spans="1:13" ht="24.95" hidden="1" customHeight="1" x14ac:dyDescent="0.3">
      <c r="A25" s="54"/>
      <c r="B25" s="69"/>
      <c r="C25" s="64"/>
      <c r="D25" s="64"/>
      <c r="E25" s="64"/>
      <c r="F25" s="64"/>
      <c r="G25" s="221" t="str">
        <f>G22</f>
        <v>Ingreso Total Después de 24meses</v>
      </c>
      <c r="H25" s="193"/>
      <c r="I25" s="221" t="str">
        <f>"Ingreso Después de "&amp;(36)&amp;"meses"</f>
        <v>Ingreso Después de 36meses</v>
      </c>
      <c r="J25" s="68"/>
      <c r="K25" s="221" t="str">
        <f>"Ingreso Después de "&amp;(48)&amp;"meses"</f>
        <v>Ingreso Después de 48meses</v>
      </c>
      <c r="L25" s="64"/>
    </row>
    <row r="26" spans="1:13" ht="24.95" hidden="1" customHeight="1" x14ac:dyDescent="0.3">
      <c r="A26" s="64"/>
      <c r="B26" s="64"/>
      <c r="C26" s="195"/>
      <c r="D26" s="195"/>
      <c r="E26" s="195"/>
      <c r="F26" s="195"/>
      <c r="G26" s="195"/>
      <c r="H26" s="195"/>
      <c r="I26" s="64"/>
      <c r="J26" s="64"/>
      <c r="K26" s="64"/>
      <c r="L26" s="64"/>
    </row>
    <row r="27" spans="1:13" ht="24.95" hidden="1" customHeight="1" x14ac:dyDescent="0.3">
      <c r="A27" s="54"/>
      <c r="B27" s="69"/>
      <c r="C27" s="64"/>
      <c r="D27" s="64"/>
      <c r="E27" s="64"/>
      <c r="F27" s="190"/>
      <c r="G27" s="64"/>
      <c r="H27" s="64"/>
      <c r="I27" s="64"/>
      <c r="J27" s="64"/>
      <c r="K27" s="64"/>
      <c r="L27" s="64"/>
    </row>
    <row r="28" spans="1:13" ht="24.95" customHeight="1" x14ac:dyDescent="0.3">
      <c r="A28" s="54"/>
      <c r="B28" s="69"/>
      <c r="C28" s="64"/>
      <c r="D28" s="64"/>
      <c r="E28" s="64"/>
      <c r="F28" s="190"/>
      <c r="G28" s="190" t="str">
        <f>G22</f>
        <v>Ingreso Total Después de 24meses</v>
      </c>
      <c r="H28" s="64"/>
      <c r="I28" s="64"/>
      <c r="J28" s="64"/>
      <c r="K28" s="64"/>
      <c r="L28" s="64"/>
    </row>
    <row r="29" spans="1:13" ht="42" customHeight="1" x14ac:dyDescent="0.3">
      <c r="A29" s="54"/>
      <c r="B29" s="69"/>
      <c r="C29" s="64"/>
      <c r="D29" s="64"/>
      <c r="E29" s="64"/>
      <c r="F29" s="64"/>
      <c r="G29" s="64"/>
      <c r="H29" s="64"/>
      <c r="I29" s="64"/>
      <c r="J29" s="64"/>
      <c r="K29" s="64"/>
      <c r="L29" s="64"/>
    </row>
    <row r="30" spans="1:13" ht="25.5" x14ac:dyDescent="0.35">
      <c r="A30" s="42">
        <v>1</v>
      </c>
      <c r="B30" s="72" t="s">
        <v>605</v>
      </c>
      <c r="E30" s="71"/>
      <c r="F30" s="74"/>
      <c r="G30" s="74"/>
      <c r="H30" s="74"/>
    </row>
    <row r="31" spans="1:13" ht="19.5" thickBot="1" x14ac:dyDescent="0.35">
      <c r="A31" s="43"/>
      <c r="B31" s="73"/>
      <c r="E31" s="74"/>
      <c r="F31" s="74"/>
      <c r="G31" s="74"/>
      <c r="H31" s="74"/>
    </row>
    <row r="32" spans="1:13" ht="20.100000000000001" customHeight="1" thickBot="1" x14ac:dyDescent="0.35">
      <c r="A32" s="44" t="s">
        <v>221</v>
      </c>
      <c r="B32" s="70" t="s">
        <v>608</v>
      </c>
      <c r="D32" s="285" t="s">
        <v>0</v>
      </c>
    </row>
    <row r="33" spans="1:11" ht="20.100000000000001" customHeight="1" x14ac:dyDescent="0.3">
      <c r="A33" s="43"/>
    </row>
    <row r="34" spans="1:11" ht="20.100000000000001" customHeight="1" x14ac:dyDescent="0.35">
      <c r="A34" s="42">
        <v>2</v>
      </c>
      <c r="B34" s="72" t="s">
        <v>222</v>
      </c>
      <c r="C34" s="75"/>
      <c r="D34" s="75"/>
    </row>
    <row r="35" spans="1:11" ht="20.100000000000001" customHeight="1" thickBot="1" x14ac:dyDescent="0.35">
      <c r="A35" s="43"/>
    </row>
    <row r="36" spans="1:11" ht="20.100000000000001" customHeight="1" thickBot="1" x14ac:dyDescent="0.35">
      <c r="A36" s="44" t="s">
        <v>223</v>
      </c>
      <c r="B36" s="70" t="s">
        <v>609</v>
      </c>
      <c r="C36" s="70"/>
      <c r="D36" s="286">
        <v>0</v>
      </c>
      <c r="I36" s="63"/>
    </row>
    <row r="37" spans="1:11" ht="20.100000000000001" customHeight="1" thickBot="1" x14ac:dyDescent="0.35">
      <c r="A37" s="43"/>
      <c r="C37" s="70"/>
      <c r="I37" s="63"/>
    </row>
    <row r="38" spans="1:11" ht="20.100000000000001" customHeight="1" thickBot="1" x14ac:dyDescent="0.35">
      <c r="A38" s="44" t="s">
        <v>2</v>
      </c>
      <c r="B38" s="70" t="s">
        <v>610</v>
      </c>
      <c r="C38" s="70"/>
      <c r="D38" s="286">
        <v>0</v>
      </c>
      <c r="I38" s="63"/>
    </row>
    <row r="39" spans="1:11" ht="20.100000000000001" customHeight="1" thickBot="1" x14ac:dyDescent="0.35">
      <c r="A39" s="43"/>
      <c r="C39" s="70"/>
      <c r="I39" s="63"/>
    </row>
    <row r="40" spans="1:11" ht="20.100000000000001" customHeight="1" thickBot="1" x14ac:dyDescent="0.35">
      <c r="A40" s="44" t="s">
        <v>5</v>
      </c>
      <c r="B40" s="76" t="s">
        <v>255</v>
      </c>
      <c r="C40" s="76"/>
      <c r="D40" s="287" t="s">
        <v>530</v>
      </c>
      <c r="I40" s="63"/>
    </row>
    <row r="41" spans="1:11" ht="20.100000000000001" customHeight="1" x14ac:dyDescent="0.3">
      <c r="A41" s="43"/>
      <c r="B41" s="77"/>
      <c r="C41" s="77"/>
      <c r="I41" s="63"/>
    </row>
    <row r="42" spans="1:11" ht="20.100000000000001" customHeight="1" x14ac:dyDescent="0.3">
      <c r="A42" s="43"/>
      <c r="F42" s="381" t="s">
        <v>234</v>
      </c>
      <c r="G42" s="78"/>
      <c r="H42" s="78"/>
    </row>
    <row r="43" spans="1:11" ht="20.100000000000001" customHeight="1" x14ac:dyDescent="0.3"/>
    <row r="44" spans="1:11" ht="18.75" x14ac:dyDescent="0.3">
      <c r="B44" s="79" t="s">
        <v>7</v>
      </c>
      <c r="C44" s="256" t="s">
        <v>585</v>
      </c>
      <c r="D44" s="80" t="s">
        <v>586</v>
      </c>
      <c r="E44" s="80" t="s">
        <v>587</v>
      </c>
      <c r="F44" s="80" t="s">
        <v>588</v>
      </c>
      <c r="G44" s="80" t="s">
        <v>589</v>
      </c>
      <c r="H44" s="80" t="s">
        <v>590</v>
      </c>
      <c r="I44" s="80" t="s">
        <v>329</v>
      </c>
      <c r="K44" s="211"/>
    </row>
    <row r="45" spans="1:11" ht="18.75" x14ac:dyDescent="0.3">
      <c r="A45" s="416" t="s">
        <v>196</v>
      </c>
      <c r="B45" s="81" t="s">
        <v>364</v>
      </c>
      <c r="C45" s="257"/>
      <c r="D45" s="82"/>
      <c r="E45" s="82"/>
      <c r="F45" s="82"/>
      <c r="G45" s="82"/>
      <c r="H45" s="82"/>
      <c r="I45" s="82"/>
    </row>
    <row r="46" spans="1:11" ht="57" x14ac:dyDescent="0.3">
      <c r="A46" s="416"/>
      <c r="B46" s="83" t="s">
        <v>14</v>
      </c>
      <c r="C46" s="258" t="s">
        <v>652</v>
      </c>
      <c r="D46" s="84" t="s">
        <v>617</v>
      </c>
      <c r="E46" s="84" t="s">
        <v>618</v>
      </c>
      <c r="F46" s="84" t="s">
        <v>619</v>
      </c>
      <c r="G46" s="84" t="s">
        <v>620</v>
      </c>
      <c r="H46" s="84" t="s">
        <v>621</v>
      </c>
      <c r="I46" s="353" t="s">
        <v>638</v>
      </c>
    </row>
    <row r="47" spans="1:11" x14ac:dyDescent="0.3">
      <c r="A47" s="416"/>
      <c r="B47" s="70" t="s">
        <v>1</v>
      </c>
      <c r="C47" s="259">
        <v>2</v>
      </c>
      <c r="D47" s="85">
        <v>3</v>
      </c>
      <c r="E47" s="85">
        <v>4</v>
      </c>
      <c r="F47" s="85">
        <v>6</v>
      </c>
      <c r="G47" s="85">
        <v>8</v>
      </c>
      <c r="H47" s="85">
        <v>12</v>
      </c>
      <c r="I47" s="90">
        <f>D36</f>
        <v>0</v>
      </c>
    </row>
    <row r="48" spans="1:11" x14ac:dyDescent="0.3">
      <c r="A48" s="416"/>
      <c r="B48" s="70" t="s">
        <v>511</v>
      </c>
      <c r="C48" s="259">
        <v>2</v>
      </c>
      <c r="D48" s="85">
        <v>2</v>
      </c>
      <c r="E48" s="85">
        <v>2</v>
      </c>
      <c r="F48" s="85">
        <v>2</v>
      </c>
      <c r="G48" s="85">
        <v>2</v>
      </c>
      <c r="H48" s="85">
        <v>2</v>
      </c>
      <c r="I48" s="277">
        <v>0</v>
      </c>
    </row>
    <row r="49" spans="1:9" x14ac:dyDescent="0.3">
      <c r="A49" s="416"/>
      <c r="B49" s="86" t="s">
        <v>3</v>
      </c>
      <c r="C49" s="260">
        <v>8</v>
      </c>
      <c r="D49" s="87">
        <v>12</v>
      </c>
      <c r="E49" s="87">
        <v>16</v>
      </c>
      <c r="F49" s="87">
        <v>24</v>
      </c>
      <c r="G49" s="87">
        <v>32</v>
      </c>
      <c r="H49" s="87">
        <v>48</v>
      </c>
      <c r="I49" s="278">
        <v>0</v>
      </c>
    </row>
    <row r="50" spans="1:9" x14ac:dyDescent="0.3">
      <c r="A50" s="416"/>
      <c r="B50" s="86" t="s">
        <v>406</v>
      </c>
      <c r="C50" s="260">
        <v>4</v>
      </c>
      <c r="D50" s="87">
        <v>4</v>
      </c>
      <c r="E50" s="87">
        <v>4</v>
      </c>
      <c r="F50" s="87">
        <v>4</v>
      </c>
      <c r="G50" s="87">
        <v>4</v>
      </c>
      <c r="H50" s="87">
        <v>4</v>
      </c>
      <c r="I50" s="278">
        <v>0</v>
      </c>
    </row>
    <row r="51" spans="1:9" x14ac:dyDescent="0.3">
      <c r="A51" s="416"/>
      <c r="B51" s="70" t="s">
        <v>15</v>
      </c>
      <c r="C51" s="259">
        <v>1</v>
      </c>
      <c r="D51" s="85">
        <v>1</v>
      </c>
      <c r="E51" s="85">
        <v>2</v>
      </c>
      <c r="F51" s="85">
        <v>2</v>
      </c>
      <c r="G51" s="85">
        <v>2</v>
      </c>
      <c r="H51" s="85">
        <v>2</v>
      </c>
      <c r="I51" s="279">
        <v>0</v>
      </c>
    </row>
    <row r="52" spans="1:9" x14ac:dyDescent="0.3">
      <c r="A52" s="416"/>
      <c r="B52" s="86" t="s">
        <v>122</v>
      </c>
      <c r="C52" s="260" t="s">
        <v>121</v>
      </c>
      <c r="D52" s="87" t="s">
        <v>121</v>
      </c>
      <c r="E52" s="87" t="s">
        <v>121</v>
      </c>
      <c r="F52" s="87" t="s">
        <v>121</v>
      </c>
      <c r="G52" s="87" t="s">
        <v>121</v>
      </c>
      <c r="H52" s="87" t="s">
        <v>121</v>
      </c>
      <c r="I52" s="87" t="s">
        <v>121</v>
      </c>
    </row>
    <row r="53" spans="1:9" ht="33" x14ac:dyDescent="0.3">
      <c r="A53" s="416"/>
      <c r="B53" s="88" t="s">
        <v>119</v>
      </c>
      <c r="C53" s="261" t="str">
        <f>TEXT(M457,"#0,00 €")</f>
        <v>8,80 €</v>
      </c>
      <c r="D53" s="89" t="str">
        <f>TEXT(M458,"#0,00 €")</f>
        <v>7,03 €</v>
      </c>
      <c r="E53" s="89" t="str">
        <f>TEXT(M459,"#0,00 €")</f>
        <v>6,14 €</v>
      </c>
      <c r="F53" s="89" t="str">
        <f>TEXT(M460,"#0,00 €")</f>
        <v>5,26 €</v>
      </c>
      <c r="G53" s="89" t="str">
        <f>TEXT(M461,"#0,00 €")</f>
        <v>5,29 €</v>
      </c>
      <c r="H53" s="89" t="str">
        <f>TEXT(M462,"#0,00 €")</f>
        <v>4,69 €</v>
      </c>
      <c r="I53" s="89" t="str">
        <f>TEXT(IF(I49=0,0,N463),"#0,00 €")</f>
        <v>0,00 €</v>
      </c>
    </row>
    <row r="54" spans="1:9" ht="18" x14ac:dyDescent="0.3">
      <c r="A54" s="416"/>
      <c r="B54" s="86" t="s">
        <v>330</v>
      </c>
      <c r="C54" s="262"/>
      <c r="D54" s="86"/>
      <c r="E54" s="86"/>
      <c r="F54" s="86"/>
      <c r="G54" s="86"/>
      <c r="H54" s="86"/>
      <c r="I54" s="280">
        <v>0</v>
      </c>
    </row>
    <row r="55" spans="1:9" x14ac:dyDescent="0.3">
      <c r="A55" s="416"/>
      <c r="C55" s="259"/>
      <c r="D55" s="85"/>
      <c r="E55" s="85"/>
      <c r="F55" s="85"/>
      <c r="G55" s="85"/>
      <c r="H55" s="85"/>
      <c r="I55" s="85"/>
    </row>
    <row r="56" spans="1:9" x14ac:dyDescent="0.3">
      <c r="A56" s="416"/>
      <c r="B56" s="86" t="s">
        <v>16</v>
      </c>
      <c r="C56" s="260" t="str">
        <f t="shared" ref="C56:I56" si="0">IF($D$40=$B$377,"No Incluído","1 x CP400")</f>
        <v>1 x CP400</v>
      </c>
      <c r="D56" s="87" t="str">
        <f t="shared" si="0"/>
        <v>1 x CP400</v>
      </c>
      <c r="E56" s="87" t="str">
        <f t="shared" si="0"/>
        <v>1 x CP400</v>
      </c>
      <c r="F56" s="87" t="str">
        <f t="shared" si="0"/>
        <v>1 x CP400</v>
      </c>
      <c r="G56" s="87" t="str">
        <f t="shared" si="0"/>
        <v>1 x CP400</v>
      </c>
      <c r="H56" s="87" t="str">
        <f t="shared" si="0"/>
        <v>1 x CP400</v>
      </c>
      <c r="I56" s="87" t="str">
        <f t="shared" si="0"/>
        <v>1 x CP400</v>
      </c>
    </row>
    <row r="57" spans="1:9" x14ac:dyDescent="0.3">
      <c r="A57" s="416"/>
      <c r="B57" s="70" t="s">
        <v>131</v>
      </c>
      <c r="C57" s="263">
        <f>C387</f>
        <v>0</v>
      </c>
      <c r="D57" s="90">
        <f t="shared" ref="D57:I57" si="1">C57</f>
        <v>0</v>
      </c>
      <c r="E57" s="90">
        <f t="shared" si="1"/>
        <v>0</v>
      </c>
      <c r="F57" s="90">
        <f t="shared" si="1"/>
        <v>0</v>
      </c>
      <c r="G57" s="90">
        <f t="shared" si="1"/>
        <v>0</v>
      </c>
      <c r="H57" s="90">
        <f t="shared" si="1"/>
        <v>0</v>
      </c>
      <c r="I57" s="90">
        <f t="shared" si="1"/>
        <v>0</v>
      </c>
    </row>
    <row r="58" spans="1:9" ht="18.75" x14ac:dyDescent="0.3">
      <c r="B58" s="91"/>
      <c r="C58" s="263"/>
      <c r="D58" s="90"/>
      <c r="E58" s="90"/>
      <c r="F58" s="90"/>
      <c r="G58" s="90"/>
      <c r="H58" s="90"/>
      <c r="I58" s="90"/>
    </row>
    <row r="59" spans="1:9" ht="18.75" x14ac:dyDescent="0.3">
      <c r="B59" s="81" t="s">
        <v>130</v>
      </c>
      <c r="C59" s="263"/>
      <c r="D59" s="90"/>
      <c r="E59" s="90"/>
      <c r="F59" s="90"/>
      <c r="G59" s="90"/>
      <c r="H59" s="90"/>
      <c r="I59" s="90"/>
    </row>
    <row r="60" spans="1:9" x14ac:dyDescent="0.3">
      <c r="A60" s="395" t="s">
        <v>365</v>
      </c>
      <c r="B60" s="92" t="s">
        <v>17</v>
      </c>
      <c r="C60" s="264" t="str">
        <f t="shared" ref="C60:I60" si="2">IF($H$473,"No","")&amp;" Incluída"</f>
        <v xml:space="preserve"> Incluída</v>
      </c>
      <c r="D60" s="93" t="str">
        <f t="shared" si="2"/>
        <v xml:space="preserve"> Incluída</v>
      </c>
      <c r="E60" s="93" t="str">
        <f t="shared" si="2"/>
        <v xml:space="preserve"> Incluída</v>
      </c>
      <c r="F60" s="93" t="str">
        <f t="shared" si="2"/>
        <v xml:space="preserve"> Incluída</v>
      </c>
      <c r="G60" s="93" t="str">
        <f t="shared" si="2"/>
        <v xml:space="preserve"> Incluída</v>
      </c>
      <c r="H60" s="93" t="str">
        <f t="shared" si="2"/>
        <v xml:space="preserve"> Incluída</v>
      </c>
      <c r="I60" s="93" t="str">
        <f t="shared" si="2"/>
        <v xml:space="preserve"> Incluída</v>
      </c>
    </row>
    <row r="61" spans="1:9" x14ac:dyDescent="0.3">
      <c r="A61" s="395"/>
      <c r="B61" s="70" t="s">
        <v>242</v>
      </c>
      <c r="C61" s="265" t="str">
        <f t="shared" ref="C61:I61" si="3">TEXT($I$481,"#.##0,00€")</f>
        <v>0,00€</v>
      </c>
      <c r="D61" s="90" t="str">
        <f t="shared" si="3"/>
        <v>0,00€</v>
      </c>
      <c r="E61" s="90" t="str">
        <f t="shared" si="3"/>
        <v>0,00€</v>
      </c>
      <c r="F61" s="90" t="str">
        <f t="shared" si="3"/>
        <v>0,00€</v>
      </c>
      <c r="G61" s="90" t="str">
        <f t="shared" si="3"/>
        <v>0,00€</v>
      </c>
      <c r="H61" s="90" t="str">
        <f t="shared" si="3"/>
        <v>0,00€</v>
      </c>
      <c r="I61" s="90" t="str">
        <f t="shared" si="3"/>
        <v>0,00€</v>
      </c>
    </row>
    <row r="62" spans="1:9" x14ac:dyDescent="0.3">
      <c r="A62" s="395"/>
      <c r="B62" s="92" t="s">
        <v>244</v>
      </c>
      <c r="C62" s="264" t="s">
        <v>235</v>
      </c>
      <c r="D62" s="93" t="s">
        <v>235</v>
      </c>
      <c r="E62" s="93" t="s">
        <v>235</v>
      </c>
      <c r="F62" s="93" t="s">
        <v>235</v>
      </c>
      <c r="G62" s="93" t="s">
        <v>235</v>
      </c>
      <c r="H62" s="93" t="s">
        <v>235</v>
      </c>
      <c r="I62" s="93" t="s">
        <v>235</v>
      </c>
    </row>
    <row r="63" spans="1:9" x14ac:dyDescent="0.3">
      <c r="A63" s="395"/>
      <c r="B63" s="70" t="s">
        <v>245</v>
      </c>
      <c r="C63" s="259" t="str">
        <f t="shared" ref="C63:I63" si="4">IF($H$483,"No Incluída",$G$471&amp;CHOOSE( $G$471," Año"," Años"))</f>
        <v>1 Año</v>
      </c>
      <c r="D63" s="85" t="str">
        <f t="shared" si="4"/>
        <v>1 Año</v>
      </c>
      <c r="E63" s="85" t="str">
        <f t="shared" si="4"/>
        <v>1 Año</v>
      </c>
      <c r="F63" s="85" t="str">
        <f t="shared" si="4"/>
        <v>1 Año</v>
      </c>
      <c r="G63" s="85" t="str">
        <f t="shared" si="4"/>
        <v>1 Año</v>
      </c>
      <c r="H63" s="85" t="str">
        <f t="shared" si="4"/>
        <v>1 Año</v>
      </c>
      <c r="I63" s="85" t="str">
        <f t="shared" si="4"/>
        <v>1 Año</v>
      </c>
    </row>
    <row r="64" spans="1:9" x14ac:dyDescent="0.3">
      <c r="A64" s="395"/>
      <c r="B64" s="92" t="s">
        <v>243</v>
      </c>
      <c r="C64" s="266" t="str">
        <f t="shared" ref="C64:I64" si="5">TEXT($I$485+$I$484,"#.###0,00€")</f>
        <v>0,00€</v>
      </c>
      <c r="D64" s="94" t="str">
        <f t="shared" si="5"/>
        <v>0,00€</v>
      </c>
      <c r="E64" s="94" t="str">
        <f t="shared" si="5"/>
        <v>0,00€</v>
      </c>
      <c r="F64" s="94" t="str">
        <f t="shared" si="5"/>
        <v>0,00€</v>
      </c>
      <c r="G64" s="94" t="str">
        <f t="shared" si="5"/>
        <v>0,00€</v>
      </c>
      <c r="H64" s="94" t="str">
        <f t="shared" si="5"/>
        <v>0,00€</v>
      </c>
      <c r="I64" s="94" t="str">
        <f t="shared" si="5"/>
        <v>0,00€</v>
      </c>
    </row>
    <row r="65" spans="1:9" x14ac:dyDescent="0.3">
      <c r="A65" s="395"/>
      <c r="B65" s="70" t="s">
        <v>53</v>
      </c>
      <c r="C65" s="259" t="str">
        <f>IF(PRINCIPAL!E179&gt;0,"","No ")&amp;"Incluída"</f>
        <v>No Incluída</v>
      </c>
      <c r="D65" s="85" t="str">
        <f>C65</f>
        <v>No Incluída</v>
      </c>
      <c r="E65" s="85" t="str">
        <f>C65</f>
        <v>No Incluída</v>
      </c>
      <c r="F65" s="85" t="str">
        <f>C65</f>
        <v>No Incluída</v>
      </c>
      <c r="G65" s="85" t="str">
        <f>C65</f>
        <v>No Incluída</v>
      </c>
      <c r="H65" s="85" t="str">
        <f>C65</f>
        <v>No Incluída</v>
      </c>
      <c r="I65" s="85" t="str">
        <f>D65</f>
        <v>No Incluída</v>
      </c>
    </row>
    <row r="66" spans="1:9" x14ac:dyDescent="0.3">
      <c r="A66" s="395"/>
      <c r="B66" s="92" t="s">
        <v>246</v>
      </c>
      <c r="C66" s="266" t="str">
        <f t="shared" ref="C66:I66" si="6">TEXT($I$486,"#.#0,00€")</f>
        <v>0,00€</v>
      </c>
      <c r="D66" s="94" t="str">
        <f t="shared" si="6"/>
        <v>0,00€</v>
      </c>
      <c r="E66" s="94" t="str">
        <f t="shared" si="6"/>
        <v>0,00€</v>
      </c>
      <c r="F66" s="94" t="str">
        <f t="shared" si="6"/>
        <v>0,00€</v>
      </c>
      <c r="G66" s="94" t="str">
        <f t="shared" si="6"/>
        <v>0,00€</v>
      </c>
      <c r="H66" s="94" t="str">
        <f t="shared" si="6"/>
        <v>0,00€</v>
      </c>
      <c r="I66" s="94" t="str">
        <f t="shared" si="6"/>
        <v>0,00€</v>
      </c>
    </row>
    <row r="67" spans="1:9" x14ac:dyDescent="0.3">
      <c r="A67" s="395"/>
      <c r="B67" s="70" t="s">
        <v>54</v>
      </c>
      <c r="C67" s="259" t="str">
        <f>IF(PRINCIPAL!E182&gt;0,"","No ")&amp;"Incluída"</f>
        <v>No Incluída</v>
      </c>
      <c r="D67" s="85" t="str">
        <f>C67</f>
        <v>No Incluída</v>
      </c>
      <c r="E67" s="85" t="str">
        <f>C67</f>
        <v>No Incluída</v>
      </c>
      <c r="F67" s="85" t="str">
        <f>C67</f>
        <v>No Incluída</v>
      </c>
      <c r="G67" s="85" t="str">
        <f>C67</f>
        <v>No Incluída</v>
      </c>
      <c r="H67" s="85" t="str">
        <f>C67</f>
        <v>No Incluída</v>
      </c>
      <c r="I67" s="85" t="str">
        <f>D67</f>
        <v>No Incluída</v>
      </c>
    </row>
    <row r="68" spans="1:9" x14ac:dyDescent="0.3">
      <c r="A68" s="174"/>
      <c r="B68" s="92" t="s">
        <v>247</v>
      </c>
      <c r="C68" s="266" t="str">
        <f t="shared" ref="C68:I68" si="7">TEXT($I$487,"#.#0,00€")</f>
        <v>0,00€</v>
      </c>
      <c r="D68" s="94" t="str">
        <f t="shared" si="7"/>
        <v>0,00€</v>
      </c>
      <c r="E68" s="94" t="str">
        <f t="shared" si="7"/>
        <v>0,00€</v>
      </c>
      <c r="F68" s="94" t="str">
        <f t="shared" si="7"/>
        <v>0,00€</v>
      </c>
      <c r="G68" s="94" t="str">
        <f t="shared" si="7"/>
        <v>0,00€</v>
      </c>
      <c r="H68" s="94" t="str">
        <f t="shared" si="7"/>
        <v>0,00€</v>
      </c>
      <c r="I68" s="94" t="str">
        <f t="shared" si="7"/>
        <v>0,00€</v>
      </c>
    </row>
    <row r="69" spans="1:9" ht="18.75" x14ac:dyDescent="0.3">
      <c r="B69" s="91"/>
      <c r="C69" s="263"/>
      <c r="D69" s="90"/>
      <c r="E69" s="90"/>
      <c r="F69" s="90"/>
      <c r="G69" s="90"/>
      <c r="H69" s="90"/>
      <c r="I69" s="90"/>
    </row>
    <row r="70" spans="1:9" ht="18.75" x14ac:dyDescent="0.3">
      <c r="A70" s="415" t="s">
        <v>366</v>
      </c>
      <c r="B70" s="81" t="str">
        <f>"Incluyendo la Tarifa Plana Llamadas "&amp;PRINCIPAL!E247&amp;" de FIBRA a Internet"</f>
        <v>Incluyendo la Tarifa Plana Llamadas Sin Conexión de FIBRA a Internet</v>
      </c>
      <c r="C70" s="259"/>
      <c r="D70" s="85"/>
      <c r="E70" s="85"/>
      <c r="F70" s="85"/>
      <c r="G70" s="85"/>
      <c r="H70" s="85"/>
      <c r="I70" s="85"/>
    </row>
    <row r="71" spans="1:9" x14ac:dyDescent="0.3">
      <c r="A71" s="415"/>
      <c r="B71" s="70" t="s">
        <v>210</v>
      </c>
      <c r="C71" s="259">
        <v>2</v>
      </c>
      <c r="D71" s="85">
        <v>3</v>
      </c>
      <c r="E71" s="85">
        <v>4</v>
      </c>
      <c r="F71" s="85">
        <v>6</v>
      </c>
      <c r="G71" s="85">
        <v>8</v>
      </c>
      <c r="H71" s="85">
        <v>12</v>
      </c>
      <c r="I71" s="85">
        <v>12</v>
      </c>
    </row>
    <row r="72" spans="1:9" ht="16.5" customHeight="1" x14ac:dyDescent="0.3">
      <c r="A72" s="415"/>
      <c r="B72" s="95" t="s">
        <v>197</v>
      </c>
      <c r="C72" s="267">
        <v>1</v>
      </c>
      <c r="D72" s="96">
        <v>1</v>
      </c>
      <c r="E72" s="96">
        <v>1</v>
      </c>
      <c r="F72" s="96">
        <v>1</v>
      </c>
      <c r="G72" s="96">
        <v>1</v>
      </c>
      <c r="H72" s="96">
        <v>2</v>
      </c>
      <c r="I72" s="96">
        <v>2</v>
      </c>
    </row>
    <row r="73" spans="1:9" x14ac:dyDescent="0.3">
      <c r="A73" s="415"/>
      <c r="B73" s="70" t="s">
        <v>18</v>
      </c>
      <c r="C73" s="259" t="s">
        <v>19</v>
      </c>
      <c r="D73" s="85" t="s">
        <v>19</v>
      </c>
      <c r="E73" s="85" t="s">
        <v>19</v>
      </c>
      <c r="F73" s="85" t="s">
        <v>19</v>
      </c>
      <c r="G73" s="85" t="s">
        <v>19</v>
      </c>
      <c r="H73" s="85" t="s">
        <v>19</v>
      </c>
      <c r="I73" s="85" t="s">
        <v>19</v>
      </c>
    </row>
    <row r="74" spans="1:9" x14ac:dyDescent="0.3">
      <c r="A74" s="415"/>
      <c r="B74" s="95" t="s">
        <v>20</v>
      </c>
      <c r="C74" s="267" t="s">
        <v>21</v>
      </c>
      <c r="D74" s="96" t="s">
        <v>21</v>
      </c>
      <c r="E74" s="96" t="s">
        <v>21</v>
      </c>
      <c r="F74" s="96" t="s">
        <v>21</v>
      </c>
      <c r="G74" s="96" t="s">
        <v>21</v>
      </c>
      <c r="H74" s="96" t="s">
        <v>21</v>
      </c>
      <c r="I74" s="96" t="s">
        <v>21</v>
      </c>
    </row>
    <row r="75" spans="1:9" x14ac:dyDescent="0.3">
      <c r="A75" s="415"/>
      <c r="B75" s="70" t="s">
        <v>236</v>
      </c>
      <c r="C75" s="259" t="s">
        <v>21</v>
      </c>
      <c r="D75" s="85" t="s">
        <v>21</v>
      </c>
      <c r="E75" s="85" t="s">
        <v>21</v>
      </c>
      <c r="F75" s="85" t="s">
        <v>21</v>
      </c>
      <c r="G75" s="85" t="s">
        <v>21</v>
      </c>
      <c r="H75" s="85" t="s">
        <v>21</v>
      </c>
      <c r="I75" s="85" t="s">
        <v>21</v>
      </c>
    </row>
    <row r="76" spans="1:9" x14ac:dyDescent="0.3">
      <c r="A76" s="415"/>
      <c r="B76" s="95" t="s">
        <v>22</v>
      </c>
      <c r="C76" s="268">
        <f>IF(PRINCIPAL!$E$247=PRINCIPAL!B310,0,D506)</f>
        <v>0</v>
      </c>
      <c r="D76" s="97">
        <f>C76</f>
        <v>0</v>
      </c>
      <c r="E76" s="97">
        <f>C76</f>
        <v>0</v>
      </c>
      <c r="F76" s="97">
        <f>C76</f>
        <v>0</v>
      </c>
      <c r="G76" s="97">
        <f>C76</f>
        <v>0</v>
      </c>
      <c r="H76" s="97">
        <f>C76</f>
        <v>0</v>
      </c>
      <c r="I76" s="97">
        <f>D76</f>
        <v>0</v>
      </c>
    </row>
    <row r="77" spans="1:9" x14ac:dyDescent="0.3">
      <c r="A77" s="415"/>
      <c r="B77" s="70" t="s">
        <v>23</v>
      </c>
      <c r="C77" s="259" t="str">
        <f>IF(PRINCIPAL!$E$247=PRINCIPAL!B310,"No Incluída","FIBRA 300MB")</f>
        <v>No Incluída</v>
      </c>
      <c r="D77" s="85" t="str">
        <f>C77</f>
        <v>No Incluída</v>
      </c>
      <c r="E77" s="85" t="str">
        <f>C77</f>
        <v>No Incluída</v>
      </c>
      <c r="F77" s="85" t="str">
        <f>C77</f>
        <v>No Incluída</v>
      </c>
      <c r="G77" s="85" t="str">
        <f>C77</f>
        <v>No Incluída</v>
      </c>
      <c r="H77" s="85" t="str">
        <f>C77</f>
        <v>No Incluída</v>
      </c>
      <c r="I77" s="85" t="str">
        <f>D77</f>
        <v>No Incluída</v>
      </c>
    </row>
    <row r="78" spans="1:9" x14ac:dyDescent="0.3">
      <c r="C78" s="85"/>
      <c r="D78" s="85"/>
      <c r="E78" s="85"/>
      <c r="F78" s="85"/>
      <c r="G78" s="85"/>
      <c r="H78" s="85"/>
    </row>
    <row r="81" spans="1:12" ht="25.5" x14ac:dyDescent="0.35">
      <c r="A81" s="1" t="s">
        <v>133</v>
      </c>
      <c r="B81" s="355" t="s">
        <v>582</v>
      </c>
    </row>
    <row r="82" spans="1:12" ht="16.5" customHeight="1" x14ac:dyDescent="0.3">
      <c r="K82" s="159"/>
      <c r="L82" s="159"/>
    </row>
    <row r="83" spans="1:12" ht="18" customHeight="1" x14ac:dyDescent="0.3">
      <c r="A83" s="1" t="s">
        <v>451</v>
      </c>
      <c r="B83" s="70" t="s">
        <v>24</v>
      </c>
      <c r="C83" s="402" t="s">
        <v>313</v>
      </c>
      <c r="D83" s="402"/>
      <c r="E83" s="402"/>
      <c r="F83" s="402"/>
      <c r="G83" s="402"/>
      <c r="H83" s="402"/>
      <c r="I83" s="402"/>
      <c r="J83" s="417"/>
      <c r="K83" s="161" t="s">
        <v>315</v>
      </c>
      <c r="L83" s="160"/>
    </row>
    <row r="84" spans="1:12" ht="120" customHeight="1" x14ac:dyDescent="0.3">
      <c r="D84"/>
      <c r="E84"/>
      <c r="F84"/>
      <c r="G84"/>
      <c r="H84"/>
      <c r="I84" s="18"/>
      <c r="L84" s="159"/>
    </row>
    <row r="85" spans="1:12" ht="20.25" x14ac:dyDescent="0.3">
      <c r="C85" s="98" t="s">
        <v>512</v>
      </c>
      <c r="D85" s="98" t="s">
        <v>513</v>
      </c>
      <c r="E85" s="98" t="s">
        <v>514</v>
      </c>
      <c r="F85" s="98" t="s">
        <v>525</v>
      </c>
      <c r="G85" s="98" t="s">
        <v>528</v>
      </c>
      <c r="H85" s="98" t="s">
        <v>526</v>
      </c>
      <c r="I85" s="98" t="s">
        <v>527</v>
      </c>
      <c r="J85" s="98" t="s">
        <v>529</v>
      </c>
      <c r="K85" s="98" t="s">
        <v>534</v>
      </c>
    </row>
    <row r="86" spans="1:12" x14ac:dyDescent="0.3">
      <c r="B86" s="70" t="s">
        <v>25</v>
      </c>
      <c r="C86" s="270" t="s">
        <v>524</v>
      </c>
      <c r="D86" s="270" t="s">
        <v>524</v>
      </c>
      <c r="E86" s="270" t="s">
        <v>524</v>
      </c>
      <c r="F86" s="270" t="s">
        <v>524</v>
      </c>
      <c r="G86" s="271" t="s">
        <v>27</v>
      </c>
      <c r="H86" s="270" t="s">
        <v>524</v>
      </c>
      <c r="I86" s="270" t="s">
        <v>524</v>
      </c>
      <c r="J86" s="271" t="s">
        <v>27</v>
      </c>
      <c r="K86" s="273" t="s">
        <v>314</v>
      </c>
    </row>
    <row r="87" spans="1:12" x14ac:dyDescent="0.3">
      <c r="B87" s="100" t="s">
        <v>28</v>
      </c>
      <c r="C87" s="101" t="s">
        <v>523</v>
      </c>
      <c r="D87" s="101" t="s">
        <v>531</v>
      </c>
      <c r="E87" s="101" t="s">
        <v>531</v>
      </c>
      <c r="F87" s="101" t="s">
        <v>29</v>
      </c>
      <c r="G87" s="101" t="s">
        <v>266</v>
      </c>
      <c r="H87" s="101" t="s">
        <v>266</v>
      </c>
      <c r="I87" s="101" t="s">
        <v>266</v>
      </c>
      <c r="J87" s="101" t="s">
        <v>325</v>
      </c>
      <c r="K87" s="101" t="s">
        <v>538</v>
      </c>
    </row>
    <row r="88" spans="1:12" x14ac:dyDescent="0.3">
      <c r="B88" s="70" t="s">
        <v>30</v>
      </c>
      <c r="C88" s="99" t="s">
        <v>31</v>
      </c>
      <c r="D88" s="99" t="s">
        <v>31</v>
      </c>
      <c r="E88" s="99" t="s">
        <v>31</v>
      </c>
      <c r="F88" s="99" t="s">
        <v>31</v>
      </c>
      <c r="G88" s="99" t="s">
        <v>31</v>
      </c>
      <c r="H88" s="99" t="s">
        <v>31</v>
      </c>
      <c r="I88" s="99" t="s">
        <v>31</v>
      </c>
      <c r="J88" s="99" t="s">
        <v>31</v>
      </c>
      <c r="K88" s="99" t="s">
        <v>31</v>
      </c>
    </row>
    <row r="89" spans="1:12" x14ac:dyDescent="0.3">
      <c r="B89" s="100" t="s">
        <v>32</v>
      </c>
      <c r="C89" s="101" t="s">
        <v>31</v>
      </c>
      <c r="D89" s="101" t="s">
        <v>31</v>
      </c>
      <c r="E89" s="101" t="s">
        <v>31</v>
      </c>
      <c r="F89" s="101" t="s">
        <v>33</v>
      </c>
      <c r="G89" s="101" t="s">
        <v>31</v>
      </c>
      <c r="H89" s="101" t="s">
        <v>31</v>
      </c>
      <c r="I89" s="101" t="s">
        <v>31</v>
      </c>
      <c r="J89" s="101" t="s">
        <v>31</v>
      </c>
      <c r="K89" s="101" t="s">
        <v>538</v>
      </c>
    </row>
    <row r="90" spans="1:12" x14ac:dyDescent="0.3">
      <c r="B90" s="70" t="s">
        <v>34</v>
      </c>
      <c r="C90" s="99" t="s">
        <v>31</v>
      </c>
      <c r="D90" s="99" t="s">
        <v>31</v>
      </c>
      <c r="E90" s="99" t="s">
        <v>31</v>
      </c>
      <c r="F90" s="99" t="s">
        <v>31</v>
      </c>
      <c r="G90" s="99" t="s">
        <v>267</v>
      </c>
      <c r="H90" s="99" t="s">
        <v>267</v>
      </c>
      <c r="I90" s="99" t="s">
        <v>267</v>
      </c>
      <c r="J90" s="99" t="s">
        <v>267</v>
      </c>
      <c r="K90" s="99" t="s">
        <v>267</v>
      </c>
    </row>
    <row r="91" spans="1:12" x14ac:dyDescent="0.3">
      <c r="B91" s="100" t="s">
        <v>35</v>
      </c>
      <c r="C91" s="101" t="s">
        <v>31</v>
      </c>
      <c r="D91" s="101" t="s">
        <v>31</v>
      </c>
      <c r="E91" s="101" t="s">
        <v>31</v>
      </c>
      <c r="F91" s="101" t="s">
        <v>31</v>
      </c>
      <c r="G91" s="101" t="s">
        <v>31</v>
      </c>
      <c r="H91" s="101" t="s">
        <v>31</v>
      </c>
      <c r="I91" s="101" t="s">
        <v>31</v>
      </c>
      <c r="J91" s="101" t="s">
        <v>31</v>
      </c>
      <c r="K91" s="101" t="s">
        <v>539</v>
      </c>
    </row>
    <row r="92" spans="1:12" x14ac:dyDescent="0.3">
      <c r="B92" s="70" t="s">
        <v>36</v>
      </c>
      <c r="C92" s="99">
        <v>1</v>
      </c>
      <c r="D92" s="99">
        <v>1</v>
      </c>
      <c r="E92" s="99">
        <v>1</v>
      </c>
      <c r="F92" s="99">
        <v>0</v>
      </c>
      <c r="G92" s="99">
        <v>0</v>
      </c>
      <c r="H92" s="99">
        <v>0</v>
      </c>
      <c r="I92" s="99">
        <v>0</v>
      </c>
      <c r="J92" s="99">
        <v>0</v>
      </c>
      <c r="K92" s="99">
        <v>0</v>
      </c>
    </row>
    <row r="93" spans="1:12" x14ac:dyDescent="0.3">
      <c r="B93" s="100" t="s">
        <v>37</v>
      </c>
      <c r="C93" s="101">
        <v>1</v>
      </c>
      <c r="D93" s="101">
        <v>1</v>
      </c>
      <c r="E93" s="101">
        <v>1</v>
      </c>
      <c r="F93" s="101">
        <v>0</v>
      </c>
      <c r="G93" s="101">
        <v>8</v>
      </c>
      <c r="H93" s="101">
        <v>0</v>
      </c>
      <c r="I93" s="101">
        <v>0</v>
      </c>
      <c r="J93" s="101">
        <v>0</v>
      </c>
      <c r="K93" s="101">
        <v>1</v>
      </c>
    </row>
    <row r="94" spans="1:12" x14ac:dyDescent="0.3">
      <c r="B94" s="70" t="s">
        <v>38</v>
      </c>
      <c r="C94" s="99">
        <v>2</v>
      </c>
      <c r="D94" s="99">
        <v>2</v>
      </c>
      <c r="E94" s="99">
        <v>0</v>
      </c>
      <c r="F94" s="99">
        <v>0</v>
      </c>
      <c r="G94" s="99">
        <v>1</v>
      </c>
      <c r="H94" s="99">
        <v>0</v>
      </c>
      <c r="I94" s="99">
        <v>0</v>
      </c>
      <c r="J94" s="99">
        <v>0</v>
      </c>
      <c r="K94" s="99">
        <v>0</v>
      </c>
    </row>
    <row r="95" spans="1:12" x14ac:dyDescent="0.3">
      <c r="B95" s="100" t="s">
        <v>39</v>
      </c>
      <c r="C95" s="101">
        <v>0</v>
      </c>
      <c r="D95" s="101">
        <v>0</v>
      </c>
      <c r="E95" s="101">
        <v>2</v>
      </c>
      <c r="F95" s="101">
        <v>0</v>
      </c>
      <c r="G95" s="101">
        <v>0</v>
      </c>
      <c r="H95" s="101">
        <v>0</v>
      </c>
      <c r="I95" s="101">
        <v>0</v>
      </c>
      <c r="J95" s="101">
        <v>0</v>
      </c>
      <c r="K95" s="101">
        <v>0</v>
      </c>
    </row>
    <row r="96" spans="1:12" x14ac:dyDescent="0.3">
      <c r="B96" s="70" t="s">
        <v>40</v>
      </c>
      <c r="C96" s="99">
        <v>1</v>
      </c>
      <c r="D96" s="99">
        <v>1</v>
      </c>
      <c r="E96" s="99">
        <v>1</v>
      </c>
      <c r="F96" s="99">
        <v>1</v>
      </c>
      <c r="G96" s="99">
        <v>0</v>
      </c>
      <c r="H96" s="99">
        <v>1</v>
      </c>
      <c r="I96" s="99">
        <v>1</v>
      </c>
      <c r="J96" s="99">
        <v>0</v>
      </c>
      <c r="K96" s="99">
        <v>0</v>
      </c>
    </row>
    <row r="97" spans="1:11" x14ac:dyDescent="0.3">
      <c r="B97" s="100" t="s">
        <v>268</v>
      </c>
      <c r="C97" s="101">
        <v>0</v>
      </c>
      <c r="D97" s="101">
        <v>0</v>
      </c>
      <c r="E97" s="101">
        <v>0</v>
      </c>
      <c r="F97" s="101">
        <v>0</v>
      </c>
      <c r="G97" s="101">
        <v>1</v>
      </c>
      <c r="H97" s="101">
        <v>1</v>
      </c>
      <c r="I97" s="101">
        <v>1</v>
      </c>
      <c r="J97" s="101">
        <v>1</v>
      </c>
      <c r="K97" s="101" t="s">
        <v>538</v>
      </c>
    </row>
    <row r="98" spans="1:11" hidden="1" x14ac:dyDescent="0.3">
      <c r="B98" s="100" t="s">
        <v>290</v>
      </c>
      <c r="C98" s="101" t="s">
        <v>31</v>
      </c>
      <c r="D98" s="101" t="s">
        <v>31</v>
      </c>
      <c r="E98" s="101" t="s">
        <v>31</v>
      </c>
      <c r="F98" s="101" t="s">
        <v>31</v>
      </c>
      <c r="G98" s="101" t="s">
        <v>31</v>
      </c>
      <c r="H98" s="101" t="s">
        <v>31</v>
      </c>
      <c r="I98" s="101" t="s">
        <v>31</v>
      </c>
      <c r="J98" s="101" t="s">
        <v>31</v>
      </c>
    </row>
    <row r="99" spans="1:11" x14ac:dyDescent="0.3">
      <c r="B99" s="70" t="s">
        <v>41</v>
      </c>
      <c r="C99" s="99">
        <v>3</v>
      </c>
      <c r="D99" s="99">
        <v>3</v>
      </c>
      <c r="E99" s="99">
        <v>3</v>
      </c>
      <c r="F99" s="99">
        <v>0</v>
      </c>
      <c r="G99" s="99">
        <v>3</v>
      </c>
      <c r="H99" s="99">
        <v>3</v>
      </c>
      <c r="I99" s="99">
        <v>3</v>
      </c>
      <c r="J99" s="99">
        <v>3</v>
      </c>
      <c r="K99" s="99">
        <v>4</v>
      </c>
    </row>
    <row r="100" spans="1:11" x14ac:dyDescent="0.3">
      <c r="B100" s="100" t="s">
        <v>42</v>
      </c>
      <c r="C100" s="101">
        <v>4</v>
      </c>
      <c r="D100" s="101">
        <v>5</v>
      </c>
      <c r="E100" s="101">
        <v>5</v>
      </c>
      <c r="F100" s="101">
        <v>40</v>
      </c>
      <c r="G100" s="101">
        <v>0</v>
      </c>
      <c r="H100" s="101">
        <v>0</v>
      </c>
      <c r="I100" s="101">
        <v>0</v>
      </c>
      <c r="J100" s="101">
        <v>18</v>
      </c>
      <c r="K100" s="101">
        <v>0</v>
      </c>
    </row>
    <row r="101" spans="1:11" x14ac:dyDescent="0.3">
      <c r="B101" s="70" t="s">
        <v>43</v>
      </c>
      <c r="C101" s="99" t="s">
        <v>31</v>
      </c>
      <c r="D101" s="99" t="s">
        <v>31</v>
      </c>
      <c r="E101" s="99" t="s">
        <v>31</v>
      </c>
      <c r="F101" s="99" t="s">
        <v>31</v>
      </c>
      <c r="G101" s="99" t="s">
        <v>31</v>
      </c>
      <c r="H101" s="99" t="s">
        <v>31</v>
      </c>
      <c r="I101" s="99" t="s">
        <v>31</v>
      </c>
      <c r="J101" s="99" t="s">
        <v>31</v>
      </c>
      <c r="K101" s="99" t="s">
        <v>208</v>
      </c>
    </row>
    <row r="102" spans="1:11" x14ac:dyDescent="0.3">
      <c r="B102" s="100" t="s">
        <v>44</v>
      </c>
      <c r="C102" s="101" t="s">
        <v>31</v>
      </c>
      <c r="D102" s="101" t="s">
        <v>33</v>
      </c>
      <c r="E102" s="101" t="s">
        <v>33</v>
      </c>
      <c r="F102" s="101" t="s">
        <v>31</v>
      </c>
      <c r="G102" s="101" t="s">
        <v>31</v>
      </c>
      <c r="H102" s="101" t="s">
        <v>31</v>
      </c>
      <c r="I102" s="101" t="s">
        <v>31</v>
      </c>
      <c r="J102" s="101" t="s">
        <v>31</v>
      </c>
      <c r="K102" s="101" t="s">
        <v>208</v>
      </c>
    </row>
    <row r="103" spans="1:11" x14ac:dyDescent="0.3">
      <c r="B103" s="70" t="s">
        <v>45</v>
      </c>
      <c r="C103" s="99" t="s">
        <v>46</v>
      </c>
      <c r="D103" s="99">
        <v>1</v>
      </c>
      <c r="E103" s="99">
        <v>1</v>
      </c>
      <c r="F103" s="99">
        <v>1</v>
      </c>
      <c r="G103" s="99" t="s">
        <v>46</v>
      </c>
      <c r="H103" s="99">
        <v>1</v>
      </c>
      <c r="I103" s="99">
        <v>1</v>
      </c>
      <c r="J103" s="99" t="s">
        <v>46</v>
      </c>
      <c r="K103" s="99" t="s">
        <v>46</v>
      </c>
    </row>
    <row r="104" spans="1:11" x14ac:dyDescent="0.3">
      <c r="B104" s="100" t="s">
        <v>47</v>
      </c>
      <c r="C104" s="101" t="s">
        <v>33</v>
      </c>
      <c r="D104" s="101" t="s">
        <v>33</v>
      </c>
      <c r="E104" s="101" t="s">
        <v>33</v>
      </c>
      <c r="F104" s="101" t="s">
        <v>31</v>
      </c>
      <c r="G104" s="101" t="s">
        <v>33</v>
      </c>
      <c r="H104" s="101" t="s">
        <v>33</v>
      </c>
      <c r="I104" s="101" t="s">
        <v>33</v>
      </c>
      <c r="J104" s="101" t="s">
        <v>33</v>
      </c>
      <c r="K104" s="101" t="s">
        <v>538</v>
      </c>
    </row>
    <row r="105" spans="1:11" x14ac:dyDescent="0.3">
      <c r="B105" s="70" t="s">
        <v>48</v>
      </c>
      <c r="C105" s="99" t="s">
        <v>33</v>
      </c>
      <c r="D105" s="99" t="s">
        <v>33</v>
      </c>
      <c r="E105" s="99" t="s">
        <v>33</v>
      </c>
      <c r="F105" s="99" t="s">
        <v>31</v>
      </c>
      <c r="G105" s="99" t="s">
        <v>33</v>
      </c>
      <c r="H105" s="99" t="s">
        <v>208</v>
      </c>
      <c r="I105" s="99" t="s">
        <v>208</v>
      </c>
      <c r="J105" s="99" t="s">
        <v>208</v>
      </c>
      <c r="K105" s="99" t="s">
        <v>208</v>
      </c>
    </row>
    <row r="106" spans="1:11" x14ac:dyDescent="0.3">
      <c r="B106" s="100" t="s">
        <v>49</v>
      </c>
      <c r="C106" s="144" t="s">
        <v>50</v>
      </c>
      <c r="D106" s="144" t="s">
        <v>50</v>
      </c>
      <c r="E106" s="144" t="s">
        <v>50</v>
      </c>
      <c r="F106" s="144" t="s">
        <v>50</v>
      </c>
      <c r="G106" s="145" t="s">
        <v>533</v>
      </c>
      <c r="H106" s="144" t="s">
        <v>50</v>
      </c>
      <c r="I106" s="144" t="s">
        <v>50</v>
      </c>
      <c r="J106" s="145" t="s">
        <v>533</v>
      </c>
      <c r="K106" s="101" t="s">
        <v>538</v>
      </c>
    </row>
    <row r="107" spans="1:11" hidden="1" x14ac:dyDescent="0.3">
      <c r="B107" s="100"/>
      <c r="C107" s="101">
        <f>IF(C106=$B$375,C111,0)</f>
        <v>0</v>
      </c>
      <c r="D107" s="101">
        <f>IF(D106=$B$375,D111,0)</f>
        <v>0</v>
      </c>
      <c r="E107" s="101">
        <f>IF(E106=$B$375,E111,0)</f>
        <v>0</v>
      </c>
      <c r="F107" s="101">
        <f>IF(F106=$B$375,F111,0)</f>
        <v>0</v>
      </c>
      <c r="G107" s="145"/>
      <c r="H107" s="101">
        <f>IF(H106=$B$375,H111,0)</f>
        <v>0</v>
      </c>
      <c r="I107" s="101">
        <f>IF(I106=$B$375,I111,0)</f>
        <v>0</v>
      </c>
      <c r="J107" s="145"/>
      <c r="K107" s="101"/>
    </row>
    <row r="108" spans="1:11" x14ac:dyDescent="0.3">
      <c r="B108" s="136" t="s">
        <v>51</v>
      </c>
      <c r="C108" s="152" t="s">
        <v>298</v>
      </c>
      <c r="D108" s="152" t="s">
        <v>298</v>
      </c>
      <c r="E108" s="152" t="s">
        <v>298</v>
      </c>
      <c r="F108" s="152" t="s">
        <v>298</v>
      </c>
      <c r="G108" s="152" t="s">
        <v>298</v>
      </c>
      <c r="H108" s="152" t="s">
        <v>298</v>
      </c>
      <c r="I108" s="152" t="s">
        <v>298</v>
      </c>
      <c r="J108" t="s">
        <v>298</v>
      </c>
      <c r="K108" s="99" t="s">
        <v>538</v>
      </c>
    </row>
    <row r="109" spans="1:11" ht="33" hidden="1" x14ac:dyDescent="0.3">
      <c r="B109" s="102" t="s">
        <v>120</v>
      </c>
      <c r="C109" s="103">
        <v>0</v>
      </c>
      <c r="D109" s="103">
        <v>0</v>
      </c>
      <c r="E109" s="103">
        <v>0</v>
      </c>
      <c r="F109" s="103">
        <v>0</v>
      </c>
      <c r="G109" s="103"/>
      <c r="H109" s="103"/>
      <c r="I109" s="103"/>
    </row>
    <row r="110" spans="1:11" ht="17.25" thickBot="1" x14ac:dyDescent="0.35">
      <c r="C110" s="99"/>
      <c r="D110" s="99"/>
      <c r="E110" s="99"/>
      <c r="F110" s="99"/>
      <c r="G110" s="99"/>
      <c r="H110" s="99"/>
      <c r="I110" s="99"/>
    </row>
    <row r="111" spans="1:11" ht="27" thickBot="1" x14ac:dyDescent="0.4">
      <c r="A111" s="1" t="s">
        <v>451</v>
      </c>
      <c r="B111" s="70" t="s">
        <v>52</v>
      </c>
      <c r="C111" s="283">
        <v>0</v>
      </c>
      <c r="D111" s="283">
        <v>0</v>
      </c>
      <c r="E111" s="283">
        <v>0</v>
      </c>
      <c r="F111" s="283">
        <v>0</v>
      </c>
      <c r="G111" s="283">
        <v>0</v>
      </c>
      <c r="H111" s="283">
        <v>0</v>
      </c>
      <c r="I111" s="283">
        <v>0</v>
      </c>
      <c r="J111" s="283">
        <v>0</v>
      </c>
      <c r="K111" s="283">
        <v>0</v>
      </c>
    </row>
    <row r="112" spans="1:11" ht="16.5" customHeight="1" x14ac:dyDescent="0.3">
      <c r="C112" s="153" t="str">
        <f>C85</f>
        <v>CP100</v>
      </c>
      <c r="D112" s="153" t="str">
        <f t="shared" ref="D112:J112" si="8">D85</f>
        <v>CP200</v>
      </c>
      <c r="E112" s="153" t="str">
        <f t="shared" si="8"/>
        <v>CP205</v>
      </c>
      <c r="F112" s="153" t="str">
        <f t="shared" si="8"/>
        <v>CP400</v>
      </c>
      <c r="G112" s="153" t="str">
        <f t="shared" si="8"/>
        <v>KM400</v>
      </c>
      <c r="H112" s="153" t="str">
        <f t="shared" si="8"/>
        <v>CP600</v>
      </c>
      <c r="I112" s="153" t="str">
        <f t="shared" si="8"/>
        <v>CP600E</v>
      </c>
      <c r="J112" s="153" t="str">
        <f t="shared" si="8"/>
        <v>KM600</v>
      </c>
      <c r="K112" s="153" t="str">
        <f>K85</f>
        <v>OpenScape PE</v>
      </c>
    </row>
    <row r="113" spans="1:12" x14ac:dyDescent="0.3">
      <c r="B113" s="404" t="str">
        <f>IF(OR(D388,D387),"AVISO: HA SELECCIONADO MAS TERMINALES  QUE EXTENSIONES DISPONIBLES EN LA PBX","")</f>
        <v/>
      </c>
      <c r="C113" s="404"/>
      <c r="D113" s="404"/>
      <c r="E113" s="404"/>
      <c r="F113" s="404"/>
      <c r="G113" s="404"/>
      <c r="H113" s="404"/>
      <c r="I113" s="404"/>
      <c r="J113" s="404"/>
      <c r="K113" s="404"/>
    </row>
    <row r="115" spans="1:12" ht="18" customHeight="1" x14ac:dyDescent="0.3">
      <c r="A115" s="1" t="s">
        <v>452</v>
      </c>
      <c r="B115" s="70" t="s">
        <v>24</v>
      </c>
      <c r="C115" s="402" t="s">
        <v>313</v>
      </c>
      <c r="D115" s="402"/>
      <c r="E115" s="402"/>
      <c r="F115" s="402"/>
      <c r="G115" s="403"/>
      <c r="H115" s="405" t="s">
        <v>301</v>
      </c>
      <c r="I115" s="406"/>
      <c r="J115" s="406"/>
      <c r="K115" s="407"/>
      <c r="L115" s="160"/>
    </row>
    <row r="116" spans="1:12" ht="120" customHeight="1" x14ac:dyDescent="0.3">
      <c r="I116" s="18"/>
      <c r="L116" s="159"/>
    </row>
    <row r="117" spans="1:12" ht="20.25" x14ac:dyDescent="0.3">
      <c r="C117" s="98" t="s">
        <v>368</v>
      </c>
      <c r="D117" s="98" t="s">
        <v>369</v>
      </c>
      <c r="E117" s="98" t="s">
        <v>370</v>
      </c>
      <c r="F117" s="274" t="s">
        <v>399</v>
      </c>
      <c r="G117" s="274" t="s">
        <v>400</v>
      </c>
      <c r="H117" s="98" t="s">
        <v>401</v>
      </c>
      <c r="I117" s="98" t="s">
        <v>402</v>
      </c>
      <c r="J117" s="98" t="s">
        <v>403</v>
      </c>
      <c r="K117" s="98" t="s">
        <v>404</v>
      </c>
    </row>
    <row r="118" spans="1:12" x14ac:dyDescent="0.3">
      <c r="B118" s="70" t="s">
        <v>25</v>
      </c>
      <c r="C118" s="269" t="s">
        <v>367</v>
      </c>
      <c r="D118" s="269" t="s">
        <v>367</v>
      </c>
      <c r="E118" s="269" t="s">
        <v>367</v>
      </c>
      <c r="F118" s="269" t="s">
        <v>367</v>
      </c>
      <c r="G118" s="270" t="s">
        <v>26</v>
      </c>
      <c r="H118" s="272" t="s">
        <v>294</v>
      </c>
      <c r="I118" s="272" t="s">
        <v>294</v>
      </c>
      <c r="J118" s="271" t="s">
        <v>293</v>
      </c>
      <c r="K118" s="272" t="s">
        <v>294</v>
      </c>
    </row>
    <row r="119" spans="1:12" x14ac:dyDescent="0.3">
      <c r="B119" s="100" t="s">
        <v>28</v>
      </c>
      <c r="C119" s="101" t="s">
        <v>31</v>
      </c>
      <c r="D119" s="101" t="s">
        <v>31</v>
      </c>
      <c r="E119" s="101" t="s">
        <v>31</v>
      </c>
      <c r="F119" s="101" t="s">
        <v>423</v>
      </c>
      <c r="G119" s="101" t="s">
        <v>424</v>
      </c>
      <c r="H119" s="101" t="s">
        <v>427</v>
      </c>
      <c r="I119" s="101" t="s">
        <v>426</v>
      </c>
      <c r="J119" s="101" t="s">
        <v>266</v>
      </c>
      <c r="K119" s="101" t="s">
        <v>266</v>
      </c>
    </row>
    <row r="120" spans="1:12" x14ac:dyDescent="0.3">
      <c r="B120" s="70" t="s">
        <v>30</v>
      </c>
      <c r="C120" s="99" t="s">
        <v>31</v>
      </c>
      <c r="D120" s="99" t="s">
        <v>31</v>
      </c>
      <c r="E120" s="99" t="s">
        <v>31</v>
      </c>
      <c r="F120" s="99" t="s">
        <v>31</v>
      </c>
      <c r="G120" s="99" t="s">
        <v>31</v>
      </c>
      <c r="H120" s="99" t="s">
        <v>31</v>
      </c>
      <c r="I120" s="99" t="s">
        <v>31</v>
      </c>
      <c r="J120" s="99" t="s">
        <v>31</v>
      </c>
      <c r="K120" s="99" t="s">
        <v>31</v>
      </c>
    </row>
    <row r="121" spans="1:12" x14ac:dyDescent="0.3">
      <c r="B121" s="100" t="s">
        <v>32</v>
      </c>
      <c r="C121" s="101" t="s">
        <v>31</v>
      </c>
      <c r="D121" s="101" t="s">
        <v>31</v>
      </c>
      <c r="E121" s="101" t="s">
        <v>31</v>
      </c>
      <c r="F121" s="101" t="s">
        <v>31</v>
      </c>
      <c r="G121" s="101" t="s">
        <v>31</v>
      </c>
      <c r="H121" s="101" t="s">
        <v>31</v>
      </c>
      <c r="I121" s="101" t="s">
        <v>31</v>
      </c>
      <c r="J121" s="101" t="s">
        <v>31</v>
      </c>
      <c r="K121" s="101" t="s">
        <v>31</v>
      </c>
    </row>
    <row r="122" spans="1:12" x14ac:dyDescent="0.3">
      <c r="B122" s="70" t="s">
        <v>34</v>
      </c>
      <c r="C122" s="99" t="s">
        <v>31</v>
      </c>
      <c r="D122" s="99" t="s">
        <v>31</v>
      </c>
      <c r="E122" s="99" t="s">
        <v>31</v>
      </c>
      <c r="F122" s="99" t="s">
        <v>31</v>
      </c>
      <c r="G122" s="99" t="s">
        <v>31</v>
      </c>
      <c r="H122" s="99" t="s">
        <v>31</v>
      </c>
      <c r="I122" s="99" t="s">
        <v>267</v>
      </c>
      <c r="J122" s="99" t="s">
        <v>267</v>
      </c>
      <c r="K122" s="99" t="s">
        <v>33</v>
      </c>
    </row>
    <row r="123" spans="1:12" x14ac:dyDescent="0.3">
      <c r="B123" s="100" t="s">
        <v>35</v>
      </c>
      <c r="C123" s="101" t="s">
        <v>31</v>
      </c>
      <c r="D123" s="101" t="s">
        <v>31</v>
      </c>
      <c r="E123" s="101" t="s">
        <v>31</v>
      </c>
      <c r="F123" s="101" t="s">
        <v>31</v>
      </c>
      <c r="G123" s="101" t="s">
        <v>31</v>
      </c>
      <c r="H123" s="101" t="s">
        <v>31</v>
      </c>
      <c r="I123" s="101" t="s">
        <v>31</v>
      </c>
      <c r="J123" s="101" t="s">
        <v>31</v>
      </c>
      <c r="K123" s="101" t="s">
        <v>31</v>
      </c>
    </row>
    <row r="124" spans="1:12" x14ac:dyDescent="0.3">
      <c r="B124" s="70" t="s">
        <v>36</v>
      </c>
      <c r="C124" s="99">
        <v>0</v>
      </c>
      <c r="D124" s="99">
        <v>0</v>
      </c>
      <c r="E124" s="99">
        <v>0</v>
      </c>
      <c r="F124" s="99" t="s">
        <v>31</v>
      </c>
      <c r="G124" s="99">
        <v>0</v>
      </c>
      <c r="H124" s="99">
        <v>0</v>
      </c>
      <c r="I124" s="99">
        <v>0</v>
      </c>
      <c r="J124" s="99">
        <v>0</v>
      </c>
      <c r="K124" s="99">
        <v>0</v>
      </c>
    </row>
    <row r="125" spans="1:12" x14ac:dyDescent="0.3">
      <c r="B125" s="100" t="s">
        <v>37</v>
      </c>
      <c r="C125" s="101">
        <v>0</v>
      </c>
      <c r="D125" s="101">
        <v>0</v>
      </c>
      <c r="E125" s="101">
        <v>0</v>
      </c>
      <c r="F125" s="101">
        <v>0</v>
      </c>
      <c r="G125" s="101">
        <v>3</v>
      </c>
      <c r="H125" s="101">
        <v>0</v>
      </c>
      <c r="I125" s="101">
        <v>6</v>
      </c>
      <c r="J125" s="101">
        <v>0</v>
      </c>
      <c r="K125" s="101">
        <v>0</v>
      </c>
    </row>
    <row r="126" spans="1:12" x14ac:dyDescent="0.3">
      <c r="B126" s="70" t="s">
        <v>38</v>
      </c>
      <c r="C126" s="99">
        <v>0</v>
      </c>
      <c r="D126" s="99">
        <v>0</v>
      </c>
      <c r="E126" s="99">
        <v>0</v>
      </c>
      <c r="F126" s="99">
        <v>0</v>
      </c>
      <c r="G126" s="99">
        <v>1</v>
      </c>
      <c r="H126" s="99">
        <v>0</v>
      </c>
      <c r="I126" s="99">
        <v>0</v>
      </c>
      <c r="J126" s="99">
        <v>1</v>
      </c>
      <c r="K126" s="99">
        <v>0</v>
      </c>
    </row>
    <row r="127" spans="1:12" x14ac:dyDescent="0.3">
      <c r="B127" s="100" t="s">
        <v>39</v>
      </c>
      <c r="C127" s="101">
        <v>0</v>
      </c>
      <c r="D127" s="101">
        <v>0</v>
      </c>
      <c r="E127" s="101">
        <v>0</v>
      </c>
      <c r="F127" s="101">
        <v>0</v>
      </c>
      <c r="G127" s="101">
        <v>0</v>
      </c>
      <c r="H127" s="101">
        <v>0</v>
      </c>
      <c r="I127" s="101">
        <v>0</v>
      </c>
      <c r="J127" s="101">
        <v>0</v>
      </c>
      <c r="K127" s="101">
        <v>0</v>
      </c>
    </row>
    <row r="128" spans="1:12" x14ac:dyDescent="0.3">
      <c r="B128" s="100" t="s">
        <v>428</v>
      </c>
      <c r="C128" s="101">
        <v>1</v>
      </c>
      <c r="D128" s="101">
        <v>1</v>
      </c>
      <c r="E128" s="101">
        <v>1</v>
      </c>
      <c r="F128" s="101">
        <v>1</v>
      </c>
      <c r="G128" s="101">
        <v>0</v>
      </c>
      <c r="H128" s="101">
        <v>1</v>
      </c>
      <c r="I128" s="101">
        <v>1</v>
      </c>
      <c r="J128" s="101">
        <v>1</v>
      </c>
      <c r="K128" s="101">
        <v>0</v>
      </c>
    </row>
    <row r="129" spans="1:11" x14ac:dyDescent="0.3">
      <c r="B129" s="70" t="s">
        <v>40</v>
      </c>
      <c r="C129" s="99">
        <v>0</v>
      </c>
      <c r="D129" s="99">
        <v>0</v>
      </c>
      <c r="E129" s="99">
        <v>1</v>
      </c>
      <c r="F129" s="99">
        <v>0</v>
      </c>
      <c r="G129" s="99">
        <v>0</v>
      </c>
      <c r="H129" s="99">
        <v>0</v>
      </c>
      <c r="I129" s="99">
        <v>0</v>
      </c>
      <c r="J129" s="99">
        <v>0</v>
      </c>
      <c r="K129" s="99">
        <v>0</v>
      </c>
    </row>
    <row r="130" spans="1:11" x14ac:dyDescent="0.3">
      <c r="B130" s="100" t="s">
        <v>268</v>
      </c>
      <c r="C130" s="101">
        <v>0</v>
      </c>
      <c r="D130" s="101">
        <v>0</v>
      </c>
      <c r="E130" s="101">
        <v>0</v>
      </c>
      <c r="F130" s="101">
        <v>0</v>
      </c>
      <c r="G130" s="101">
        <v>0</v>
      </c>
      <c r="H130" s="101">
        <v>0</v>
      </c>
      <c r="I130" s="101">
        <v>1</v>
      </c>
      <c r="J130" s="101">
        <v>1</v>
      </c>
      <c r="K130" s="101">
        <v>1</v>
      </c>
    </row>
    <row r="131" spans="1:11" hidden="1" x14ac:dyDescent="0.3">
      <c r="B131" s="100" t="s">
        <v>290</v>
      </c>
      <c r="C131" s="101" t="s">
        <v>31</v>
      </c>
      <c r="D131" s="101" t="s">
        <v>31</v>
      </c>
      <c r="E131" s="101" t="s">
        <v>31</v>
      </c>
      <c r="F131" s="101"/>
      <c r="G131" s="101" t="s">
        <v>31</v>
      </c>
      <c r="H131" s="101" t="s">
        <v>31</v>
      </c>
      <c r="I131" s="101" t="s">
        <v>31</v>
      </c>
      <c r="J131" s="101" t="s">
        <v>31</v>
      </c>
    </row>
    <row r="132" spans="1:11" x14ac:dyDescent="0.3">
      <c r="B132" s="70" t="s">
        <v>41</v>
      </c>
      <c r="C132" s="99">
        <v>0</v>
      </c>
      <c r="D132" s="99">
        <v>4</v>
      </c>
      <c r="E132" s="99">
        <v>4</v>
      </c>
      <c r="F132" s="99">
        <v>4</v>
      </c>
      <c r="G132" s="99">
        <v>4</v>
      </c>
      <c r="H132" s="99">
        <v>2</v>
      </c>
      <c r="I132" s="99">
        <v>2</v>
      </c>
      <c r="J132" s="99">
        <v>2</v>
      </c>
      <c r="K132" s="99">
        <v>2</v>
      </c>
    </row>
    <row r="133" spans="1:11" x14ac:dyDescent="0.3">
      <c r="B133" s="100" t="s">
        <v>42</v>
      </c>
      <c r="C133" s="101">
        <v>0</v>
      </c>
      <c r="D133" s="101">
        <v>0</v>
      </c>
      <c r="E133" s="101">
        <v>0</v>
      </c>
      <c r="F133" s="101">
        <v>0</v>
      </c>
      <c r="G133" s="101">
        <v>0</v>
      </c>
      <c r="H133" s="101">
        <v>0</v>
      </c>
      <c r="I133" s="101">
        <v>0</v>
      </c>
      <c r="J133" s="101">
        <v>0</v>
      </c>
      <c r="K133" s="101">
        <v>0</v>
      </c>
    </row>
    <row r="134" spans="1:11" x14ac:dyDescent="0.3">
      <c r="B134" s="70" t="s">
        <v>43</v>
      </c>
      <c r="C134" s="99" t="s">
        <v>31</v>
      </c>
      <c r="D134" s="99" t="s">
        <v>31</v>
      </c>
      <c r="E134" s="99" t="s">
        <v>31</v>
      </c>
      <c r="F134" s="99" t="s">
        <v>31</v>
      </c>
      <c r="G134" s="99" t="s">
        <v>33</v>
      </c>
      <c r="H134" s="99" t="s">
        <v>31</v>
      </c>
      <c r="I134" s="99" t="s">
        <v>33</v>
      </c>
      <c r="J134" s="99" t="s">
        <v>31</v>
      </c>
      <c r="K134" s="99" t="s">
        <v>31</v>
      </c>
    </row>
    <row r="135" spans="1:11" x14ac:dyDescent="0.3">
      <c r="B135" s="100" t="s">
        <v>44</v>
      </c>
      <c r="C135" s="101" t="s">
        <v>31</v>
      </c>
      <c r="D135" s="101" t="s">
        <v>31</v>
      </c>
      <c r="E135" s="101" t="s">
        <v>31</v>
      </c>
      <c r="F135" s="101" t="s">
        <v>31</v>
      </c>
      <c r="G135" s="101" t="s">
        <v>31</v>
      </c>
      <c r="H135" s="101" t="s">
        <v>31</v>
      </c>
      <c r="I135" s="101" t="s">
        <v>31</v>
      </c>
      <c r="J135" s="101" t="s">
        <v>31</v>
      </c>
      <c r="K135" s="101" t="s">
        <v>31</v>
      </c>
    </row>
    <row r="136" spans="1:11" x14ac:dyDescent="0.3">
      <c r="B136" s="70" t="s">
        <v>474</v>
      </c>
      <c r="C136" s="99" t="s">
        <v>46</v>
      </c>
      <c r="D136" s="99" t="s">
        <v>46</v>
      </c>
      <c r="E136" s="99" t="s">
        <v>46</v>
      </c>
      <c r="F136" s="99" t="s">
        <v>46</v>
      </c>
      <c r="G136" s="99" t="s">
        <v>46</v>
      </c>
      <c r="H136" s="99" t="s">
        <v>46</v>
      </c>
      <c r="I136" s="99" t="s">
        <v>46</v>
      </c>
      <c r="J136" s="99" t="s">
        <v>46</v>
      </c>
      <c r="K136" s="288" t="s">
        <v>46</v>
      </c>
    </row>
    <row r="137" spans="1:11" x14ac:dyDescent="0.3">
      <c r="B137" s="100" t="s">
        <v>47</v>
      </c>
      <c r="C137" s="101" t="s">
        <v>31</v>
      </c>
      <c r="D137" s="101" t="s">
        <v>31</v>
      </c>
      <c r="E137" s="101" t="s">
        <v>371</v>
      </c>
      <c r="F137" s="101" t="s">
        <v>33</v>
      </c>
      <c r="G137" s="101" t="s">
        <v>33</v>
      </c>
      <c r="H137" s="101" t="s">
        <v>33</v>
      </c>
      <c r="I137" s="101" t="s">
        <v>33</v>
      </c>
      <c r="J137" s="101" t="s">
        <v>33</v>
      </c>
      <c r="K137" s="101" t="s">
        <v>33</v>
      </c>
    </row>
    <row r="138" spans="1:11" x14ac:dyDescent="0.3">
      <c r="B138" s="70" t="s">
        <v>48</v>
      </c>
      <c r="C138" s="99" t="s">
        <v>31</v>
      </c>
      <c r="D138" s="99" t="s">
        <v>31</v>
      </c>
      <c r="E138" s="99" t="s">
        <v>31</v>
      </c>
      <c r="F138" s="99" t="s">
        <v>31</v>
      </c>
      <c r="G138" s="99" t="s">
        <v>33</v>
      </c>
      <c r="H138" s="99" t="s">
        <v>208</v>
      </c>
      <c r="I138" s="99" t="s">
        <v>208</v>
      </c>
      <c r="J138" s="99" t="s">
        <v>208</v>
      </c>
      <c r="K138" s="288" t="s">
        <v>208</v>
      </c>
    </row>
    <row r="139" spans="1:11" x14ac:dyDescent="0.3">
      <c r="B139" s="100" t="s">
        <v>49</v>
      </c>
      <c r="C139" s="144" t="s">
        <v>50</v>
      </c>
      <c r="D139" s="144" t="s">
        <v>50</v>
      </c>
      <c r="E139" s="144" t="s">
        <v>50</v>
      </c>
      <c r="F139" s="145" t="s">
        <v>306</v>
      </c>
      <c r="G139" s="145" t="s">
        <v>306</v>
      </c>
      <c r="H139" s="145" t="s">
        <v>306</v>
      </c>
      <c r="I139" s="145" t="s">
        <v>306</v>
      </c>
      <c r="J139" s="145" t="s">
        <v>306</v>
      </c>
      <c r="K139" s="101" t="s">
        <v>429</v>
      </c>
    </row>
    <row r="140" spans="1:11" x14ac:dyDescent="0.3">
      <c r="B140" s="136" t="s">
        <v>51</v>
      </c>
      <c r="C140" s="146" t="s">
        <v>6</v>
      </c>
      <c r="D140" s="146" t="s">
        <v>6</v>
      </c>
      <c r="E140" s="146" t="s">
        <v>6</v>
      </c>
      <c r="F140" s="152" t="s">
        <v>298</v>
      </c>
      <c r="G140" s="152" t="s">
        <v>298</v>
      </c>
      <c r="H140" s="152" t="s">
        <v>298</v>
      </c>
      <c r="I140" s="152" t="s">
        <v>298</v>
      </c>
      <c r="J140" t="s">
        <v>298</v>
      </c>
      <c r="K140" s="288" t="s">
        <v>298</v>
      </c>
    </row>
    <row r="141" spans="1:11" x14ac:dyDescent="0.3">
      <c r="B141" s="136" t="s">
        <v>425</v>
      </c>
      <c r="C141" s="99" t="s">
        <v>31</v>
      </c>
      <c r="D141" s="99" t="s">
        <v>31</v>
      </c>
      <c r="E141" s="99" t="s">
        <v>31</v>
      </c>
      <c r="F141" s="99" t="s">
        <v>31</v>
      </c>
      <c r="G141" s="99" t="s">
        <v>31</v>
      </c>
      <c r="H141" s="152" t="s">
        <v>33</v>
      </c>
      <c r="I141" s="152" t="s">
        <v>33</v>
      </c>
      <c r="J141" s="152" t="s">
        <v>33</v>
      </c>
      <c r="K141" s="288" t="s">
        <v>33</v>
      </c>
    </row>
    <row r="142" spans="1:11" ht="33" hidden="1" x14ac:dyDescent="0.3">
      <c r="B142" s="102" t="s">
        <v>120</v>
      </c>
      <c r="C142" s="103">
        <v>0</v>
      </c>
      <c r="D142" s="103">
        <v>0</v>
      </c>
      <c r="E142" s="103">
        <v>0</v>
      </c>
      <c r="F142" s="103">
        <v>0</v>
      </c>
      <c r="G142" s="103">
        <v>0</v>
      </c>
      <c r="H142" s="103">
        <v>0</v>
      </c>
      <c r="I142" s="103">
        <v>0</v>
      </c>
      <c r="J142">
        <v>0</v>
      </c>
      <c r="K142">
        <v>0</v>
      </c>
    </row>
    <row r="143" spans="1:11" ht="17.25" thickBot="1" x14ac:dyDescent="0.35">
      <c r="C143" s="99"/>
      <c r="D143" s="99"/>
      <c r="E143" s="99"/>
      <c r="F143" s="99"/>
      <c r="G143" s="99"/>
      <c r="H143" s="99"/>
      <c r="I143" s="99"/>
    </row>
    <row r="144" spans="1:11" ht="27" thickBot="1" x14ac:dyDescent="0.4">
      <c r="A144" s="1" t="s">
        <v>452</v>
      </c>
      <c r="B144" s="70" t="s">
        <v>52</v>
      </c>
      <c r="C144" s="283">
        <v>0</v>
      </c>
      <c r="D144" s="283">
        <v>0</v>
      </c>
      <c r="E144" s="283">
        <v>0</v>
      </c>
      <c r="F144" s="283">
        <v>0</v>
      </c>
      <c r="G144" s="283">
        <v>0</v>
      </c>
      <c r="H144" s="283">
        <v>0</v>
      </c>
      <c r="I144" s="283">
        <v>0</v>
      </c>
      <c r="J144" s="283">
        <v>0</v>
      </c>
      <c r="K144" s="283">
        <v>0</v>
      </c>
    </row>
    <row r="145" spans="1:11" ht="16.5" customHeight="1" x14ac:dyDescent="0.3">
      <c r="C145" s="153" t="str">
        <f t="shared" ref="C145:K145" si="9">C117</f>
        <v>DA210</v>
      </c>
      <c r="D145" s="153" t="str">
        <f t="shared" si="9"/>
        <v>DA310</v>
      </c>
      <c r="E145" s="153" t="str">
        <f t="shared" si="9"/>
        <v>DA410</v>
      </c>
      <c r="F145" s="153" t="str">
        <f t="shared" si="9"/>
        <v>CONFERENCE1500</v>
      </c>
      <c r="G145" s="153" t="str">
        <f t="shared" si="9"/>
        <v>CONFERENCE1550</v>
      </c>
      <c r="H145" s="153" t="str">
        <f t="shared" si="9"/>
        <v>A220</v>
      </c>
      <c r="I145" s="153" t="str">
        <f t="shared" si="9"/>
        <v>SL450</v>
      </c>
      <c r="J145" s="153" t="str">
        <f t="shared" si="9"/>
        <v>C530IP</v>
      </c>
      <c r="K145" s="153" t="str">
        <f t="shared" si="9"/>
        <v>C530H</v>
      </c>
    </row>
    <row r="146" spans="1:11" x14ac:dyDescent="0.3">
      <c r="B146" s="404" t="str">
        <f>IF(OR(D388,D387),"AVISO: HA SELECCIONADO MAS TERMINALES  QUE EXTENSIONES DISPONIBLES EN LA PBX","")</f>
        <v/>
      </c>
      <c r="C146" s="404"/>
      <c r="D146" s="404"/>
      <c r="E146" s="404"/>
      <c r="F146" s="404"/>
      <c r="G146" s="281"/>
      <c r="H146" s="281"/>
      <c r="I146" s="281"/>
      <c r="J146" s="408" t="str">
        <f>IF(J144*5&gt;=(K144),"","HA SELECCIONADO MAS TERMINALES QUE ANTENAS SIPDECT")</f>
        <v/>
      </c>
      <c r="K146" s="408"/>
    </row>
    <row r="147" spans="1:11" ht="16.5" customHeight="1" x14ac:dyDescent="0.3">
      <c r="B147"/>
    </row>
    <row r="149" spans="1:11" ht="16.5" customHeight="1" x14ac:dyDescent="0.3">
      <c r="A149" s="1" t="s">
        <v>540</v>
      </c>
      <c r="B149" s="70" t="s">
        <v>653</v>
      </c>
    </row>
    <row r="151" spans="1:11" ht="20.25" x14ac:dyDescent="0.3">
      <c r="C151" s="98" t="s">
        <v>541</v>
      </c>
      <c r="D151" s="98" t="s">
        <v>542</v>
      </c>
      <c r="E151" s="98" t="s">
        <v>543</v>
      </c>
      <c r="F151" s="274"/>
      <c r="G151" s="274"/>
      <c r="H151" s="98"/>
      <c r="I151" s="98"/>
      <c r="J151" s="98"/>
      <c r="K151" s="98"/>
    </row>
    <row r="152" spans="1:11" ht="16.5" customHeight="1" x14ac:dyDescent="0.3">
      <c r="B152" s="357" t="s">
        <v>550</v>
      </c>
      <c r="C152" s="358" t="s">
        <v>33</v>
      </c>
      <c r="D152" s="358" t="s">
        <v>33</v>
      </c>
      <c r="E152" s="358" t="s">
        <v>33</v>
      </c>
      <c r="G152"/>
    </row>
    <row r="153" spans="1:11" ht="16.5" customHeight="1" x14ac:dyDescent="0.3">
      <c r="B153" s="70" t="s">
        <v>559</v>
      </c>
      <c r="C153" s="382" t="s">
        <v>33</v>
      </c>
      <c r="D153" s="382" t="s">
        <v>33</v>
      </c>
      <c r="E153" s="382" t="s">
        <v>33</v>
      </c>
    </row>
    <row r="154" spans="1:11" ht="16.5" customHeight="1" x14ac:dyDescent="0.3">
      <c r="B154" s="357" t="s">
        <v>558</v>
      </c>
      <c r="C154" s="358" t="s">
        <v>33</v>
      </c>
      <c r="D154" s="358" t="s">
        <v>33</v>
      </c>
      <c r="E154" s="358" t="s">
        <v>33</v>
      </c>
    </row>
    <row r="155" spans="1:11" ht="16.5" customHeight="1" x14ac:dyDescent="0.3">
      <c r="B155" s="70" t="s">
        <v>560</v>
      </c>
      <c r="C155" s="99" t="s">
        <v>33</v>
      </c>
      <c r="D155" s="99" t="s">
        <v>33</v>
      </c>
      <c r="E155" s="99" t="s">
        <v>33</v>
      </c>
    </row>
    <row r="156" spans="1:11" ht="16.5" customHeight="1" x14ac:dyDescent="0.3">
      <c r="B156" s="357" t="s">
        <v>561</v>
      </c>
      <c r="C156" s="358" t="s">
        <v>33</v>
      </c>
      <c r="D156" s="358" t="s">
        <v>33</v>
      </c>
      <c r="E156" s="358" t="s">
        <v>33</v>
      </c>
    </row>
    <row r="157" spans="1:11" ht="16.5" customHeight="1" x14ac:dyDescent="0.3">
      <c r="B157" s="70" t="s">
        <v>551</v>
      </c>
      <c r="C157" s="99" t="s">
        <v>552</v>
      </c>
      <c r="D157" s="99" t="s">
        <v>552</v>
      </c>
      <c r="E157" s="99" t="s">
        <v>552</v>
      </c>
    </row>
    <row r="158" spans="1:11" ht="16.5" customHeight="1" x14ac:dyDescent="0.3">
      <c r="B158" s="357" t="s">
        <v>557</v>
      </c>
      <c r="C158" s="358">
        <v>6</v>
      </c>
      <c r="D158" s="358" t="s">
        <v>603</v>
      </c>
      <c r="E158" s="358" t="s">
        <v>603</v>
      </c>
    </row>
    <row r="159" spans="1:11" ht="16.5" customHeight="1" x14ac:dyDescent="0.3">
      <c r="B159" s="70" t="s">
        <v>556</v>
      </c>
      <c r="C159" s="99" t="s">
        <v>553</v>
      </c>
      <c r="D159" s="99" t="s">
        <v>554</v>
      </c>
      <c r="E159" s="99" t="s">
        <v>555</v>
      </c>
    </row>
    <row r="160" spans="1:11" ht="16.5" customHeight="1" x14ac:dyDescent="0.3">
      <c r="B160" s="357" t="s">
        <v>562</v>
      </c>
      <c r="C160" s="358" t="s">
        <v>31</v>
      </c>
      <c r="D160" s="358" t="s">
        <v>33</v>
      </c>
      <c r="E160" s="358" t="s">
        <v>33</v>
      </c>
    </row>
    <row r="161" spans="1:16" ht="16.5" customHeight="1" x14ac:dyDescent="0.3">
      <c r="B161" s="70" t="s">
        <v>563</v>
      </c>
      <c r="C161" s="99" t="s">
        <v>31</v>
      </c>
      <c r="D161" s="99" t="s">
        <v>33</v>
      </c>
      <c r="E161" s="99" t="s">
        <v>33</v>
      </c>
    </row>
    <row r="162" spans="1:16" ht="16.5" customHeight="1" x14ac:dyDescent="0.3">
      <c r="B162" s="357" t="s">
        <v>654</v>
      </c>
      <c r="C162" s="358" t="s">
        <v>31</v>
      </c>
      <c r="D162" s="358" t="s">
        <v>31</v>
      </c>
      <c r="E162" s="358" t="s">
        <v>33</v>
      </c>
    </row>
    <row r="163" spans="1:16" ht="16.5" customHeight="1" x14ac:dyDescent="0.3">
      <c r="B163" s="70" t="s">
        <v>570</v>
      </c>
      <c r="C163" s="99" t="s">
        <v>33</v>
      </c>
      <c r="D163" s="99" t="s">
        <v>33</v>
      </c>
      <c r="E163" s="99" t="s">
        <v>33</v>
      </c>
    </row>
    <row r="164" spans="1:16" ht="16.5" customHeight="1" thickBot="1" x14ac:dyDescent="0.35"/>
    <row r="165" spans="1:16" ht="27" customHeight="1" thickBot="1" x14ac:dyDescent="0.4">
      <c r="A165" s="1" t="s">
        <v>540</v>
      </c>
      <c r="B165" s="70" t="s">
        <v>569</v>
      </c>
      <c r="C165" s="283">
        <v>0</v>
      </c>
      <c r="D165" s="283">
        <v>0</v>
      </c>
      <c r="E165" s="283">
        <v>0</v>
      </c>
    </row>
    <row r="167" spans="1:16" ht="24.95" customHeight="1" x14ac:dyDescent="0.35">
      <c r="A167" s="19">
        <v>3</v>
      </c>
      <c r="B167" s="105" t="s">
        <v>453</v>
      </c>
      <c r="C167" s="106"/>
    </row>
    <row r="168" spans="1:16" ht="16.5" customHeight="1" x14ac:dyDescent="0.3">
      <c r="P168" t="b">
        <v>1</v>
      </c>
    </row>
    <row r="169" spans="1:16" ht="24.95" customHeight="1" x14ac:dyDescent="0.3">
      <c r="A169" s="20" t="s">
        <v>224</v>
      </c>
      <c r="B169" s="282" t="s">
        <v>419</v>
      </c>
      <c r="P169" t="b">
        <v>1</v>
      </c>
    </row>
    <row r="170" spans="1:16" ht="15" customHeight="1" x14ac:dyDescent="0.3">
      <c r="A170" s="20"/>
      <c r="B170" s="282"/>
    </row>
    <row r="171" spans="1:16" ht="24.95" customHeight="1" thickBot="1" x14ac:dyDescent="0.35">
      <c r="A171" s="297"/>
      <c r="B171" s="384" t="s">
        <v>622</v>
      </c>
      <c r="E171" s="293" t="s">
        <v>499</v>
      </c>
      <c r="P171" s="5" t="b">
        <v>0</v>
      </c>
    </row>
    <row r="172" spans="1:16" ht="20.100000000000001" customHeight="1" thickBot="1" x14ac:dyDescent="0.35">
      <c r="A172" s="297"/>
      <c r="B172" s="383" t="s">
        <v>613</v>
      </c>
      <c r="E172" s="284">
        <v>0</v>
      </c>
    </row>
    <row r="173" spans="1:16" ht="24.95" customHeight="1" x14ac:dyDescent="0.3">
      <c r="A173" s="20" t="s">
        <v>134</v>
      </c>
      <c r="B173" s="282" t="s">
        <v>421</v>
      </c>
      <c r="P173" t="b">
        <v>1</v>
      </c>
    </row>
    <row r="174" spans="1:16" ht="15" customHeight="1" x14ac:dyDescent="0.3">
      <c r="A174" s="20"/>
      <c r="B174" s="282"/>
    </row>
    <row r="175" spans="1:16" ht="24.95" customHeight="1" thickBot="1" x14ac:dyDescent="0.35">
      <c r="A175" s="297"/>
      <c r="B175" s="384" t="s">
        <v>623</v>
      </c>
      <c r="E175" s="293" t="s">
        <v>499</v>
      </c>
      <c r="F175" s="70"/>
      <c r="P175" s="5" t="b">
        <v>0</v>
      </c>
    </row>
    <row r="176" spans="1:16" ht="20.100000000000001" customHeight="1" thickBot="1" x14ac:dyDescent="0.35">
      <c r="A176" s="297"/>
      <c r="B176" s="383" t="s">
        <v>613</v>
      </c>
      <c r="E176" s="284">
        <v>0</v>
      </c>
      <c r="F176" s="70"/>
    </row>
    <row r="177" spans="1:16" ht="24.95" customHeight="1" x14ac:dyDescent="0.3">
      <c r="A177" s="20" t="s">
        <v>135</v>
      </c>
      <c r="B177" s="282" t="s">
        <v>53</v>
      </c>
    </row>
    <row r="178" spans="1:16" ht="15" customHeight="1" thickBot="1" x14ac:dyDescent="0.35">
      <c r="A178" s="20"/>
      <c r="B178" s="282"/>
    </row>
    <row r="179" spans="1:16" ht="20.100000000000001" customHeight="1" thickBot="1" x14ac:dyDescent="0.35">
      <c r="A179" s="297"/>
      <c r="B179" s="383" t="s">
        <v>612</v>
      </c>
      <c r="E179" s="284">
        <v>0</v>
      </c>
      <c r="F179" s="70"/>
      <c r="G179" s="108"/>
    </row>
    <row r="180" spans="1:16" ht="24.95" customHeight="1" x14ac:dyDescent="0.3">
      <c r="A180" s="20" t="s">
        <v>136</v>
      </c>
      <c r="B180" s="282" t="s">
        <v>54</v>
      </c>
    </row>
    <row r="181" spans="1:16" ht="15" customHeight="1" thickBot="1" x14ac:dyDescent="0.35">
      <c r="A181" s="20"/>
      <c r="B181" s="282"/>
    </row>
    <row r="182" spans="1:16" ht="20.100000000000001" customHeight="1" thickBot="1" x14ac:dyDescent="0.35">
      <c r="A182" s="297"/>
      <c r="B182" s="383" t="s">
        <v>611</v>
      </c>
      <c r="E182" s="284">
        <v>0</v>
      </c>
      <c r="F182" s="70"/>
      <c r="G182" s="108"/>
    </row>
    <row r="185" spans="1:16" ht="25.5" x14ac:dyDescent="0.35">
      <c r="A185" s="21">
        <v>4</v>
      </c>
      <c r="B185" s="109" t="s">
        <v>614</v>
      </c>
      <c r="D185" s="110"/>
    </row>
    <row r="186" spans="1:16" ht="25.5" x14ac:dyDescent="0.35">
      <c r="A186" s="21"/>
      <c r="B186" s="70" t="s">
        <v>616</v>
      </c>
      <c r="D186" s="110"/>
    </row>
    <row r="187" spans="1:16" ht="25.5" x14ac:dyDescent="0.35">
      <c r="A187" s="21"/>
      <c r="B187" s="109"/>
      <c r="D187" s="110"/>
    </row>
    <row r="188" spans="1:16" ht="21" thickBot="1" x14ac:dyDescent="0.35">
      <c r="A188" s="20" t="s">
        <v>225</v>
      </c>
      <c r="B188" s="346" t="s">
        <v>449</v>
      </c>
      <c r="C188" s="342">
        <f>IF(E188=D310,I512+I504,I524)</f>
        <v>0</v>
      </c>
      <c r="D188" s="344" t="s">
        <v>334</v>
      </c>
      <c r="E188" s="293" t="s">
        <v>447</v>
      </c>
      <c r="F188" s="388" t="str">
        <f>IF(E188=D310,""," &lt;-- Recuerde que debe seleccionar los Canales (4.b  y/o   4.c) y la Tarifa (4.d)!!!")</f>
        <v/>
      </c>
      <c r="P188" t="b">
        <f>E188=$D$310</f>
        <v>1</v>
      </c>
    </row>
    <row r="189" spans="1:16" ht="30" customHeight="1" x14ac:dyDescent="0.35">
      <c r="A189" s="21"/>
      <c r="B189" s="70" t="s">
        <v>488</v>
      </c>
      <c r="D189" s="110"/>
      <c r="F189" s="368" t="str">
        <f>IF(E188=D310,""," &lt;-- Recuerde que con las Tarifas a medida, solo se comisiona por el tráfico!!!")</f>
        <v/>
      </c>
    </row>
    <row r="190" spans="1:16" ht="15" customHeight="1" x14ac:dyDescent="0.35">
      <c r="A190" s="21"/>
      <c r="C190" s="70" t="s">
        <v>625</v>
      </c>
      <c r="D190" s="110"/>
    </row>
    <row r="191" spans="1:16" ht="15" customHeight="1" x14ac:dyDescent="0.35">
      <c r="A191" s="21"/>
      <c r="C191" s="70" t="s">
        <v>489</v>
      </c>
      <c r="D191" s="110"/>
    </row>
    <row r="192" spans="1:16" ht="15" customHeight="1" x14ac:dyDescent="0.35">
      <c r="A192" s="21"/>
      <c r="C192" s="70" t="s">
        <v>490</v>
      </c>
      <c r="D192" s="110"/>
    </row>
    <row r="193" spans="1:8" ht="15" customHeight="1" x14ac:dyDescent="0.35">
      <c r="A193" s="21"/>
      <c r="C193" s="70" t="s">
        <v>491</v>
      </c>
      <c r="D193" s="110"/>
    </row>
    <row r="194" spans="1:8" ht="25.5" x14ac:dyDescent="0.35">
      <c r="A194" s="21"/>
      <c r="C194" s="356" t="s">
        <v>583</v>
      </c>
      <c r="D194" s="110"/>
    </row>
    <row r="195" spans="1:8" ht="25.5" x14ac:dyDescent="0.35">
      <c r="A195" s="21"/>
      <c r="B195" s="385" t="s">
        <v>493</v>
      </c>
      <c r="D195" s="110"/>
    </row>
    <row r="196" spans="1:8" ht="25.5" x14ac:dyDescent="0.35">
      <c r="A196" s="20" t="s">
        <v>228</v>
      </c>
      <c r="B196" s="109" t="s">
        <v>450</v>
      </c>
      <c r="D196" s="110"/>
    </row>
    <row r="197" spans="1:8" ht="15" customHeight="1" x14ac:dyDescent="0.35">
      <c r="A197" s="20"/>
      <c r="B197" s="109"/>
      <c r="D197" s="110"/>
    </row>
    <row r="198" spans="1:8" ht="21" thickBot="1" x14ac:dyDescent="0.35">
      <c r="A198" s="297"/>
      <c r="B198" s="347" t="s">
        <v>482</v>
      </c>
      <c r="C198" s="342">
        <f>I515</f>
        <v>0</v>
      </c>
      <c r="D198" s="344" t="s">
        <v>477</v>
      </c>
      <c r="E198" s="293" t="s">
        <v>420</v>
      </c>
      <c r="F198" s="155" t="str">
        <f>IF(E198=$H$310,"&lt;-- Recuerde seleccionar la tarifa en Minutos en 4.d","")</f>
        <v/>
      </c>
    </row>
    <row r="199" spans="1:8" ht="30" customHeight="1" x14ac:dyDescent="0.3">
      <c r="A199" s="297"/>
      <c r="B199" s="294" t="s">
        <v>655</v>
      </c>
      <c r="C199" s="342"/>
      <c r="D199" s="344"/>
      <c r="E199" s="344"/>
    </row>
    <row r="200" spans="1:8" ht="16.5" customHeight="1" x14ac:dyDescent="0.3">
      <c r="C200" s="70" t="s">
        <v>454</v>
      </c>
      <c r="D200" s="344"/>
    </row>
    <row r="201" spans="1:8" ht="16.5" customHeight="1" x14ac:dyDescent="0.3">
      <c r="C201" s="70" t="s">
        <v>627</v>
      </c>
      <c r="D201" s="344"/>
    </row>
    <row r="202" spans="1:8" s="365" customFormat="1" ht="15" customHeight="1" x14ac:dyDescent="0.3">
      <c r="C202" s="77" t="s">
        <v>564</v>
      </c>
      <c r="D202" s="362"/>
      <c r="E202" s="364"/>
      <c r="F202" s="364"/>
      <c r="G202" s="364"/>
      <c r="H202" s="364"/>
    </row>
    <row r="203" spans="1:8" s="365" customFormat="1" ht="30" customHeight="1" x14ac:dyDescent="0.3">
      <c r="C203" s="77" t="s">
        <v>626</v>
      </c>
      <c r="D203" s="362"/>
      <c r="E203" s="364"/>
      <c r="F203" s="364"/>
      <c r="G203" s="364"/>
      <c r="H203" s="364"/>
    </row>
    <row r="204" spans="1:8" ht="25.5" x14ac:dyDescent="0.35">
      <c r="A204" s="20" t="s">
        <v>230</v>
      </c>
      <c r="B204" s="109" t="s">
        <v>433</v>
      </c>
      <c r="C204" s="110"/>
      <c r="D204" s="344"/>
    </row>
    <row r="205" spans="1:8" ht="15" customHeight="1" thickBot="1" x14ac:dyDescent="0.4">
      <c r="A205" s="20"/>
      <c r="B205" s="109"/>
      <c r="C205" s="110"/>
      <c r="D205" s="344"/>
    </row>
    <row r="206" spans="1:8" ht="20.100000000000001" customHeight="1" thickBot="1" x14ac:dyDescent="0.35">
      <c r="A206" s="297"/>
      <c r="B206" s="347" t="s">
        <v>481</v>
      </c>
      <c r="C206" s="342">
        <f>IF(OR(E206=0,E188=D310),0,I516)</f>
        <v>0</v>
      </c>
      <c r="D206" s="344" t="s">
        <v>478</v>
      </c>
      <c r="E206" s="292">
        <v>0</v>
      </c>
      <c r="F206" s="155" t="str">
        <f>IF(E206&gt;0,"&lt;-- Recuerde seleccionar la tarifa en Minutos en 4.d","")</f>
        <v/>
      </c>
    </row>
    <row r="207" spans="1:8" ht="30" customHeight="1" x14ac:dyDescent="0.3">
      <c r="A207" s="297"/>
      <c r="B207" s="294" t="s">
        <v>628</v>
      </c>
      <c r="C207" s="342"/>
      <c r="D207" s="344"/>
      <c r="E207" s="344"/>
    </row>
    <row r="208" spans="1:8" ht="20.100000000000001" customHeight="1" x14ac:dyDescent="0.3">
      <c r="A208" s="297"/>
      <c r="B208" s="294"/>
      <c r="C208" s="70" t="s">
        <v>629</v>
      </c>
      <c r="D208" s="344"/>
      <c r="E208" s="344"/>
    </row>
    <row r="209" spans="1:8" ht="16.5" customHeight="1" x14ac:dyDescent="0.3">
      <c r="C209" s="70" t="s">
        <v>584</v>
      </c>
      <c r="D209" s="344"/>
    </row>
    <row r="210" spans="1:8" ht="16.5" customHeight="1" x14ac:dyDescent="0.3">
      <c r="C210" s="70" t="s">
        <v>471</v>
      </c>
      <c r="D210" s="344"/>
    </row>
    <row r="211" spans="1:8" s="365" customFormat="1" ht="15" customHeight="1" x14ac:dyDescent="0.3">
      <c r="A211" s="359"/>
      <c r="C211" s="77" t="s">
        <v>565</v>
      </c>
      <c r="D211" s="362"/>
      <c r="E211" s="363"/>
      <c r="F211" s="364"/>
      <c r="G211" s="364"/>
      <c r="H211" s="364"/>
    </row>
    <row r="212" spans="1:8" s="365" customFormat="1" ht="30" customHeight="1" x14ac:dyDescent="0.3">
      <c r="A212" s="359"/>
      <c r="C212" s="77" t="s">
        <v>626</v>
      </c>
      <c r="D212" s="362"/>
      <c r="E212" s="363"/>
      <c r="F212" s="364"/>
      <c r="G212" s="364"/>
      <c r="H212" s="364"/>
    </row>
    <row r="213" spans="1:8" ht="25.5" x14ac:dyDescent="0.35">
      <c r="A213" s="20" t="s">
        <v>231</v>
      </c>
      <c r="B213" s="109" t="s">
        <v>642</v>
      </c>
      <c r="C213" s="110"/>
      <c r="D213" s="344"/>
    </row>
    <row r="214" spans="1:8" ht="30" customHeight="1" x14ac:dyDescent="0.3">
      <c r="A214" s="20"/>
      <c r="B214" s="343" t="s">
        <v>630</v>
      </c>
      <c r="C214" s="110"/>
      <c r="D214" s="344"/>
    </row>
    <row r="215" spans="1:8" ht="26.25" thickBot="1" x14ac:dyDescent="0.4">
      <c r="A215" s="20"/>
      <c r="B215" s="109"/>
      <c r="C215" s="110"/>
      <c r="D215" s="344"/>
    </row>
    <row r="216" spans="1:8" ht="20.100000000000001" customHeight="1" thickBot="1" x14ac:dyDescent="0.35">
      <c r="A216" s="297"/>
      <c r="B216" s="347" t="s">
        <v>483</v>
      </c>
      <c r="C216" s="342">
        <f>IF(P188,0,INDEX($J$308:$K$311,MATCH(E216,$J$308:$J$311,0),2))</f>
        <v>0</v>
      </c>
      <c r="D216" s="344" t="s">
        <v>334</v>
      </c>
      <c r="E216" s="291" t="s">
        <v>438</v>
      </c>
    </row>
    <row r="217" spans="1:8" s="365" customFormat="1" ht="30" customHeight="1" x14ac:dyDescent="0.3">
      <c r="A217" s="359"/>
      <c r="B217" s="386" t="s">
        <v>635</v>
      </c>
      <c r="C217" s="361"/>
      <c r="D217" s="362"/>
      <c r="E217" s="363"/>
      <c r="F217" s="364"/>
      <c r="G217" s="364"/>
      <c r="H217" s="364"/>
    </row>
    <row r="218" spans="1:8" s="365" customFormat="1" ht="15" customHeight="1" x14ac:dyDescent="0.3">
      <c r="A218" s="359"/>
      <c r="B218" s="386"/>
      <c r="C218" s="70" t="s">
        <v>636</v>
      </c>
      <c r="D218" s="362"/>
      <c r="E218" s="363"/>
      <c r="F218" s="364"/>
      <c r="G218" s="364"/>
      <c r="H218" s="364"/>
    </row>
    <row r="219" spans="1:8" ht="30" customHeight="1" x14ac:dyDescent="0.3">
      <c r="C219" s="360" t="s">
        <v>604</v>
      </c>
      <c r="D219" s="344"/>
    </row>
    <row r="220" spans="1:8" ht="24.95" customHeight="1" x14ac:dyDescent="0.35">
      <c r="A220" s="20" t="s">
        <v>232</v>
      </c>
      <c r="B220" s="109" t="s">
        <v>472</v>
      </c>
      <c r="D220" s="344"/>
    </row>
    <row r="221" spans="1:8" ht="15" customHeight="1" thickBot="1" x14ac:dyDescent="0.4">
      <c r="A221" s="20"/>
      <c r="B221" s="109"/>
      <c r="D221" s="344"/>
    </row>
    <row r="222" spans="1:8" ht="20.100000000000001" customHeight="1" thickBot="1" x14ac:dyDescent="0.4">
      <c r="A222" s="21"/>
      <c r="B222" s="347" t="s">
        <v>258</v>
      </c>
      <c r="C222" s="342">
        <f>G517*E222</f>
        <v>0</v>
      </c>
      <c r="D222" s="344" t="s">
        <v>479</v>
      </c>
      <c r="E222" s="292">
        <v>0</v>
      </c>
    </row>
    <row r="223" spans="1:8" ht="30" customHeight="1" x14ac:dyDescent="0.3">
      <c r="B223" s="294" t="s">
        <v>631</v>
      </c>
      <c r="C223" s="342"/>
      <c r="D223" s="344"/>
    </row>
    <row r="224" spans="1:8" s="365" customFormat="1" ht="15" customHeight="1" x14ac:dyDescent="0.3">
      <c r="A224" s="359"/>
      <c r="B224" s="347"/>
      <c r="C224" s="343" t="s">
        <v>632</v>
      </c>
      <c r="D224" s="362"/>
      <c r="E224" s="363"/>
      <c r="F224" s="364"/>
      <c r="G224" s="364"/>
      <c r="H224" s="364"/>
    </row>
    <row r="225" spans="1:16" s="365" customFormat="1" ht="15" customHeight="1" x14ac:dyDescent="0.3">
      <c r="A225" s="359"/>
      <c r="B225" s="70"/>
      <c r="C225" s="343" t="s">
        <v>461</v>
      </c>
      <c r="D225" s="362"/>
      <c r="E225" s="363"/>
      <c r="F225" s="364"/>
      <c r="G225" s="364"/>
      <c r="H225" s="364"/>
    </row>
    <row r="226" spans="1:16" ht="30" customHeight="1" x14ac:dyDescent="0.3">
      <c r="C226" s="360" t="s">
        <v>565</v>
      </c>
      <c r="D226" s="344"/>
    </row>
    <row r="227" spans="1:16" ht="25.5" x14ac:dyDescent="0.35">
      <c r="A227" s="22" t="s">
        <v>455</v>
      </c>
      <c r="B227" s="109" t="s">
        <v>460</v>
      </c>
      <c r="D227" s="344"/>
      <c r="P227" t="b">
        <v>0</v>
      </c>
    </row>
    <row r="228" spans="1:16" ht="16.5" customHeight="1" x14ac:dyDescent="0.3">
      <c r="D228" s="344"/>
    </row>
    <row r="229" spans="1:16" ht="20.100000000000001" customHeight="1" thickBot="1" x14ac:dyDescent="0.35">
      <c r="B229" s="348" t="s">
        <v>484</v>
      </c>
      <c r="C229" s="342">
        <f>I522</f>
        <v>0</v>
      </c>
      <c r="D229" s="344" t="s">
        <v>476</v>
      </c>
      <c r="E229" s="293" t="s">
        <v>420</v>
      </c>
      <c r="P229" s="5" t="b">
        <f>E229=$H$310</f>
        <v>0</v>
      </c>
    </row>
    <row r="230" spans="1:16" ht="20.100000000000001" customHeight="1" x14ac:dyDescent="0.3">
      <c r="B230" s="70" t="s">
        <v>633</v>
      </c>
      <c r="D230" s="344"/>
      <c r="E230" s="351">
        <v>1</v>
      </c>
      <c r="P230" s="5"/>
    </row>
    <row r="231" spans="1:16" s="365" customFormat="1" ht="30" customHeight="1" x14ac:dyDescent="0.3">
      <c r="A231" s="359"/>
      <c r="B231" s="294" t="s">
        <v>634</v>
      </c>
      <c r="C231" s="361"/>
      <c r="D231" s="362"/>
      <c r="E231" s="363"/>
      <c r="F231" s="364"/>
      <c r="G231" s="364"/>
      <c r="H231" s="364"/>
    </row>
    <row r="232" spans="1:16" s="365" customFormat="1" ht="15" customHeight="1" x14ac:dyDescent="0.25">
      <c r="A232" s="359"/>
      <c r="B232" s="360"/>
      <c r="C232" s="112" t="s">
        <v>200</v>
      </c>
      <c r="D232" s="362"/>
      <c r="E232" s="363"/>
      <c r="F232" s="364"/>
      <c r="G232" s="364"/>
      <c r="H232" s="364"/>
    </row>
    <row r="233" spans="1:16" s="365" customFormat="1" ht="30" customHeight="1" x14ac:dyDescent="0.3">
      <c r="A233" s="359"/>
      <c r="B233" s="360"/>
      <c r="C233" s="360" t="s">
        <v>565</v>
      </c>
      <c r="D233" s="362"/>
      <c r="E233" s="363"/>
      <c r="F233" s="364"/>
      <c r="G233" s="364"/>
      <c r="H233" s="364"/>
    </row>
    <row r="234" spans="1:16" ht="20.100000000000001" customHeight="1" x14ac:dyDescent="0.35">
      <c r="A234" s="20" t="s">
        <v>459</v>
      </c>
      <c r="B234" s="109" t="s">
        <v>457</v>
      </c>
      <c r="D234" s="344"/>
      <c r="P234" s="5"/>
    </row>
    <row r="235" spans="1:16" ht="20.100000000000001" customHeight="1" x14ac:dyDescent="0.3">
      <c r="B235" s="63"/>
      <c r="D235" s="344"/>
      <c r="P235" s="5"/>
    </row>
    <row r="236" spans="1:16" ht="20.100000000000001" customHeight="1" thickBot="1" x14ac:dyDescent="0.35">
      <c r="B236" s="348" t="s">
        <v>485</v>
      </c>
      <c r="C236" s="342">
        <f>I523</f>
        <v>0</v>
      </c>
      <c r="D236" s="344" t="str">
        <f>D229</f>
        <v>Mensual/Servicio</v>
      </c>
      <c r="E236" s="293" t="s">
        <v>420</v>
      </c>
      <c r="P236" s="5" t="b">
        <f>E236=$H$310</f>
        <v>0</v>
      </c>
    </row>
    <row r="237" spans="1:16" ht="20.100000000000001" customHeight="1" x14ac:dyDescent="0.3">
      <c r="B237" s="70" t="s">
        <v>633</v>
      </c>
      <c r="E237" s="351">
        <v>1</v>
      </c>
      <c r="F237" s="155" t="str">
        <f>IF(E237&gt;E206+1,"Hay mas Nº de RED que Troncales","")</f>
        <v/>
      </c>
      <c r="P237" s="5"/>
    </row>
    <row r="238" spans="1:16" s="365" customFormat="1" ht="30" customHeight="1" x14ac:dyDescent="0.3">
      <c r="A238" s="359"/>
      <c r="B238" s="294" t="s">
        <v>634</v>
      </c>
      <c r="C238" s="63"/>
      <c r="D238" s="362"/>
      <c r="E238" s="363"/>
      <c r="F238" s="364"/>
      <c r="G238" s="364"/>
      <c r="H238" s="364"/>
    </row>
    <row r="239" spans="1:16" s="365" customFormat="1" ht="15" customHeight="1" x14ac:dyDescent="0.3">
      <c r="A239" s="359"/>
      <c r="B239" s="70"/>
      <c r="C239" s="63" t="s">
        <v>458</v>
      </c>
      <c r="D239" s="362"/>
      <c r="E239" s="363"/>
      <c r="F239" s="364"/>
      <c r="G239" s="364"/>
      <c r="H239" s="364"/>
    </row>
    <row r="240" spans="1:16" s="365" customFormat="1" ht="15" customHeight="1" x14ac:dyDescent="0.3">
      <c r="A240" s="359"/>
      <c r="B240" s="360"/>
      <c r="C240" s="360" t="s">
        <v>565</v>
      </c>
      <c r="D240" s="362"/>
      <c r="E240" s="363"/>
      <c r="F240" s="364"/>
      <c r="G240" s="364"/>
      <c r="H240" s="364"/>
    </row>
    <row r="241" spans="1:16" s="365" customFormat="1" ht="30" customHeight="1" x14ac:dyDescent="0.3">
      <c r="A241" s="359"/>
      <c r="B241" s="360"/>
      <c r="C241" s="361"/>
      <c r="D241" s="362"/>
      <c r="E241" s="363"/>
      <c r="F241" s="364"/>
      <c r="G241" s="364"/>
      <c r="H241" s="364"/>
    </row>
    <row r="242" spans="1:16" ht="20.100000000000001" customHeight="1" x14ac:dyDescent="0.3">
      <c r="B242" s="63"/>
      <c r="P242" s="5"/>
    </row>
    <row r="243" spans="1:16" ht="20.100000000000001" customHeight="1" x14ac:dyDescent="0.3">
      <c r="B243" s="385" t="s">
        <v>637</v>
      </c>
    </row>
    <row r="245" spans="1:16" ht="24.95" customHeight="1" x14ac:dyDescent="0.35">
      <c r="A245" s="20" t="s">
        <v>487</v>
      </c>
      <c r="B245" s="109" t="s">
        <v>644</v>
      </c>
    </row>
    <row r="246" spans="1:16" ht="15" customHeight="1" thickBot="1" x14ac:dyDescent="0.4">
      <c r="A246" s="20"/>
      <c r="B246" s="109"/>
    </row>
    <row r="247" spans="1:16" ht="21" thickBot="1" x14ac:dyDescent="0.35">
      <c r="A247" s="297"/>
      <c r="B247" s="348" t="s">
        <v>486</v>
      </c>
      <c r="C247" s="342">
        <f>I525</f>
        <v>0</v>
      </c>
      <c r="D247" s="344" t="s">
        <v>475</v>
      </c>
      <c r="E247" s="345" t="s">
        <v>496</v>
      </c>
      <c r="F247" s="155" t="str">
        <f>IF(AND(E188=D310,E247=B311)," &lt;-- Incluida en la Tarifa Plana","")</f>
        <v/>
      </c>
      <c r="P247" s="5" t="b">
        <f>E247=B311</f>
        <v>0</v>
      </c>
    </row>
    <row r="248" spans="1:16" ht="16.5" customHeight="1" x14ac:dyDescent="0.3">
      <c r="D248" s="344"/>
    </row>
    <row r="249" spans="1:16" ht="20.100000000000001" customHeight="1" x14ac:dyDescent="0.3">
      <c r="A249" s="297"/>
      <c r="B249" s="295" t="s">
        <v>600</v>
      </c>
      <c r="C249" s="342">
        <f>IF(P249,G526,0)</f>
        <v>6</v>
      </c>
      <c r="D249" s="344" t="str">
        <f>D247</f>
        <v>Mensual/FIBRA</v>
      </c>
      <c r="E249" s="352" t="s">
        <v>499</v>
      </c>
      <c r="P249" s="5" t="b">
        <f>E249=$H$310</f>
        <v>1</v>
      </c>
    </row>
    <row r="250" spans="1:16" ht="15" customHeight="1" x14ac:dyDescent="0.3">
      <c r="A250" s="297"/>
      <c r="B250" s="295"/>
      <c r="D250" s="344"/>
      <c r="P250" s="5"/>
    </row>
    <row r="251" spans="1:16" ht="20.100000000000001" customHeight="1" thickBot="1" x14ac:dyDescent="0.35">
      <c r="A251" s="297"/>
      <c r="B251" s="295" t="s">
        <v>601</v>
      </c>
      <c r="C251" s="342">
        <f>IF(P251,G527,0)</f>
        <v>0</v>
      </c>
      <c r="D251" s="344" t="str">
        <f>D249</f>
        <v>Mensual/FIBRA</v>
      </c>
      <c r="E251" s="293" t="s">
        <v>420</v>
      </c>
      <c r="P251" s="5" t="b">
        <f>E251=$H$310</f>
        <v>0</v>
      </c>
    </row>
    <row r="252" spans="1:16" ht="15" customHeight="1" thickBot="1" x14ac:dyDescent="0.35">
      <c r="A252" s="297"/>
      <c r="B252" s="295"/>
    </row>
    <row r="253" spans="1:16" ht="20.100000000000001" customHeight="1" thickBot="1" x14ac:dyDescent="0.35">
      <c r="A253" s="297"/>
      <c r="B253" s="295" t="s">
        <v>443</v>
      </c>
      <c r="C253" s="342">
        <f>IF(E253=H368,0,IF(E253=H369,I488,I489))</f>
        <v>0</v>
      </c>
      <c r="D253" s="344" t="str">
        <f>IF(E253=H368,"","1 Solo pago")</f>
        <v/>
      </c>
      <c r="E253" s="291" t="s">
        <v>444</v>
      </c>
    </row>
    <row r="254" spans="1:16" ht="20.100000000000001" customHeight="1" x14ac:dyDescent="0.3">
      <c r="B254" s="295"/>
    </row>
    <row r="255" spans="1:16" ht="30" customHeight="1" x14ac:dyDescent="0.35">
      <c r="A255" s="21">
        <v>5</v>
      </c>
      <c r="B255" s="109" t="s">
        <v>624</v>
      </c>
    </row>
    <row r="257" spans="1:5" ht="25.5" x14ac:dyDescent="0.35">
      <c r="A257" s="22" t="s">
        <v>615</v>
      </c>
      <c r="B257" s="109" t="s">
        <v>462</v>
      </c>
      <c r="C257" s="150"/>
    </row>
    <row r="258" spans="1:5" ht="17.25" thickBot="1" x14ac:dyDescent="0.35">
      <c r="B258" s="63" t="s">
        <v>253</v>
      </c>
    </row>
    <row r="259" spans="1:5" ht="27" thickBot="1" x14ac:dyDescent="0.4">
      <c r="C259" s="342">
        <f>G535</f>
        <v>14</v>
      </c>
      <c r="D259" s="344" t="s">
        <v>576</v>
      </c>
      <c r="E259" s="104">
        <v>0</v>
      </c>
    </row>
    <row r="262" spans="1:5" ht="16.5" customHeight="1" x14ac:dyDescent="0.3">
      <c r="C262" s="63" t="s">
        <v>643</v>
      </c>
    </row>
    <row r="263" spans="1:5" ht="16.5" customHeight="1" x14ac:dyDescent="0.3">
      <c r="C263" s="63" t="s">
        <v>307</v>
      </c>
    </row>
    <row r="266" spans="1:5" ht="18.75" hidden="1" x14ac:dyDescent="0.3">
      <c r="A266" s="22"/>
      <c r="B266" s="107"/>
    </row>
    <row r="267" spans="1:5" ht="16.5" hidden="1" customHeight="1" x14ac:dyDescent="0.3"/>
    <row r="268" spans="1:5" ht="16.5" hidden="1" customHeight="1" x14ac:dyDescent="0.3"/>
    <row r="269" spans="1:5" ht="16.5" hidden="1" customHeight="1" x14ac:dyDescent="0.3"/>
    <row r="270" spans="1:5" ht="16.5" hidden="1" customHeight="1" x14ac:dyDescent="0.3"/>
    <row r="271" spans="1:5" ht="16.5" hidden="1" customHeight="1" x14ac:dyDescent="0.3"/>
    <row r="272" spans="1:5" ht="16.5" hidden="1" customHeight="1" x14ac:dyDescent="0.3"/>
    <row r="273" spans="1:10" ht="16.5" hidden="1" customHeight="1" x14ac:dyDescent="0.3"/>
    <row r="274" spans="1:10" ht="16.5" hidden="1" customHeight="1" x14ac:dyDescent="0.3"/>
    <row r="275" spans="1:10" ht="16.5" hidden="1" customHeight="1" x14ac:dyDescent="0.3"/>
    <row r="276" spans="1:10" ht="16.5" hidden="1" customHeight="1" x14ac:dyDescent="0.3"/>
    <row r="277" spans="1:10" ht="16.5" hidden="1" customHeight="1" x14ac:dyDescent="0.3"/>
    <row r="278" spans="1:10" ht="16.5" hidden="1" customHeight="1" x14ac:dyDescent="0.3">
      <c r="F278" s="311"/>
      <c r="G278" s="311"/>
      <c r="I278" s="45"/>
      <c r="J278" s="45"/>
    </row>
    <row r="279" spans="1:10" ht="16.5" hidden="1" customHeight="1" x14ac:dyDescent="0.3">
      <c r="E279" s="311"/>
      <c r="F279" s="311"/>
      <c r="G279" s="311"/>
      <c r="I279" s="45"/>
      <c r="J279" s="45"/>
    </row>
    <row r="280" spans="1:10" hidden="1" x14ac:dyDescent="0.3">
      <c r="E280" s="311"/>
      <c r="F280" s="311"/>
      <c r="G280" s="311"/>
      <c r="I280" s="45"/>
      <c r="J280" s="45"/>
    </row>
    <row r="281" spans="1:10" hidden="1" x14ac:dyDescent="0.3">
      <c r="E281" s="311"/>
      <c r="F281" s="311"/>
      <c r="G281" s="311"/>
      <c r="I281" s="45"/>
      <c r="J281" s="45"/>
    </row>
    <row r="282" spans="1:10" hidden="1" x14ac:dyDescent="0.3">
      <c r="E282" s="311"/>
      <c r="F282" s="311"/>
      <c r="G282" s="311"/>
      <c r="I282" s="45"/>
      <c r="J282" s="45"/>
    </row>
    <row r="283" spans="1:10" ht="16.5" hidden="1" customHeight="1" x14ac:dyDescent="0.3"/>
    <row r="284" spans="1:10" ht="24.95" customHeight="1" x14ac:dyDescent="0.35">
      <c r="B284" s="109" t="s">
        <v>498</v>
      </c>
    </row>
    <row r="286" spans="1:10" ht="16.5" customHeight="1" x14ac:dyDescent="0.3">
      <c r="A286" t="s">
        <v>191</v>
      </c>
      <c r="B286" s="70" t="s">
        <v>577</v>
      </c>
    </row>
    <row r="287" spans="1:10" ht="16.5" customHeight="1" x14ac:dyDescent="0.3">
      <c r="A287" t="s">
        <v>192</v>
      </c>
      <c r="B287" s="70" t="s">
        <v>578</v>
      </c>
    </row>
    <row r="288" spans="1:10" ht="16.5" customHeight="1" x14ac:dyDescent="0.3">
      <c r="A288" t="s">
        <v>349</v>
      </c>
      <c r="B288" s="70" t="s">
        <v>579</v>
      </c>
    </row>
    <row r="289" spans="1:11" ht="16.5" customHeight="1" x14ac:dyDescent="0.3">
      <c r="A289" t="s">
        <v>194</v>
      </c>
      <c r="B289" s="70" t="s">
        <v>422</v>
      </c>
    </row>
    <row r="291" spans="1:11" ht="16.5" hidden="1" customHeight="1" x14ac:dyDescent="0.3"/>
    <row r="292" spans="1:11" ht="16.5" hidden="1" customHeight="1" x14ac:dyDescent="0.3"/>
    <row r="293" spans="1:11" ht="16.5" hidden="1" customHeight="1" x14ac:dyDescent="0.3"/>
    <row r="294" spans="1:11" ht="16.5" hidden="1" customHeight="1" x14ac:dyDescent="0.3"/>
    <row r="295" spans="1:11" ht="16.5" hidden="1" customHeight="1" x14ac:dyDescent="0.3">
      <c r="F295" s="63" t="b">
        <v>0</v>
      </c>
    </row>
    <row r="296" spans="1:11" ht="16.5" customHeight="1" x14ac:dyDescent="0.3">
      <c r="B296" s="70" t="s">
        <v>593</v>
      </c>
    </row>
    <row r="297" spans="1:11" ht="16.5" customHeight="1" x14ac:dyDescent="0.3">
      <c r="A297" s="70" t="s">
        <v>459</v>
      </c>
      <c r="B297" s="70" t="s">
        <v>416</v>
      </c>
    </row>
    <row r="298" spans="1:11" ht="16.5" customHeight="1" x14ac:dyDescent="0.3">
      <c r="B298" s="391" t="s">
        <v>580</v>
      </c>
      <c r="C298" s="391"/>
      <c r="D298" s="391"/>
      <c r="E298" s="391"/>
      <c r="F298" s="391"/>
      <c r="G298" s="391"/>
      <c r="H298" s="391"/>
      <c r="I298" s="391"/>
      <c r="J298" s="391"/>
      <c r="K298" s="391"/>
    </row>
    <row r="299" spans="1:11" ht="16.5" customHeight="1" x14ac:dyDescent="0.3">
      <c r="B299" s="391"/>
      <c r="C299" s="391"/>
      <c r="D299" s="391"/>
      <c r="E299" s="391"/>
      <c r="F299" s="391"/>
      <c r="G299" s="391"/>
      <c r="H299" s="391"/>
      <c r="I299" s="391"/>
      <c r="J299" s="391"/>
      <c r="K299" s="391"/>
    </row>
    <row r="300" spans="1:11" ht="16.5" customHeight="1" x14ac:dyDescent="0.3">
      <c r="B300" s="391"/>
      <c r="C300" s="391"/>
      <c r="D300" s="391"/>
      <c r="E300" s="391"/>
      <c r="F300" s="391"/>
      <c r="G300" s="391"/>
      <c r="H300" s="391"/>
      <c r="I300" s="391"/>
      <c r="J300" s="391"/>
      <c r="K300" s="391"/>
    </row>
    <row r="301" spans="1:11" ht="16.5" customHeight="1" x14ac:dyDescent="0.3">
      <c r="A301" t="s">
        <v>497</v>
      </c>
      <c r="B301" s="70" t="s">
        <v>492</v>
      </c>
      <c r="D301" s="390" t="s">
        <v>201</v>
      </c>
      <c r="E301" s="390"/>
      <c r="F301" s="390"/>
      <c r="G301" s="390"/>
      <c r="H301" s="390"/>
      <c r="I301" s="390"/>
      <c r="J301" s="390"/>
      <c r="K301" s="390"/>
    </row>
    <row r="302" spans="1:11" ht="16.5" customHeight="1" x14ac:dyDescent="0.3">
      <c r="B302" s="63"/>
      <c r="D302" s="390"/>
      <c r="E302" s="390"/>
      <c r="F302" s="390"/>
      <c r="G302" s="390"/>
      <c r="H302" s="390"/>
      <c r="I302" s="390"/>
      <c r="J302" s="390"/>
      <c r="K302" s="390"/>
    </row>
    <row r="303" spans="1:11" ht="16.5" customHeight="1" x14ac:dyDescent="0.3">
      <c r="A303" t="s">
        <v>606</v>
      </c>
      <c r="B303" s="63" t="s">
        <v>607</v>
      </c>
      <c r="C303" s="311"/>
      <c r="D303" s="349"/>
      <c r="E303" s="349"/>
      <c r="F303" s="349"/>
      <c r="G303" s="349"/>
      <c r="H303" s="349"/>
      <c r="I303" s="349"/>
      <c r="J303" s="349"/>
      <c r="K303" s="349"/>
    </row>
    <row r="304" spans="1:11" ht="16.5" customHeight="1" x14ac:dyDescent="0.3">
      <c r="A304" s="54"/>
      <c r="B304" s="64"/>
      <c r="C304" s="64" t="s">
        <v>254</v>
      </c>
      <c r="D304" s="64"/>
      <c r="E304" s="113" t="str">
        <f>"Marzo-2020"</f>
        <v>Marzo-2020</v>
      </c>
      <c r="F304" s="64"/>
      <c r="G304" s="64"/>
      <c r="H304" s="64"/>
      <c r="I304" s="64"/>
      <c r="J304" s="64"/>
      <c r="K304" s="64"/>
    </row>
    <row r="307" spans="2:11" ht="16.5" customHeight="1" x14ac:dyDescent="0.3">
      <c r="J307" s="296" t="s">
        <v>417</v>
      </c>
      <c r="K307" s="296" t="s">
        <v>418</v>
      </c>
    </row>
    <row r="308" spans="2:11" ht="16.5" customHeight="1" x14ac:dyDescent="0.3">
      <c r="J308" s="296" t="s">
        <v>438</v>
      </c>
      <c r="K308" s="296">
        <f>E518</f>
        <v>34.9</v>
      </c>
    </row>
    <row r="309" spans="2:11" ht="16.5" customHeight="1" x14ac:dyDescent="0.3">
      <c r="H309" s="63" t="s">
        <v>241</v>
      </c>
      <c r="J309" s="296" t="s">
        <v>439</v>
      </c>
      <c r="K309" s="296">
        <f>E519</f>
        <v>69.900000000000006</v>
      </c>
    </row>
    <row r="310" spans="2:11" x14ac:dyDescent="0.3">
      <c r="B310" s="114" t="s">
        <v>496</v>
      </c>
      <c r="D310" s="116" t="s">
        <v>447</v>
      </c>
      <c r="F310" s="275" t="b">
        <v>0</v>
      </c>
      <c r="H310" s="116" t="s">
        <v>499</v>
      </c>
      <c r="J310" s="296" t="s">
        <v>440</v>
      </c>
      <c r="K310" s="296">
        <f>E520</f>
        <v>94.9</v>
      </c>
    </row>
    <row r="311" spans="2:11" x14ac:dyDescent="0.3">
      <c r="B311" s="115" t="s">
        <v>480</v>
      </c>
      <c r="D311" s="118" t="s">
        <v>448</v>
      </c>
      <c r="H311" s="118" t="s">
        <v>420</v>
      </c>
      <c r="J311" s="296" t="s">
        <v>441</v>
      </c>
      <c r="K311" s="296">
        <f>E521</f>
        <v>144.9</v>
      </c>
    </row>
    <row r="315" spans="2:11" x14ac:dyDescent="0.3">
      <c r="B315" s="70" t="s">
        <v>176</v>
      </c>
      <c r="C315" s="63" t="s">
        <v>177</v>
      </c>
      <c r="D315" s="116" t="s">
        <v>178</v>
      </c>
    </row>
    <row r="316" spans="2:11" x14ac:dyDescent="0.3">
      <c r="B316" s="70" t="s">
        <v>183</v>
      </c>
      <c r="C316" s="63" t="s">
        <v>179</v>
      </c>
      <c r="D316" s="117" t="s">
        <v>183</v>
      </c>
    </row>
    <row r="317" spans="2:11" x14ac:dyDescent="0.3">
      <c r="B317" s="70" t="s">
        <v>153</v>
      </c>
      <c r="C317" s="63" t="s">
        <v>138</v>
      </c>
      <c r="D317" s="117" t="s">
        <v>179</v>
      </c>
    </row>
    <row r="318" spans="2:11" x14ac:dyDescent="0.3">
      <c r="B318" s="70" t="s">
        <v>154</v>
      </c>
      <c r="C318" s="63" t="s">
        <v>139</v>
      </c>
      <c r="D318" s="117" t="s">
        <v>153</v>
      </c>
    </row>
    <row r="319" spans="2:11" x14ac:dyDescent="0.3">
      <c r="B319" s="70" t="s">
        <v>155</v>
      </c>
      <c r="C319" s="63" t="s">
        <v>140</v>
      </c>
      <c r="D319" s="117" t="s">
        <v>138</v>
      </c>
    </row>
    <row r="320" spans="2:11" x14ac:dyDescent="0.3">
      <c r="B320" s="70" t="s">
        <v>184</v>
      </c>
      <c r="C320" s="63" t="s">
        <v>180</v>
      </c>
      <c r="D320" s="117" t="s">
        <v>154</v>
      </c>
    </row>
    <row r="321" spans="2:4" x14ac:dyDescent="0.3">
      <c r="B321" s="70" t="s">
        <v>156</v>
      </c>
      <c r="C321" s="63" t="s">
        <v>141</v>
      </c>
      <c r="D321" s="117" t="s">
        <v>155</v>
      </c>
    </row>
    <row r="322" spans="2:4" x14ac:dyDescent="0.3">
      <c r="B322" s="70" t="s">
        <v>157</v>
      </c>
      <c r="C322" s="63" t="s">
        <v>142</v>
      </c>
      <c r="D322" s="117" t="s">
        <v>139</v>
      </c>
    </row>
    <row r="323" spans="2:4" x14ac:dyDescent="0.3">
      <c r="B323" s="70" t="s">
        <v>158</v>
      </c>
      <c r="C323" s="63" t="s">
        <v>143</v>
      </c>
      <c r="D323" s="117" t="s">
        <v>184</v>
      </c>
    </row>
    <row r="324" spans="2:4" x14ac:dyDescent="0.3">
      <c r="B324" s="70" t="s">
        <v>185</v>
      </c>
      <c r="C324" s="63" t="s">
        <v>181</v>
      </c>
      <c r="D324" s="117" t="s">
        <v>156</v>
      </c>
    </row>
    <row r="325" spans="2:4" x14ac:dyDescent="0.3">
      <c r="B325" s="70" t="s">
        <v>159</v>
      </c>
      <c r="C325" s="63" t="s">
        <v>144</v>
      </c>
      <c r="D325" s="117" t="s">
        <v>157</v>
      </c>
    </row>
    <row r="326" spans="2:4" x14ac:dyDescent="0.3">
      <c r="B326" s="70" t="s">
        <v>160</v>
      </c>
      <c r="C326" s="63" t="s">
        <v>145</v>
      </c>
      <c r="D326" s="117" t="s">
        <v>140</v>
      </c>
    </row>
    <row r="327" spans="2:4" x14ac:dyDescent="0.3">
      <c r="B327" s="70" t="s">
        <v>237</v>
      </c>
      <c r="C327" s="63" t="s">
        <v>146</v>
      </c>
      <c r="D327" s="117" t="s">
        <v>158</v>
      </c>
    </row>
    <row r="328" spans="2:4" x14ac:dyDescent="0.3">
      <c r="B328" s="70" t="s">
        <v>161</v>
      </c>
      <c r="C328" s="63" t="s">
        <v>182</v>
      </c>
      <c r="D328" s="117" t="s">
        <v>185</v>
      </c>
    </row>
    <row r="329" spans="2:4" x14ac:dyDescent="0.3">
      <c r="B329" s="70" t="s">
        <v>162</v>
      </c>
      <c r="C329" s="63" t="s">
        <v>147</v>
      </c>
      <c r="D329" s="117" t="s">
        <v>180</v>
      </c>
    </row>
    <row r="330" spans="2:4" x14ac:dyDescent="0.3">
      <c r="B330" s="70" t="s">
        <v>175</v>
      </c>
      <c r="C330" s="63" t="s">
        <v>148</v>
      </c>
      <c r="D330" s="117" t="s">
        <v>159</v>
      </c>
    </row>
    <row r="331" spans="2:4" x14ac:dyDescent="0.3">
      <c r="B331" s="70" t="s">
        <v>163</v>
      </c>
      <c r="C331" s="63" t="s">
        <v>149</v>
      </c>
      <c r="D331" s="117" t="s">
        <v>141</v>
      </c>
    </row>
    <row r="332" spans="2:4" x14ac:dyDescent="0.3">
      <c r="B332" s="70" t="s">
        <v>164</v>
      </c>
      <c r="C332" s="63" t="s">
        <v>169</v>
      </c>
      <c r="D332" s="117" t="s">
        <v>142</v>
      </c>
    </row>
    <row r="333" spans="2:4" x14ac:dyDescent="0.3">
      <c r="B333" s="70" t="s">
        <v>165</v>
      </c>
      <c r="C333" s="63" t="s">
        <v>150</v>
      </c>
      <c r="D333" s="117" t="s">
        <v>160</v>
      </c>
    </row>
    <row r="334" spans="2:4" x14ac:dyDescent="0.3">
      <c r="B334" s="70" t="s">
        <v>186</v>
      </c>
      <c r="C334" s="63" t="s">
        <v>151</v>
      </c>
      <c r="D334" s="117" t="s">
        <v>143</v>
      </c>
    </row>
    <row r="335" spans="2:4" x14ac:dyDescent="0.3">
      <c r="B335" s="70" t="s">
        <v>166</v>
      </c>
      <c r="C335" s="63" t="s">
        <v>152</v>
      </c>
      <c r="D335" s="117" t="s">
        <v>181</v>
      </c>
    </row>
    <row r="336" spans="2:4" x14ac:dyDescent="0.3">
      <c r="B336" s="70" t="s">
        <v>167</v>
      </c>
      <c r="D336" s="117" t="s">
        <v>237</v>
      </c>
    </row>
    <row r="337" spans="2:4" x14ac:dyDescent="0.3">
      <c r="B337" s="70" t="s">
        <v>168</v>
      </c>
      <c r="D337" s="117" t="s">
        <v>144</v>
      </c>
    </row>
    <row r="338" spans="2:4" x14ac:dyDescent="0.3">
      <c r="B338" s="70" t="s">
        <v>187</v>
      </c>
      <c r="D338" s="117" t="s">
        <v>145</v>
      </c>
    </row>
    <row r="339" spans="2:4" x14ac:dyDescent="0.3">
      <c r="B339" s="70" t="s">
        <v>169</v>
      </c>
      <c r="D339" s="117" t="s">
        <v>146</v>
      </c>
    </row>
    <row r="340" spans="2:4" x14ac:dyDescent="0.3">
      <c r="B340" s="70" t="s">
        <v>170</v>
      </c>
      <c r="D340" s="117" t="s">
        <v>161</v>
      </c>
    </row>
    <row r="341" spans="2:4" x14ac:dyDescent="0.3">
      <c r="B341" s="70" t="s">
        <v>188</v>
      </c>
      <c r="D341" s="117" t="s">
        <v>162</v>
      </c>
    </row>
    <row r="342" spans="2:4" x14ac:dyDescent="0.3">
      <c r="B342" s="70" t="s">
        <v>171</v>
      </c>
      <c r="D342" s="117" t="s">
        <v>175</v>
      </c>
    </row>
    <row r="343" spans="2:4" x14ac:dyDescent="0.3">
      <c r="B343" s="70" t="s">
        <v>172</v>
      </c>
      <c r="D343" s="117" t="s">
        <v>182</v>
      </c>
    </row>
    <row r="344" spans="2:4" x14ac:dyDescent="0.3">
      <c r="B344" s="70" t="s">
        <v>173</v>
      </c>
      <c r="D344" s="117" t="s">
        <v>163</v>
      </c>
    </row>
    <row r="345" spans="2:4" x14ac:dyDescent="0.3">
      <c r="B345" s="70" t="s">
        <v>189</v>
      </c>
      <c r="D345" s="117" t="s">
        <v>164</v>
      </c>
    </row>
    <row r="346" spans="2:4" x14ac:dyDescent="0.3">
      <c r="B346" s="70" t="s">
        <v>174</v>
      </c>
      <c r="D346" s="117" t="s">
        <v>165</v>
      </c>
    </row>
    <row r="347" spans="2:4" x14ac:dyDescent="0.3">
      <c r="D347" s="117" t="s">
        <v>186</v>
      </c>
    </row>
    <row r="348" spans="2:4" x14ac:dyDescent="0.3">
      <c r="D348" s="117" t="s">
        <v>166</v>
      </c>
    </row>
    <row r="349" spans="2:4" x14ac:dyDescent="0.3">
      <c r="D349" s="117" t="s">
        <v>167</v>
      </c>
    </row>
    <row r="350" spans="2:4" x14ac:dyDescent="0.3">
      <c r="D350" s="117" t="s">
        <v>168</v>
      </c>
    </row>
    <row r="351" spans="2:4" x14ac:dyDescent="0.3">
      <c r="D351" s="117" t="s">
        <v>147</v>
      </c>
    </row>
    <row r="352" spans="2:4" x14ac:dyDescent="0.3">
      <c r="D352" s="117" t="s">
        <v>187</v>
      </c>
    </row>
    <row r="353" spans="4:10" x14ac:dyDescent="0.3">
      <c r="D353" s="117" t="s">
        <v>148</v>
      </c>
    </row>
    <row r="354" spans="4:10" x14ac:dyDescent="0.3">
      <c r="D354" s="117" t="s">
        <v>149</v>
      </c>
    </row>
    <row r="355" spans="4:10" x14ac:dyDescent="0.3">
      <c r="D355" s="117" t="s">
        <v>169</v>
      </c>
    </row>
    <row r="356" spans="4:10" x14ac:dyDescent="0.3">
      <c r="D356" s="117" t="s">
        <v>169</v>
      </c>
    </row>
    <row r="357" spans="4:10" x14ac:dyDescent="0.3">
      <c r="D357" s="117" t="s">
        <v>150</v>
      </c>
    </row>
    <row r="358" spans="4:10" x14ac:dyDescent="0.3">
      <c r="D358" s="117" t="s">
        <v>170</v>
      </c>
    </row>
    <row r="359" spans="4:10" x14ac:dyDescent="0.3">
      <c r="D359" s="117" t="s">
        <v>188</v>
      </c>
    </row>
    <row r="360" spans="4:10" x14ac:dyDescent="0.3">
      <c r="D360" s="117" t="s">
        <v>151</v>
      </c>
    </row>
    <row r="361" spans="4:10" x14ac:dyDescent="0.3">
      <c r="D361" s="117" t="s">
        <v>171</v>
      </c>
    </row>
    <row r="362" spans="4:10" x14ac:dyDescent="0.3">
      <c r="D362" s="117" t="s">
        <v>172</v>
      </c>
    </row>
    <row r="363" spans="4:10" x14ac:dyDescent="0.3">
      <c r="D363" s="117" t="s">
        <v>173</v>
      </c>
    </row>
    <row r="364" spans="4:10" x14ac:dyDescent="0.3">
      <c r="D364" s="117" t="s">
        <v>189</v>
      </c>
    </row>
    <row r="365" spans="4:10" x14ac:dyDescent="0.3">
      <c r="D365" s="117" t="s">
        <v>152</v>
      </c>
    </row>
    <row r="366" spans="4:10" x14ac:dyDescent="0.3">
      <c r="D366" s="118" t="s">
        <v>174</v>
      </c>
    </row>
    <row r="368" spans="4:10" ht="16.5" customHeight="1" x14ac:dyDescent="0.3">
      <c r="H368" s="116" t="s">
        <v>444</v>
      </c>
      <c r="J368" s="149" t="s">
        <v>57</v>
      </c>
    </row>
    <row r="369" spans="2:11" ht="16.5" customHeight="1" x14ac:dyDescent="0.3">
      <c r="H369" s="117" t="s">
        <v>445</v>
      </c>
      <c r="J369" t="s">
        <v>530</v>
      </c>
    </row>
    <row r="370" spans="2:11" ht="16.5" customHeight="1" x14ac:dyDescent="0.3">
      <c r="H370" s="118" t="s">
        <v>446</v>
      </c>
    </row>
    <row r="371" spans="2:11" ht="16.5" customHeight="1" x14ac:dyDescent="0.3">
      <c r="B371" s="116" t="s">
        <v>0</v>
      </c>
    </row>
    <row r="372" spans="2:11" x14ac:dyDescent="0.3">
      <c r="B372" s="118" t="s">
        <v>55</v>
      </c>
      <c r="C372" s="276" t="s">
        <v>410</v>
      </c>
      <c r="D372" s="276" t="s">
        <v>409</v>
      </c>
      <c r="E372" s="276" t="s">
        <v>413</v>
      </c>
      <c r="F372" s="99" t="s">
        <v>411</v>
      </c>
      <c r="G372" s="99" t="s">
        <v>412</v>
      </c>
      <c r="I372" s="63"/>
    </row>
    <row r="373" spans="2:11" ht="16.5" customHeight="1" x14ac:dyDescent="0.3">
      <c r="C373" s="63">
        <v>0</v>
      </c>
      <c r="D373" s="63">
        <v>0</v>
      </c>
      <c r="E373" s="63">
        <v>0</v>
      </c>
      <c r="F373" s="63" t="b">
        <f t="shared" ref="F373:F379" si="10">$D$36=C373</f>
        <v>1</v>
      </c>
      <c r="G373" s="63" t="b">
        <f t="shared" ref="G373:G379" si="11">$D$38=D373</f>
        <v>1</v>
      </c>
      <c r="H373" s="63" t="s">
        <v>208</v>
      </c>
      <c r="I373" s="63"/>
    </row>
    <row r="374" spans="2:11" x14ac:dyDescent="0.3">
      <c r="B374" s="116" t="s">
        <v>56</v>
      </c>
      <c r="C374" s="63">
        <v>2</v>
      </c>
      <c r="D374" s="63">
        <f t="shared" ref="D374:D379" si="12">C374*4</f>
        <v>8</v>
      </c>
      <c r="E374" s="63">
        <v>4</v>
      </c>
      <c r="F374" s="63" t="b">
        <f t="shared" si="10"/>
        <v>0</v>
      </c>
      <c r="G374" s="63" t="b">
        <f t="shared" si="11"/>
        <v>0</v>
      </c>
      <c r="H374" s="63" t="s">
        <v>8</v>
      </c>
      <c r="I374" s="63">
        <f>IF($D$40=$B$377,0,IF(G374,1,0))</f>
        <v>0</v>
      </c>
    </row>
    <row r="375" spans="2:11" x14ac:dyDescent="0.3">
      <c r="B375" s="118" t="s">
        <v>50</v>
      </c>
      <c r="C375" s="63">
        <v>3</v>
      </c>
      <c r="D375" s="63">
        <f t="shared" si="12"/>
        <v>12</v>
      </c>
      <c r="E375" s="63">
        <v>4</v>
      </c>
      <c r="F375" s="63" t="b">
        <f t="shared" si="10"/>
        <v>0</v>
      </c>
      <c r="G375" s="63" t="b">
        <f t="shared" si="11"/>
        <v>0</v>
      </c>
      <c r="H375" s="63" t="s">
        <v>9</v>
      </c>
      <c r="I375" s="63">
        <f>IF($D$40=$B$377,0,IF(G375,1,0))</f>
        <v>0</v>
      </c>
    </row>
    <row r="376" spans="2:11" x14ac:dyDescent="0.3">
      <c r="B376" s="70" t="s">
        <v>530</v>
      </c>
      <c r="C376" s="63">
        <v>4</v>
      </c>
      <c r="D376" s="63">
        <f t="shared" si="12"/>
        <v>16</v>
      </c>
      <c r="E376" s="63">
        <v>4</v>
      </c>
      <c r="F376" s="63" t="b">
        <f t="shared" si="10"/>
        <v>0</v>
      </c>
      <c r="G376" s="63" t="b">
        <f t="shared" si="11"/>
        <v>0</v>
      </c>
      <c r="H376" s="63" t="s">
        <v>10</v>
      </c>
      <c r="I376" s="63"/>
    </row>
    <row r="377" spans="2:11" x14ac:dyDescent="0.3">
      <c r="B377" s="149" t="s">
        <v>57</v>
      </c>
      <c r="C377" s="63">
        <v>6</v>
      </c>
      <c r="D377" s="63">
        <f t="shared" si="12"/>
        <v>24</v>
      </c>
      <c r="E377" s="63">
        <v>4</v>
      </c>
      <c r="F377" s="63" t="b">
        <f t="shared" si="10"/>
        <v>0</v>
      </c>
      <c r="G377" s="63" t="b">
        <f t="shared" si="11"/>
        <v>0</v>
      </c>
      <c r="H377" s="63" t="s">
        <v>11</v>
      </c>
      <c r="I377" s="63"/>
    </row>
    <row r="378" spans="2:11" x14ac:dyDescent="0.3">
      <c r="B378" s="116" t="s">
        <v>58</v>
      </c>
      <c r="C378" s="63">
        <v>8</v>
      </c>
      <c r="D378" s="63">
        <f t="shared" si="12"/>
        <v>32</v>
      </c>
      <c r="E378" s="63">
        <v>4</v>
      </c>
      <c r="F378" s="63" t="b">
        <f t="shared" si="10"/>
        <v>0</v>
      </c>
      <c r="G378" s="63" t="b">
        <f t="shared" si="11"/>
        <v>0</v>
      </c>
      <c r="H378" s="63" t="s">
        <v>12</v>
      </c>
      <c r="I378" s="63"/>
    </row>
    <row r="379" spans="2:11" x14ac:dyDescent="0.3">
      <c r="B379" s="118" t="s">
        <v>6</v>
      </c>
      <c r="C379" s="63">
        <v>12</v>
      </c>
      <c r="D379" s="63">
        <f t="shared" si="12"/>
        <v>48</v>
      </c>
      <c r="E379" s="63">
        <v>4</v>
      </c>
      <c r="F379" s="63" t="b">
        <f t="shared" si="10"/>
        <v>0</v>
      </c>
      <c r="G379" s="63" t="b">
        <f t="shared" si="11"/>
        <v>0</v>
      </c>
      <c r="H379" s="63" t="s">
        <v>13</v>
      </c>
      <c r="I379" s="63"/>
    </row>
    <row r="381" spans="2:11" x14ac:dyDescent="0.3">
      <c r="B381" s="70" t="s">
        <v>59</v>
      </c>
      <c r="C381" s="63">
        <f>D36</f>
        <v>0</v>
      </c>
      <c r="D381" s="63">
        <f>VLOOKUP(C381,C373:D379,2)</f>
        <v>0</v>
      </c>
    </row>
    <row r="382" spans="2:11" x14ac:dyDescent="0.3">
      <c r="B382" s="70" t="s">
        <v>60</v>
      </c>
      <c r="D382" s="79">
        <f>D38</f>
        <v>0</v>
      </c>
    </row>
    <row r="383" spans="2:11" x14ac:dyDescent="0.3">
      <c r="B383" s="70" t="s">
        <v>61</v>
      </c>
      <c r="D383" s="111" t="b">
        <f>D381&gt;=D382</f>
        <v>1</v>
      </c>
      <c r="E383" s="63" t="b">
        <f>C381=0</f>
        <v>1</v>
      </c>
      <c r="F383" s="63" t="b">
        <f>D382=0</f>
        <v>1</v>
      </c>
      <c r="G383" s="63" t="b">
        <f>AND(F383,E383)</f>
        <v>1</v>
      </c>
      <c r="I383" s="386" t="s">
        <v>646</v>
      </c>
      <c r="J383" t="b">
        <f>(D36=0)</f>
        <v>1</v>
      </c>
      <c r="K383">
        <f>IF(D385=1,0,INDEX($C$71:$I$77,1,$D$385-1))</f>
        <v>0</v>
      </c>
    </row>
    <row r="384" spans="2:11" x14ac:dyDescent="0.3">
      <c r="B384" s="70" t="s">
        <v>62</v>
      </c>
      <c r="C384" s="63">
        <f>IF(D383,D36,INDEX(C373:D379,MATCH(D38,D373:D379,0),1))</f>
        <v>0</v>
      </c>
      <c r="I384" t="s">
        <v>639</v>
      </c>
      <c r="J384" t="b">
        <f>E206&gt;0</f>
        <v>0</v>
      </c>
      <c r="K384">
        <f>IF(D310=E188,0,E206)</f>
        <v>0</v>
      </c>
    </row>
    <row r="385" spans="2:14" x14ac:dyDescent="0.3">
      <c r="B385" s="70" t="s">
        <v>407</v>
      </c>
      <c r="C385" s="63">
        <f>IF(D383,INDEX(C373:H379,MATCH(D36,C373:C379,0),2),D38)</f>
        <v>0</v>
      </c>
      <c r="D385" s="63">
        <f>MATCH(C385,D373:D379,0)</f>
        <v>1</v>
      </c>
      <c r="E385" s="63" t="str">
        <f>IF(VALIDADOR_INIMBUSESP,B463,INDEX(H373:H379,MATCH(C385,D373:D379,0),1))</f>
        <v>No Aplica</v>
      </c>
      <c r="I385" t="s">
        <v>640</v>
      </c>
      <c r="J385" t="b">
        <f>E198=B375</f>
        <v>0</v>
      </c>
      <c r="K385">
        <f>IF(AND(D310=E188,J385),3,0)</f>
        <v>0</v>
      </c>
    </row>
    <row r="386" spans="2:14" ht="16.5" customHeight="1" x14ac:dyDescent="0.3">
      <c r="B386" s="70" t="s">
        <v>408</v>
      </c>
      <c r="C386" s="63">
        <f>INDEX(E373:E379,D385,1)</f>
        <v>0</v>
      </c>
      <c r="D386" s="63">
        <f>IF(C388&gt;0,C386+C385,C385)</f>
        <v>0</v>
      </c>
      <c r="I386" t="s">
        <v>641</v>
      </c>
      <c r="K386">
        <f>MAX(K383:K385)</f>
        <v>0</v>
      </c>
    </row>
    <row r="387" spans="2:14" x14ac:dyDescent="0.3">
      <c r="B387" s="70" t="s">
        <v>414</v>
      </c>
      <c r="C387" s="63">
        <f>SUM(C111:E111,G111:K111,G144,J144,K144)</f>
        <v>0</v>
      </c>
      <c r="D387" s="63" t="b">
        <f>C387&gt;C385</f>
        <v>0</v>
      </c>
      <c r="E387" s="63" t="b">
        <f>I54&lt;&gt;0</f>
        <v>0</v>
      </c>
    </row>
    <row r="388" spans="2:14" ht="16.5" customHeight="1" x14ac:dyDescent="0.3">
      <c r="B388" s="70" t="s">
        <v>415</v>
      </c>
      <c r="C388" s="63">
        <f>SUM(C144:F144,H144:I144)</f>
        <v>0</v>
      </c>
      <c r="D388" s="63" t="b">
        <f>C388&gt;C386</f>
        <v>0</v>
      </c>
    </row>
    <row r="389" spans="2:14" ht="16.5" customHeight="1" x14ac:dyDescent="0.3">
      <c r="E389" s="63" t="s">
        <v>592</v>
      </c>
      <c r="F389" s="377">
        <f>B17</f>
        <v>0.4</v>
      </c>
      <c r="G389" s="377">
        <f>B18</f>
        <v>0.2</v>
      </c>
    </row>
    <row r="390" spans="2:14" x14ac:dyDescent="0.3">
      <c r="B390" s="79" t="s">
        <v>63</v>
      </c>
      <c r="C390" s="79" t="s">
        <v>7</v>
      </c>
      <c r="D390" s="79"/>
      <c r="E390" s="79" t="s">
        <v>310</v>
      </c>
      <c r="F390" s="179" t="s">
        <v>344</v>
      </c>
      <c r="G390" s="179" t="s">
        <v>308</v>
      </c>
      <c r="H390" s="205" t="s">
        <v>207</v>
      </c>
      <c r="I390" s="179" t="s">
        <v>309</v>
      </c>
      <c r="J390" s="197" t="s">
        <v>337</v>
      </c>
      <c r="K390" s="197" t="s">
        <v>338</v>
      </c>
      <c r="L390" s="179"/>
      <c r="M390" s="2"/>
    </row>
    <row r="391" spans="2:14" ht="16.5" customHeight="1" x14ac:dyDescent="0.3">
      <c r="B391" s="70" t="s">
        <v>84</v>
      </c>
      <c r="C391" s="63" t="s">
        <v>345</v>
      </c>
      <c r="D391" s="63">
        <v>0.45</v>
      </c>
      <c r="E391">
        <v>207</v>
      </c>
      <c r="F391" s="196">
        <f>((1-D391)/(1-$F$389))</f>
        <v>0.91666666666666674</v>
      </c>
      <c r="G391" s="119">
        <f t="shared" ref="G391:G423" si="13">F391*E391</f>
        <v>189.75000000000003</v>
      </c>
      <c r="H391" s="99"/>
      <c r="I391" s="119">
        <f>H391*G391</f>
        <v>0</v>
      </c>
      <c r="J391" s="198">
        <f t="shared" ref="J391:J411" si="14">I391*COHEFICIEN</f>
        <v>0</v>
      </c>
      <c r="K391" s="198">
        <f t="shared" ref="K391:K411" si="15">IF(EXT_FINALE=0,0,J391/EXT_FINALE)</f>
        <v>0</v>
      </c>
      <c r="L391" s="6">
        <f t="shared" ref="L391:L392" si="16">$H$470*G391</f>
        <v>8.7664500000000007</v>
      </c>
    </row>
    <row r="392" spans="2:14" x14ac:dyDescent="0.3">
      <c r="B392" s="70" t="s">
        <v>85</v>
      </c>
      <c r="C392" s="63" t="s">
        <v>86</v>
      </c>
      <c r="D392" s="63">
        <v>0.45</v>
      </c>
      <c r="E392">
        <v>207</v>
      </c>
      <c r="F392" s="196">
        <f t="shared" ref="F392:F420" si="17">((1-D392)/(1-$F$389))</f>
        <v>0.91666666666666674</v>
      </c>
      <c r="G392" s="119">
        <f t="shared" si="13"/>
        <v>189.75000000000003</v>
      </c>
      <c r="H392" s="99"/>
      <c r="I392" s="119">
        <f>H392*G392</f>
        <v>0</v>
      </c>
      <c r="J392" s="198">
        <f t="shared" si="14"/>
        <v>0</v>
      </c>
      <c r="K392" s="198">
        <f t="shared" si="15"/>
        <v>0</v>
      </c>
      <c r="L392" s="6">
        <f t="shared" si="16"/>
        <v>8.7664500000000007</v>
      </c>
    </row>
    <row r="393" spans="2:14" x14ac:dyDescent="0.3">
      <c r="B393" s="70" t="s">
        <v>82</v>
      </c>
      <c r="C393" s="63" t="s">
        <v>83</v>
      </c>
      <c r="D393" s="63">
        <v>0.45</v>
      </c>
      <c r="E393">
        <v>30</v>
      </c>
      <c r="F393" s="196">
        <f t="shared" si="17"/>
        <v>0.91666666666666674</v>
      </c>
      <c r="G393" s="119">
        <f t="shared" si="13"/>
        <v>27.500000000000004</v>
      </c>
      <c r="H393" s="99"/>
      <c r="I393" s="119">
        <f>H393*G393</f>
        <v>0</v>
      </c>
      <c r="J393" s="198">
        <f t="shared" si="14"/>
        <v>0</v>
      </c>
      <c r="K393" s="198">
        <f t="shared" si="15"/>
        <v>0</v>
      </c>
      <c r="L393" s="198"/>
      <c r="N393" s="151" t="str">
        <f>IF(SUM(H391:H452)=0,"No se ha seleccionado ninguno",CONCATENATE(N394,N395,N396,N397,N398,N399,N400,N401,N404,N405,N406,N407,N413,N414,N415,N416,N417,N418,N419,N420,N421,N422,N422,N425,N426,N427,N429,N430,N431,N432,N433,N434,N435,N436,N437,N440,N441))</f>
        <v>No se ha seleccionado ninguno</v>
      </c>
    </row>
    <row r="394" spans="2:14" x14ac:dyDescent="0.3">
      <c r="B394" s="70" t="s">
        <v>68</v>
      </c>
      <c r="C394" s="63" t="s">
        <v>69</v>
      </c>
      <c r="D394" s="63">
        <v>0.36399999999999999</v>
      </c>
      <c r="E394">
        <v>58</v>
      </c>
      <c r="F394" s="196">
        <f t="shared" si="17"/>
        <v>1.06</v>
      </c>
      <c r="G394" s="119">
        <f t="shared" si="13"/>
        <v>61.480000000000004</v>
      </c>
      <c r="H394" s="99"/>
      <c r="I394" s="119">
        <f t="shared" ref="I394:I401" si="18">H394*G394</f>
        <v>0</v>
      </c>
      <c r="J394" s="198">
        <f t="shared" si="14"/>
        <v>0</v>
      </c>
      <c r="K394" s="198">
        <f t="shared" si="15"/>
        <v>0</v>
      </c>
      <c r="L394" s="198"/>
      <c r="M394" t="str">
        <f>H394&amp;" x "&amp;B394</f>
        <v xml:space="preserve"> x KX-HDV130NE</v>
      </c>
      <c r="N394" s="50" t="str">
        <f>IF(H394=0,"","; "&amp;M394)</f>
        <v/>
      </c>
    </row>
    <row r="395" spans="2:14" x14ac:dyDescent="0.3">
      <c r="B395" s="70" t="s">
        <v>70</v>
      </c>
      <c r="C395" s="63" t="s">
        <v>71</v>
      </c>
      <c r="D395" s="63">
        <v>0.36399999999999999</v>
      </c>
      <c r="E395">
        <v>135</v>
      </c>
      <c r="F395" s="196">
        <f t="shared" si="17"/>
        <v>1.06</v>
      </c>
      <c r="G395" s="119">
        <f t="shared" si="13"/>
        <v>143.1</v>
      </c>
      <c r="H395" s="99"/>
      <c r="I395" s="119">
        <f t="shared" si="18"/>
        <v>0</v>
      </c>
      <c r="J395" s="198">
        <f t="shared" si="14"/>
        <v>0</v>
      </c>
      <c r="K395" s="198">
        <f t="shared" si="15"/>
        <v>0</v>
      </c>
      <c r="L395" s="198"/>
      <c r="M395" t="str">
        <f>H395-I374-I375&amp;" x "&amp;B395</f>
        <v>0 x KX-HDV230NE</v>
      </c>
      <c r="N395" s="50" t="str">
        <f>IF(OR(H395=0,H395-I374-I375&lt;=0),"","; "&amp;M395)</f>
        <v/>
      </c>
    </row>
    <row r="396" spans="2:14" x14ac:dyDescent="0.3">
      <c r="B396" s="70" t="s">
        <v>291</v>
      </c>
      <c r="C396" s="63" t="s">
        <v>302</v>
      </c>
      <c r="D396" s="63">
        <v>0.36399999999999999</v>
      </c>
      <c r="E396">
        <v>205</v>
      </c>
      <c r="F396" s="196">
        <f t="shared" si="17"/>
        <v>1.06</v>
      </c>
      <c r="G396" s="119">
        <f t="shared" si="13"/>
        <v>217.3</v>
      </c>
      <c r="H396" s="99"/>
      <c r="I396" s="119">
        <f>H396*G396</f>
        <v>0</v>
      </c>
      <c r="J396" s="198">
        <f t="shared" si="14"/>
        <v>0</v>
      </c>
      <c r="K396" s="198">
        <f t="shared" si="15"/>
        <v>0</v>
      </c>
      <c r="L396" s="198"/>
      <c r="M396" t="str">
        <f>H396&amp;" x "&amp;B396</f>
        <v xml:space="preserve"> x KX-HDV340NE</v>
      </c>
      <c r="N396" s="50" t="str">
        <f t="shared" ref="N396:N401" si="19">IF(H396=0,"","; "&amp;M396)</f>
        <v/>
      </c>
    </row>
    <row r="397" spans="2:14" x14ac:dyDescent="0.3">
      <c r="B397" s="70" t="s">
        <v>73</v>
      </c>
      <c r="C397" s="63" t="s">
        <v>74</v>
      </c>
      <c r="D397" s="63">
        <v>0.36399999999999999</v>
      </c>
      <c r="E397">
        <v>102</v>
      </c>
      <c r="F397" s="196">
        <f t="shared" si="17"/>
        <v>1.06</v>
      </c>
      <c r="G397" s="119">
        <f t="shared" si="13"/>
        <v>108.12</v>
      </c>
      <c r="H397" s="99"/>
      <c r="I397" s="119">
        <f t="shared" si="18"/>
        <v>0</v>
      </c>
      <c r="J397" s="198">
        <f t="shared" si="14"/>
        <v>0</v>
      </c>
      <c r="K397" s="198">
        <f t="shared" si="15"/>
        <v>0</v>
      </c>
      <c r="L397" s="198"/>
      <c r="M397" t="str">
        <f>H397&amp;" x "&amp;B397</f>
        <v xml:space="preserve"> x KX-HDV20NE</v>
      </c>
      <c r="N397" s="50" t="str">
        <f t="shared" si="19"/>
        <v/>
      </c>
    </row>
    <row r="398" spans="2:14" x14ac:dyDescent="0.3">
      <c r="B398" s="70" t="s">
        <v>75</v>
      </c>
      <c r="C398" s="63" t="s">
        <v>76</v>
      </c>
      <c r="D398" s="63">
        <v>0.36399999999999999</v>
      </c>
      <c r="E398">
        <v>58</v>
      </c>
      <c r="F398" s="196">
        <f t="shared" si="17"/>
        <v>1.06</v>
      </c>
      <c r="G398" s="119">
        <f t="shared" si="13"/>
        <v>61.480000000000004</v>
      </c>
      <c r="H398" s="99"/>
      <c r="I398" s="119">
        <f t="shared" si="18"/>
        <v>0</v>
      </c>
      <c r="J398" s="198">
        <f t="shared" si="14"/>
        <v>0</v>
      </c>
      <c r="K398" s="198">
        <f t="shared" si="15"/>
        <v>0</v>
      </c>
      <c r="L398" s="198"/>
      <c r="M398" t="str">
        <f>H398&amp;" x "&amp;B398</f>
        <v xml:space="preserve"> x KX-HDV130NEB</v>
      </c>
      <c r="N398" s="50" t="str">
        <f t="shared" si="19"/>
        <v/>
      </c>
    </row>
    <row r="399" spans="2:14" x14ac:dyDescent="0.3">
      <c r="B399" s="70" t="s">
        <v>77</v>
      </c>
      <c r="C399" s="63" t="s">
        <v>78</v>
      </c>
      <c r="D399" s="63">
        <v>0.36399999999999999</v>
      </c>
      <c r="E399">
        <v>135</v>
      </c>
      <c r="F399" s="196">
        <f t="shared" si="17"/>
        <v>1.06</v>
      </c>
      <c r="G399" s="119">
        <f t="shared" si="13"/>
        <v>143.1</v>
      </c>
      <c r="H399" s="99"/>
      <c r="I399" s="119">
        <f t="shared" si="18"/>
        <v>0</v>
      </c>
      <c r="J399" s="198">
        <f t="shared" si="14"/>
        <v>0</v>
      </c>
      <c r="K399" s="198">
        <f t="shared" si="15"/>
        <v>0</v>
      </c>
      <c r="L399" s="198"/>
      <c r="M399" t="str">
        <f>H399-I374-I375&amp;" x "&amp;B399</f>
        <v>0 x KX-HDV230NEB</v>
      </c>
      <c r="N399" s="50" t="str">
        <f>IF(OR(H399=0,H399-I374-I375&lt;=0),"","; "&amp;M399)</f>
        <v/>
      </c>
    </row>
    <row r="400" spans="2:14" x14ac:dyDescent="0.3">
      <c r="B400" s="70" t="s">
        <v>292</v>
      </c>
      <c r="C400" s="63" t="s">
        <v>304</v>
      </c>
      <c r="D400" s="63">
        <v>0.36399999999999999</v>
      </c>
      <c r="E400">
        <v>205</v>
      </c>
      <c r="F400" s="196">
        <f t="shared" si="17"/>
        <v>1.06</v>
      </c>
      <c r="G400" s="119">
        <f t="shared" si="13"/>
        <v>217.3</v>
      </c>
      <c r="H400" s="99"/>
      <c r="I400" s="119">
        <f t="shared" si="18"/>
        <v>0</v>
      </c>
      <c r="J400" s="198">
        <f t="shared" si="14"/>
        <v>0</v>
      </c>
      <c r="K400" s="198">
        <f t="shared" si="15"/>
        <v>0</v>
      </c>
      <c r="L400" s="198"/>
      <c r="M400" t="str">
        <f>H400&amp;" x "&amp;B400</f>
        <v xml:space="preserve"> x KX-HDV340NEB</v>
      </c>
      <c r="N400" s="50" t="str">
        <f t="shared" si="19"/>
        <v/>
      </c>
    </row>
    <row r="401" spans="2:14" x14ac:dyDescent="0.3">
      <c r="B401" s="70" t="s">
        <v>80</v>
      </c>
      <c r="C401" s="63" t="s">
        <v>81</v>
      </c>
      <c r="D401" s="63">
        <v>0.36399999999999999</v>
      </c>
      <c r="E401">
        <v>102</v>
      </c>
      <c r="F401" s="196">
        <f t="shared" si="17"/>
        <v>1.06</v>
      </c>
      <c r="G401" s="119">
        <f t="shared" si="13"/>
        <v>108.12</v>
      </c>
      <c r="H401" s="99"/>
      <c r="I401" s="119">
        <f t="shared" si="18"/>
        <v>0</v>
      </c>
      <c r="J401" s="198">
        <f t="shared" si="14"/>
        <v>0</v>
      </c>
      <c r="K401" s="198">
        <f t="shared" si="15"/>
        <v>0</v>
      </c>
      <c r="L401" s="198"/>
      <c r="M401" t="str">
        <f>H401&amp;" x "&amp;B401</f>
        <v xml:space="preserve"> x KX-HDV20NEB</v>
      </c>
      <c r="N401" s="50" t="str">
        <f t="shared" si="19"/>
        <v/>
      </c>
    </row>
    <row r="402" spans="2:14" x14ac:dyDescent="0.3">
      <c r="B402" s="70" t="s">
        <v>64</v>
      </c>
      <c r="C402" s="63" t="s">
        <v>65</v>
      </c>
      <c r="D402" s="63">
        <v>0.36399999999999999</v>
      </c>
      <c r="E402">
        <v>5</v>
      </c>
      <c r="F402" s="196">
        <f t="shared" si="17"/>
        <v>1.06</v>
      </c>
      <c r="G402" s="119">
        <f t="shared" si="13"/>
        <v>5.3000000000000007</v>
      </c>
      <c r="H402" s="99"/>
      <c r="I402" s="119">
        <f>H402*G402</f>
        <v>0</v>
      </c>
      <c r="J402" s="198">
        <f t="shared" si="14"/>
        <v>0</v>
      </c>
      <c r="K402" s="198">
        <f t="shared" si="15"/>
        <v>0</v>
      </c>
      <c r="L402" s="198"/>
    </row>
    <row r="403" spans="2:14" ht="16.5" customHeight="1" x14ac:dyDescent="0.3">
      <c r="B403" s="70" t="s">
        <v>66</v>
      </c>
      <c r="C403" s="63" t="s">
        <v>67</v>
      </c>
      <c r="D403" s="63">
        <v>0.36399999999999999</v>
      </c>
      <c r="E403">
        <v>13</v>
      </c>
      <c r="F403" s="196">
        <f t="shared" si="17"/>
        <v>1.06</v>
      </c>
      <c r="G403" s="119">
        <f t="shared" si="13"/>
        <v>13.780000000000001</v>
      </c>
      <c r="H403" s="99"/>
      <c r="I403" s="119">
        <f>H403*G403</f>
        <v>0</v>
      </c>
      <c r="J403" s="198">
        <f t="shared" si="14"/>
        <v>0</v>
      </c>
      <c r="K403" s="198">
        <f t="shared" si="15"/>
        <v>0</v>
      </c>
      <c r="L403" s="198"/>
    </row>
    <row r="404" spans="2:14" x14ac:dyDescent="0.3">
      <c r="B404" s="70" t="s">
        <v>284</v>
      </c>
      <c r="C404" s="63" t="s">
        <v>287</v>
      </c>
      <c r="D404" s="63">
        <v>0.36399999999999999</v>
      </c>
      <c r="E404">
        <v>115</v>
      </c>
      <c r="F404" s="196">
        <f t="shared" si="17"/>
        <v>1.06</v>
      </c>
      <c r="G404" s="119">
        <f t="shared" si="13"/>
        <v>121.9</v>
      </c>
      <c r="H404" s="99"/>
      <c r="I404" s="119">
        <f t="shared" ref="I404:I434" si="20">H404*G404</f>
        <v>0</v>
      </c>
      <c r="J404" s="198">
        <f t="shared" si="14"/>
        <v>0</v>
      </c>
      <c r="K404" s="198">
        <f t="shared" si="15"/>
        <v>0</v>
      </c>
      <c r="L404" s="198"/>
      <c r="M404" t="str">
        <f>H404&amp;" x "&amp;B404</f>
        <v xml:space="preserve"> x KX-TGP600CE</v>
      </c>
      <c r="N404" s="50" t="str">
        <f>IF(H404=0,"","; "&amp;M404)</f>
        <v/>
      </c>
    </row>
    <row r="405" spans="2:14" x14ac:dyDescent="0.3">
      <c r="B405" s="70" t="s">
        <v>296</v>
      </c>
      <c r="C405" s="63" t="s">
        <v>288</v>
      </c>
      <c r="D405" s="63">
        <v>0.36399999999999999</v>
      </c>
      <c r="E405">
        <v>82</v>
      </c>
      <c r="F405" s="196">
        <f t="shared" si="17"/>
        <v>1.06</v>
      </c>
      <c r="G405" s="119">
        <f t="shared" si="13"/>
        <v>86.92</v>
      </c>
      <c r="H405" s="99"/>
      <c r="I405" s="119">
        <f t="shared" si="20"/>
        <v>0</v>
      </c>
      <c r="J405" s="198">
        <f t="shared" si="14"/>
        <v>0</v>
      </c>
      <c r="K405" s="198">
        <f t="shared" si="15"/>
        <v>0</v>
      </c>
      <c r="L405" s="198"/>
      <c r="M405" t="str">
        <f>H405&amp;" x "&amp;B405</f>
        <v xml:space="preserve"> x KX-TPA60CEB</v>
      </c>
      <c r="N405" s="50" t="str">
        <f t="shared" ref="N405:N429" si="21">IF(H405=0,"","; "&amp;M405)</f>
        <v/>
      </c>
    </row>
    <row r="406" spans="2:14" x14ac:dyDescent="0.3">
      <c r="B406" s="70" t="s">
        <v>285</v>
      </c>
      <c r="C406" s="63" t="s">
        <v>289</v>
      </c>
      <c r="D406" s="63">
        <v>0.36399999999999999</v>
      </c>
      <c r="E406">
        <v>115</v>
      </c>
      <c r="F406" s="196">
        <f t="shared" si="17"/>
        <v>1.06</v>
      </c>
      <c r="G406" s="119">
        <f t="shared" si="13"/>
        <v>121.9</v>
      </c>
      <c r="H406" s="99"/>
      <c r="I406" s="119">
        <f t="shared" si="20"/>
        <v>0</v>
      </c>
      <c r="J406" s="198">
        <f t="shared" si="14"/>
        <v>0</v>
      </c>
      <c r="K406" s="198">
        <f t="shared" si="15"/>
        <v>0</v>
      </c>
      <c r="L406" s="198"/>
      <c r="M406" t="str">
        <f>H406&amp;" x "&amp;B406</f>
        <v xml:space="preserve"> x KX-TPA65CE</v>
      </c>
      <c r="N406" s="50" t="str">
        <f t="shared" si="21"/>
        <v/>
      </c>
    </row>
    <row r="407" spans="2:14" x14ac:dyDescent="0.3">
      <c r="B407" s="70" t="s">
        <v>295</v>
      </c>
      <c r="C407" s="63" t="s">
        <v>297</v>
      </c>
      <c r="D407" s="63">
        <v>0.36399999999999999</v>
      </c>
      <c r="E407">
        <v>115</v>
      </c>
      <c r="F407" s="196">
        <f t="shared" si="17"/>
        <v>1.06</v>
      </c>
      <c r="G407" s="119">
        <f t="shared" si="13"/>
        <v>121.9</v>
      </c>
      <c r="H407" s="99"/>
      <c r="I407" s="119">
        <f t="shared" si="20"/>
        <v>0</v>
      </c>
      <c r="J407" s="198">
        <f t="shared" si="14"/>
        <v>0</v>
      </c>
      <c r="K407" s="198">
        <f t="shared" si="15"/>
        <v>0</v>
      </c>
      <c r="L407" s="198"/>
      <c r="M407" t="str">
        <f>H407&amp;" x "&amp;B407</f>
        <v xml:space="preserve"> x KX-TPA65CEB</v>
      </c>
      <c r="N407" s="50" t="str">
        <f t="shared" si="21"/>
        <v/>
      </c>
    </row>
    <row r="408" spans="2:14" x14ac:dyDescent="0.3">
      <c r="B408" s="70" t="s">
        <v>326</v>
      </c>
      <c r="C408" s="63" t="s">
        <v>327</v>
      </c>
      <c r="D408" s="63">
        <v>0.36399999999999999</v>
      </c>
      <c r="E408">
        <v>185</v>
      </c>
      <c r="F408" s="196">
        <f t="shared" si="17"/>
        <v>1.06</v>
      </c>
      <c r="G408" s="119">
        <f t="shared" si="13"/>
        <v>196.10000000000002</v>
      </c>
      <c r="H408" s="99"/>
      <c r="I408" s="119">
        <f t="shared" si="20"/>
        <v>0</v>
      </c>
      <c r="J408" s="198">
        <f t="shared" si="14"/>
        <v>0</v>
      </c>
      <c r="K408" s="198">
        <f t="shared" si="15"/>
        <v>0</v>
      </c>
      <c r="L408" s="198"/>
      <c r="N408" s="50"/>
    </row>
    <row r="409" spans="2:14" x14ac:dyDescent="0.3">
      <c r="B409" s="70" t="s">
        <v>72</v>
      </c>
      <c r="C409" s="63" t="s">
        <v>303</v>
      </c>
      <c r="D409" s="63">
        <v>0.36399999999999999</v>
      </c>
      <c r="E409">
        <v>340</v>
      </c>
      <c r="F409" s="196">
        <f t="shared" si="17"/>
        <v>1.06</v>
      </c>
      <c r="G409" s="119">
        <f t="shared" si="13"/>
        <v>360.40000000000003</v>
      </c>
      <c r="H409" s="99"/>
      <c r="I409" s="119">
        <f>H409*G409</f>
        <v>0</v>
      </c>
      <c r="J409" s="198">
        <f t="shared" si="14"/>
        <v>0</v>
      </c>
      <c r="K409" s="198">
        <f t="shared" si="15"/>
        <v>0</v>
      </c>
      <c r="L409" s="198"/>
      <c r="N409" s="50" t="str">
        <f>IF(H409=0,"","; "&amp;M409)</f>
        <v/>
      </c>
    </row>
    <row r="410" spans="2:14" x14ac:dyDescent="0.3">
      <c r="B410" s="70" t="s">
        <v>79</v>
      </c>
      <c r="C410" s="63" t="s">
        <v>305</v>
      </c>
      <c r="D410" s="63">
        <v>0.36399999999999999</v>
      </c>
      <c r="E410">
        <v>340</v>
      </c>
      <c r="F410" s="196">
        <f t="shared" si="17"/>
        <v>1.06</v>
      </c>
      <c r="G410" s="119">
        <f t="shared" si="13"/>
        <v>360.40000000000003</v>
      </c>
      <c r="H410" s="99"/>
      <c r="I410" s="119">
        <f>H410*G410</f>
        <v>0</v>
      </c>
      <c r="J410" s="198">
        <f t="shared" si="14"/>
        <v>0</v>
      </c>
      <c r="K410" s="198">
        <f t="shared" si="15"/>
        <v>0</v>
      </c>
      <c r="L410" s="198"/>
      <c r="N410" s="50" t="str">
        <f>IF(H410=0,"","; "&amp;M410)</f>
        <v/>
      </c>
    </row>
    <row r="411" spans="2:14" x14ac:dyDescent="0.3">
      <c r="B411" s="70" t="s">
        <v>286</v>
      </c>
      <c r="C411" s="63" t="s">
        <v>346</v>
      </c>
      <c r="D411" s="63">
        <v>0.45</v>
      </c>
      <c r="E411">
        <v>146</v>
      </c>
      <c r="F411" s="196">
        <f t="shared" si="17"/>
        <v>0.91666666666666674</v>
      </c>
      <c r="G411" s="119">
        <f t="shared" si="13"/>
        <v>133.83333333333334</v>
      </c>
      <c r="H411" s="99"/>
      <c r="I411" s="119">
        <f t="shared" si="20"/>
        <v>0</v>
      </c>
      <c r="J411" s="198">
        <f t="shared" si="14"/>
        <v>0</v>
      </c>
      <c r="K411" s="198">
        <f t="shared" si="15"/>
        <v>0</v>
      </c>
      <c r="L411" s="198"/>
      <c r="M411" t="str">
        <f>H411&amp;" x "&amp;B411</f>
        <v xml:space="preserve"> x KX-A406CE</v>
      </c>
      <c r="N411" s="50" t="str">
        <f t="shared" si="21"/>
        <v/>
      </c>
    </row>
    <row r="412" spans="2:14" x14ac:dyDescent="0.3">
      <c r="E412"/>
      <c r="F412" s="196"/>
      <c r="G412" s="148"/>
      <c r="H412" s="99"/>
      <c r="I412" s="119"/>
      <c r="J412" s="198"/>
      <c r="K412" s="198"/>
      <c r="L412" s="198"/>
      <c r="N412" s="50"/>
    </row>
    <row r="413" spans="2:14" x14ac:dyDescent="0.3">
      <c r="B413" s="70" t="s">
        <v>515</v>
      </c>
      <c r="C413" s="63" t="s">
        <v>515</v>
      </c>
      <c r="D413" s="63">
        <v>0.4</v>
      </c>
      <c r="E413">
        <v>99</v>
      </c>
      <c r="F413" s="196">
        <f t="shared" si="17"/>
        <v>1</v>
      </c>
      <c r="G413" s="148">
        <f t="shared" si="13"/>
        <v>99</v>
      </c>
      <c r="H413" s="99">
        <f>$C$111</f>
        <v>0</v>
      </c>
      <c r="I413" s="119">
        <f t="shared" ref="I413:I420" si="22">H413*G413</f>
        <v>0</v>
      </c>
      <c r="J413" s="198">
        <f t="shared" ref="J413:J420" si="23">I413*COHEFICIEN</f>
        <v>0</v>
      </c>
      <c r="K413" s="198">
        <f t="shared" ref="K413:K423" si="24">IF(EXT_FINALE=0,0,J413/EXT_FINALE)</f>
        <v>0</v>
      </c>
      <c r="L413" s="198">
        <f>$H$470*G413</f>
        <v>4.5737999999999994</v>
      </c>
      <c r="M413" t="str">
        <f>H413&amp;" x "&amp;B413</f>
        <v>0 x OpenScape Desk Phone CP100</v>
      </c>
      <c r="N413" s="50" t="str">
        <f>IF(H413=0,"","; "&amp;M413)</f>
        <v/>
      </c>
    </row>
    <row r="414" spans="2:14" x14ac:dyDescent="0.3">
      <c r="B414" s="70" t="s">
        <v>516</v>
      </c>
      <c r="C414" s="63" t="s">
        <v>516</v>
      </c>
      <c r="D414" s="63">
        <v>0.4</v>
      </c>
      <c r="E414">
        <v>130</v>
      </c>
      <c r="F414" s="196">
        <f t="shared" si="17"/>
        <v>1</v>
      </c>
      <c r="G414" s="148">
        <f t="shared" si="13"/>
        <v>130</v>
      </c>
      <c r="H414" s="99">
        <f>D$111</f>
        <v>0</v>
      </c>
      <c r="I414" s="119">
        <f t="shared" si="22"/>
        <v>0</v>
      </c>
      <c r="J414" s="198">
        <f t="shared" si="23"/>
        <v>0</v>
      </c>
      <c r="K414" s="198">
        <f t="shared" si="24"/>
        <v>0</v>
      </c>
      <c r="L414" s="198">
        <f t="shared" ref="L414:L421" si="25">$H$470*G414</f>
        <v>6.0059999999999993</v>
      </c>
      <c r="M414" t="str">
        <f t="shared" ref="M414:M421" si="26">H414&amp;" x "&amp;B414</f>
        <v>0 x OpenScape Desk Phone CP200</v>
      </c>
      <c r="N414" s="50" t="str">
        <f t="shared" ref="N414:N421" si="27">IF(H414=0,"","; "&amp;M414)</f>
        <v/>
      </c>
    </row>
    <row r="415" spans="2:14" x14ac:dyDescent="0.3">
      <c r="B415" s="70" t="s">
        <v>517</v>
      </c>
      <c r="C415" s="63" t="s">
        <v>517</v>
      </c>
      <c r="D415" s="63">
        <v>0.4</v>
      </c>
      <c r="E415">
        <v>190</v>
      </c>
      <c r="F415" s="196">
        <f t="shared" si="17"/>
        <v>1</v>
      </c>
      <c r="G415" s="148">
        <f t="shared" si="13"/>
        <v>190</v>
      </c>
      <c r="H415" s="99">
        <f>E$111</f>
        <v>0</v>
      </c>
      <c r="I415" s="119">
        <f t="shared" si="22"/>
        <v>0</v>
      </c>
      <c r="J415" s="198">
        <f t="shared" si="23"/>
        <v>0</v>
      </c>
      <c r="K415" s="198">
        <f t="shared" si="24"/>
        <v>0</v>
      </c>
      <c r="L415" s="198">
        <f t="shared" si="25"/>
        <v>8.7780000000000005</v>
      </c>
      <c r="M415" t="str">
        <f t="shared" si="26"/>
        <v>0 x OpenScape Desk Phone CP205</v>
      </c>
      <c r="N415" s="50" t="str">
        <f t="shared" si="27"/>
        <v/>
      </c>
    </row>
    <row r="416" spans="2:14" x14ac:dyDescent="0.3">
      <c r="B416" s="70" t="s">
        <v>518</v>
      </c>
      <c r="C416" s="63" t="s">
        <v>518</v>
      </c>
      <c r="D416" s="63">
        <v>0.4</v>
      </c>
      <c r="E416">
        <v>255</v>
      </c>
      <c r="F416" s="196">
        <f t="shared" si="17"/>
        <v>1</v>
      </c>
      <c r="G416" s="148">
        <f t="shared" si="13"/>
        <v>255</v>
      </c>
      <c r="H416" s="99">
        <f>F$111+IF(AND(D40=B376,NOT(G383)),1,0)</f>
        <v>0</v>
      </c>
      <c r="I416" s="119">
        <f t="shared" si="22"/>
        <v>0</v>
      </c>
      <c r="J416" s="198">
        <f t="shared" si="23"/>
        <v>0</v>
      </c>
      <c r="K416" s="198">
        <f t="shared" si="24"/>
        <v>0</v>
      </c>
      <c r="L416" s="198">
        <f t="shared" si="25"/>
        <v>11.780999999999999</v>
      </c>
      <c r="M416" t="str">
        <f t="shared" si="26"/>
        <v>0 x OpenScape Desk Phone CP400</v>
      </c>
      <c r="N416" s="50" t="str">
        <f t="shared" si="27"/>
        <v/>
      </c>
    </row>
    <row r="417" spans="2:14" x14ac:dyDescent="0.3">
      <c r="B417" s="70" t="s">
        <v>519</v>
      </c>
      <c r="C417" s="63" t="s">
        <v>519</v>
      </c>
      <c r="D417" s="63">
        <v>0.4</v>
      </c>
      <c r="E417">
        <v>340</v>
      </c>
      <c r="F417" s="196">
        <f t="shared" si="17"/>
        <v>1</v>
      </c>
      <c r="G417" s="148">
        <f t="shared" si="13"/>
        <v>340</v>
      </c>
      <c r="H417" s="99">
        <f>G$111</f>
        <v>0</v>
      </c>
      <c r="I417" s="119">
        <f t="shared" si="22"/>
        <v>0</v>
      </c>
      <c r="J417" s="198">
        <f t="shared" si="23"/>
        <v>0</v>
      </c>
      <c r="K417" s="198">
        <f t="shared" si="24"/>
        <v>0</v>
      </c>
      <c r="L417" s="198">
        <f t="shared" si="25"/>
        <v>15.708</v>
      </c>
      <c r="M417" t="str">
        <f t="shared" si="26"/>
        <v>0 x OpenScape Desk Phone CP600</v>
      </c>
      <c r="N417" s="50" t="str">
        <f t="shared" si="27"/>
        <v/>
      </c>
    </row>
    <row r="418" spans="2:14" x14ac:dyDescent="0.3">
      <c r="B418" s="70" t="s">
        <v>520</v>
      </c>
      <c r="C418" s="63" t="s">
        <v>520</v>
      </c>
      <c r="D418" s="63">
        <v>0.4</v>
      </c>
      <c r="E418">
        <v>290</v>
      </c>
      <c r="F418" s="196">
        <f t="shared" si="17"/>
        <v>1</v>
      </c>
      <c r="G418" s="148">
        <f t="shared" si="13"/>
        <v>290</v>
      </c>
      <c r="H418" s="99">
        <f>H$111</f>
        <v>0</v>
      </c>
      <c r="I418" s="119">
        <f t="shared" si="22"/>
        <v>0</v>
      </c>
      <c r="J418" s="198">
        <f t="shared" si="23"/>
        <v>0</v>
      </c>
      <c r="K418" s="198">
        <f t="shared" si="24"/>
        <v>0</v>
      </c>
      <c r="L418" s="198">
        <f t="shared" si="25"/>
        <v>13.398</v>
      </c>
      <c r="M418" t="str">
        <f t="shared" si="26"/>
        <v>0 x OpenScape Desk Phone CP600E</v>
      </c>
      <c r="N418" s="50" t="str">
        <f t="shared" si="27"/>
        <v/>
      </c>
    </row>
    <row r="419" spans="2:14" x14ac:dyDescent="0.3">
      <c r="B419" s="70" t="s">
        <v>521</v>
      </c>
      <c r="C419" s="63" t="s">
        <v>521</v>
      </c>
      <c r="D419" s="63">
        <v>0.4</v>
      </c>
      <c r="E419">
        <v>70</v>
      </c>
      <c r="F419" s="196">
        <f t="shared" si="17"/>
        <v>1</v>
      </c>
      <c r="G419" s="148">
        <f t="shared" si="13"/>
        <v>70</v>
      </c>
      <c r="H419" s="99">
        <f>I$111</f>
        <v>0</v>
      </c>
      <c r="I419" s="119">
        <f t="shared" si="22"/>
        <v>0</v>
      </c>
      <c r="J419" s="198">
        <f t="shared" si="23"/>
        <v>0</v>
      </c>
      <c r="K419" s="198">
        <f t="shared" si="24"/>
        <v>0</v>
      </c>
      <c r="L419" s="198">
        <f t="shared" si="25"/>
        <v>3.234</v>
      </c>
      <c r="M419" t="str">
        <f t="shared" si="26"/>
        <v>0 x OpenScape Key Module 400</v>
      </c>
      <c r="N419" s="50" t="str">
        <f t="shared" si="27"/>
        <v/>
      </c>
    </row>
    <row r="420" spans="2:14" x14ac:dyDescent="0.3">
      <c r="B420" s="70" t="s">
        <v>522</v>
      </c>
      <c r="C420" s="63" t="s">
        <v>522</v>
      </c>
      <c r="D420" s="63">
        <v>0.4</v>
      </c>
      <c r="E420">
        <v>250</v>
      </c>
      <c r="F420" s="196">
        <f t="shared" si="17"/>
        <v>1</v>
      </c>
      <c r="G420" s="148">
        <f t="shared" si="13"/>
        <v>250</v>
      </c>
      <c r="H420" s="99">
        <f>J$111</f>
        <v>0</v>
      </c>
      <c r="I420" s="119">
        <f t="shared" si="22"/>
        <v>0</v>
      </c>
      <c r="J420" s="198">
        <f t="shared" si="23"/>
        <v>0</v>
      </c>
      <c r="K420" s="198">
        <f t="shared" si="24"/>
        <v>0</v>
      </c>
      <c r="L420" s="198">
        <f t="shared" si="25"/>
        <v>11.549999999999999</v>
      </c>
      <c r="M420" t="str">
        <f t="shared" si="26"/>
        <v>0 x OpenScape Key Module 600</v>
      </c>
      <c r="N420" s="50" t="str">
        <f t="shared" si="27"/>
        <v/>
      </c>
    </row>
    <row r="421" spans="2:14" x14ac:dyDescent="0.3">
      <c r="B421" s="70" t="s">
        <v>532</v>
      </c>
      <c r="C421" s="63" t="s">
        <v>532</v>
      </c>
      <c r="D421" s="63">
        <v>0.4</v>
      </c>
      <c r="E421">
        <v>26</v>
      </c>
      <c r="F421" s="196">
        <f>((1-D421)/(1-$F$389))</f>
        <v>1</v>
      </c>
      <c r="G421" s="148">
        <f t="shared" si="13"/>
        <v>26</v>
      </c>
      <c r="H421" s="99">
        <f>SUM(C107:J107)</f>
        <v>0</v>
      </c>
      <c r="I421" s="119">
        <f t="shared" ref="I421" si="28">H421*G421</f>
        <v>0</v>
      </c>
      <c r="J421" s="198">
        <f t="shared" ref="J421" si="29">I421*COHEFICIEN</f>
        <v>0</v>
      </c>
      <c r="K421" s="198">
        <f t="shared" si="24"/>
        <v>0</v>
      </c>
      <c r="L421" s="198">
        <f t="shared" si="25"/>
        <v>1.2012</v>
      </c>
      <c r="M421" t="str">
        <f t="shared" si="26"/>
        <v>0 x Devices Power Adapter Europe (EU)</v>
      </c>
      <c r="N421" s="50" t="str">
        <f t="shared" si="27"/>
        <v/>
      </c>
    </row>
    <row r="422" spans="2:14" x14ac:dyDescent="0.3">
      <c r="B422" s="70" t="s">
        <v>535</v>
      </c>
      <c r="C422" s="63" t="s">
        <v>537</v>
      </c>
      <c r="D422" s="63">
        <v>0.4</v>
      </c>
      <c r="E422">
        <v>55</v>
      </c>
      <c r="F422" s="196">
        <f>IF(D32=$B$371,2,3)*((1-D422)/(1-$F$389))</f>
        <v>2</v>
      </c>
      <c r="G422" s="148">
        <f t="shared" si="13"/>
        <v>110</v>
      </c>
      <c r="H422" s="99">
        <f>K111</f>
        <v>0</v>
      </c>
      <c r="I422" s="119">
        <f t="shared" ref="I422:I423" si="30">H422*G422</f>
        <v>0</v>
      </c>
      <c r="J422" s="198">
        <f t="shared" ref="J422:J423" si="31">I422*COHEFICIEN</f>
        <v>0</v>
      </c>
      <c r="K422" s="198">
        <f t="shared" si="24"/>
        <v>0</v>
      </c>
      <c r="L422" s="198"/>
      <c r="M422" t="str">
        <f t="shared" ref="M422" si="32">H422&amp;" x "&amp;B422</f>
        <v>0 x OpenScape Personal Edition V7 SIP User License</v>
      </c>
      <c r="N422" s="50" t="str">
        <f t="shared" ref="N422" si="33">IF(H422=0,"","; "&amp;M422)</f>
        <v/>
      </c>
    </row>
    <row r="423" spans="2:14" x14ac:dyDescent="0.3">
      <c r="B423" s="70" t="s">
        <v>536</v>
      </c>
      <c r="C423" s="63" t="s">
        <v>537</v>
      </c>
      <c r="D423" s="63">
        <v>0.4</v>
      </c>
      <c r="E423">
        <v>5.5</v>
      </c>
      <c r="F423" s="196">
        <f>IF(D32=$B$371,2,3)*((1-D423)/(1-$F$389))</f>
        <v>2</v>
      </c>
      <c r="G423" s="148">
        <f t="shared" si="13"/>
        <v>11</v>
      </c>
      <c r="H423" s="99">
        <f>H422</f>
        <v>0</v>
      </c>
      <c r="I423" s="119">
        <f t="shared" si="30"/>
        <v>0</v>
      </c>
      <c r="J423" s="198">
        <f t="shared" si="31"/>
        <v>0</v>
      </c>
      <c r="K423" s="198">
        <f t="shared" si="24"/>
        <v>0</v>
      </c>
      <c r="L423" s="198"/>
      <c r="N423" s="50"/>
    </row>
    <row r="424" spans="2:14" x14ac:dyDescent="0.3">
      <c r="E424"/>
      <c r="F424" s="196"/>
      <c r="G424" s="148"/>
      <c r="H424" s="99"/>
      <c r="I424" s="119"/>
      <c r="J424" s="198"/>
      <c r="K424" s="198"/>
      <c r="L424" s="198"/>
      <c r="N424" s="50"/>
    </row>
    <row r="425" spans="2:14" x14ac:dyDescent="0.3">
      <c r="B425" s="70" t="s">
        <v>544</v>
      </c>
      <c r="C425" s="63" t="s">
        <v>546</v>
      </c>
      <c r="D425" s="63">
        <v>0.2</v>
      </c>
      <c r="E425">
        <v>47.4</v>
      </c>
      <c r="F425" s="196">
        <v>2</v>
      </c>
      <c r="G425" s="148">
        <f>F425*E425</f>
        <v>94.8</v>
      </c>
      <c r="H425" s="99">
        <f>C165</f>
        <v>0</v>
      </c>
      <c r="I425" s="119">
        <f t="shared" ref="I425" si="34">H425*G425</f>
        <v>0</v>
      </c>
      <c r="J425" s="198">
        <f t="shared" ref="J425" si="35">I425*COHEFICIEN</f>
        <v>0</v>
      </c>
      <c r="K425" s="198">
        <f>IF(EXT_FINALE=0,0,J425/EXT_FINALE)</f>
        <v>0</v>
      </c>
      <c r="L425" s="198"/>
      <c r="M425" t="str">
        <f t="shared" ref="M425:M427" si="36">H425&amp;" x "&amp;B425</f>
        <v>0 x Circuit Team</v>
      </c>
      <c r="N425" s="50" t="str">
        <f t="shared" ref="N425:N427" si="37">IF(H425=0,"","; "&amp;M425)</f>
        <v/>
      </c>
    </row>
    <row r="426" spans="2:14" x14ac:dyDescent="0.3">
      <c r="B426" s="70" t="s">
        <v>548</v>
      </c>
      <c r="C426" s="63" t="s">
        <v>547</v>
      </c>
      <c r="D426" s="63">
        <v>0.2</v>
      </c>
      <c r="E426">
        <v>83.4</v>
      </c>
      <c r="F426" s="196">
        <v>2</v>
      </c>
      <c r="G426" s="148">
        <f t="shared" ref="G426:G427" si="38">F426*E426</f>
        <v>166.8</v>
      </c>
      <c r="H426" s="99">
        <f>D165</f>
        <v>0</v>
      </c>
      <c r="I426" s="119">
        <f t="shared" ref="I426:I427" si="39">H426*G426</f>
        <v>0</v>
      </c>
      <c r="J426" s="198">
        <f t="shared" ref="J426:J427" si="40">I426*COHEFICIEN</f>
        <v>0</v>
      </c>
      <c r="K426" s="198">
        <f>IF(EXT_FINALE=0,0,J426/EXT_FINALE)</f>
        <v>0</v>
      </c>
      <c r="L426" s="198"/>
      <c r="M426" t="str">
        <f t="shared" si="36"/>
        <v>0 x Circuit Professional</v>
      </c>
      <c r="N426" s="50" t="str">
        <f t="shared" si="37"/>
        <v/>
      </c>
    </row>
    <row r="427" spans="2:14" x14ac:dyDescent="0.3">
      <c r="B427" s="70" t="s">
        <v>545</v>
      </c>
      <c r="C427" s="63" t="s">
        <v>549</v>
      </c>
      <c r="D427" s="63">
        <v>0.2</v>
      </c>
      <c r="E427">
        <v>179.4</v>
      </c>
      <c r="F427" s="196">
        <v>2</v>
      </c>
      <c r="G427" s="148">
        <f t="shared" si="38"/>
        <v>358.8</v>
      </c>
      <c r="H427" s="99">
        <f>E165</f>
        <v>0</v>
      </c>
      <c r="I427" s="119">
        <f t="shared" si="39"/>
        <v>0</v>
      </c>
      <c r="J427" s="198">
        <f t="shared" si="40"/>
        <v>0</v>
      </c>
      <c r="K427" s="198">
        <f>IF(EXT_FINALE=0,0,J427/EXT_FINALE)</f>
        <v>0</v>
      </c>
      <c r="L427" s="198"/>
      <c r="M427" t="str">
        <f t="shared" si="36"/>
        <v>0 x Circuit Enterprise</v>
      </c>
      <c r="N427" s="50" t="str">
        <f t="shared" si="37"/>
        <v/>
      </c>
    </row>
    <row r="428" spans="2:14" x14ac:dyDescent="0.3">
      <c r="E428"/>
      <c r="F428" s="196"/>
      <c r="G428" s="148"/>
      <c r="H428" s="99"/>
      <c r="I428" s="119"/>
      <c r="J428" s="198"/>
      <c r="K428" s="198"/>
      <c r="L428" s="198"/>
      <c r="N428" s="50"/>
    </row>
    <row r="429" spans="2:14" x14ac:dyDescent="0.3">
      <c r="B429" s="70" t="s">
        <v>372</v>
      </c>
      <c r="C429" s="63" t="s">
        <v>378</v>
      </c>
      <c r="D429" s="63">
        <v>0.25</v>
      </c>
      <c r="E429">
        <v>11.01</v>
      </c>
      <c r="F429" s="196">
        <f>((1-D429)/(1-$F$389))</f>
        <v>1.25</v>
      </c>
      <c r="G429" s="148">
        <f>E429*F429</f>
        <v>13.762499999999999</v>
      </c>
      <c r="H429" s="99">
        <f>IF($C$140=$B$379,0,$C$144)</f>
        <v>0</v>
      </c>
      <c r="I429" s="119">
        <f t="shared" si="20"/>
        <v>0</v>
      </c>
      <c r="J429" s="198">
        <f t="shared" ref="J429:J438" si="41">I429*COHEFICIEN</f>
        <v>0</v>
      </c>
      <c r="K429" s="198">
        <f t="shared" ref="K429:K438" si="42">IF(EXT_FINALE=0,0,J429/EXT_FINALE)</f>
        <v>0</v>
      </c>
      <c r="L429" s="198"/>
      <c r="M429" t="str">
        <f>H429&amp;" x "&amp;B429</f>
        <v>0 x DA210-Blanco</v>
      </c>
      <c r="N429" s="50" t="str">
        <f t="shared" si="21"/>
        <v/>
      </c>
    </row>
    <row r="430" spans="2:14" x14ac:dyDescent="0.3">
      <c r="B430" s="70" t="s">
        <v>373</v>
      </c>
      <c r="C430" s="63" t="s">
        <v>379</v>
      </c>
      <c r="D430" s="63">
        <v>0.25</v>
      </c>
      <c r="E430">
        <v>16.809999999999999</v>
      </c>
      <c r="F430" s="196">
        <f t="shared" ref="F430:F438" si="43">((1-D430)/(1-$F$389))</f>
        <v>1.25</v>
      </c>
      <c r="G430" s="148">
        <f t="shared" ref="G430:G438" si="44">E430*F430</f>
        <v>21.012499999999999</v>
      </c>
      <c r="H430" s="99">
        <f>IF($D$140=$B$379,0,$D$144)</f>
        <v>0</v>
      </c>
      <c r="I430" s="119">
        <f t="shared" si="20"/>
        <v>0</v>
      </c>
      <c r="J430" s="198">
        <f t="shared" si="41"/>
        <v>0</v>
      </c>
      <c r="K430" s="198">
        <f t="shared" si="42"/>
        <v>0</v>
      </c>
      <c r="L430" s="198"/>
      <c r="M430" t="str">
        <f t="shared" ref="M430:M434" si="45">H430&amp;" x "&amp;B430</f>
        <v>0 x DA310-Blanco</v>
      </c>
      <c r="N430" s="50" t="str">
        <f t="shared" ref="N430:N434" si="46">IF(H430=0,"","; "&amp;M430)</f>
        <v/>
      </c>
    </row>
    <row r="431" spans="2:14" x14ac:dyDescent="0.3">
      <c r="B431" s="70" t="s">
        <v>374</v>
      </c>
      <c r="C431" s="63" t="s">
        <v>380</v>
      </c>
      <c r="D431" s="63">
        <v>0.25</v>
      </c>
      <c r="E431">
        <v>22.46</v>
      </c>
      <c r="F431" s="196">
        <f t="shared" si="43"/>
        <v>1.25</v>
      </c>
      <c r="G431" s="148">
        <f t="shared" si="44"/>
        <v>28.075000000000003</v>
      </c>
      <c r="H431" s="99">
        <f>IF($E$140=$B$379,0,$E$144)</f>
        <v>0</v>
      </c>
      <c r="I431" s="119">
        <f t="shared" si="20"/>
        <v>0</v>
      </c>
      <c r="J431" s="198">
        <f t="shared" si="41"/>
        <v>0</v>
      </c>
      <c r="K431" s="198">
        <f t="shared" si="42"/>
        <v>0</v>
      </c>
      <c r="L431" s="198"/>
      <c r="M431" t="str">
        <f t="shared" si="45"/>
        <v>0 x DA410-Blanco</v>
      </c>
      <c r="N431" s="50" t="str">
        <f t="shared" si="46"/>
        <v/>
      </c>
    </row>
    <row r="432" spans="2:14" x14ac:dyDescent="0.3">
      <c r="B432" s="70" t="s">
        <v>375</v>
      </c>
      <c r="C432" s="63" t="s">
        <v>381</v>
      </c>
      <c r="D432" s="63">
        <v>0.25</v>
      </c>
      <c r="E432">
        <v>11.01</v>
      </c>
      <c r="F432" s="196">
        <f t="shared" si="43"/>
        <v>1.25</v>
      </c>
      <c r="G432" s="148">
        <f t="shared" si="44"/>
        <v>13.762499999999999</v>
      </c>
      <c r="H432" s="99">
        <f>IF($C$140=$B$379,$C$144,0)</f>
        <v>0</v>
      </c>
      <c r="I432" s="119">
        <f t="shared" si="20"/>
        <v>0</v>
      </c>
      <c r="J432" s="198">
        <f t="shared" si="41"/>
        <v>0</v>
      </c>
      <c r="K432" s="198">
        <f t="shared" si="42"/>
        <v>0</v>
      </c>
      <c r="L432" s="198"/>
      <c r="M432" t="str">
        <f t="shared" si="45"/>
        <v>0 x DA210-Negro</v>
      </c>
      <c r="N432" s="50" t="str">
        <f t="shared" si="46"/>
        <v/>
      </c>
    </row>
    <row r="433" spans="2:15" x14ac:dyDescent="0.3">
      <c r="B433" s="70" t="s">
        <v>376</v>
      </c>
      <c r="C433" s="63" t="s">
        <v>382</v>
      </c>
      <c r="D433" s="63">
        <v>0.25</v>
      </c>
      <c r="E433">
        <v>16.809999999999999</v>
      </c>
      <c r="F433" s="196">
        <f t="shared" si="43"/>
        <v>1.25</v>
      </c>
      <c r="G433" s="148">
        <f t="shared" si="44"/>
        <v>21.012499999999999</v>
      </c>
      <c r="H433" s="99">
        <f>IF($D$140=$B$379,$D$144,0)</f>
        <v>0</v>
      </c>
      <c r="I433" s="119">
        <f t="shared" si="20"/>
        <v>0</v>
      </c>
      <c r="J433" s="198">
        <f t="shared" si="41"/>
        <v>0</v>
      </c>
      <c r="K433" s="198">
        <f t="shared" si="42"/>
        <v>0</v>
      </c>
      <c r="L433" s="198"/>
      <c r="M433" t="str">
        <f t="shared" si="45"/>
        <v>0 x DA310-Negro</v>
      </c>
      <c r="N433" s="50" t="str">
        <f t="shared" si="46"/>
        <v/>
      </c>
    </row>
    <row r="434" spans="2:15" x14ac:dyDescent="0.3">
      <c r="B434" s="70" t="s">
        <v>377</v>
      </c>
      <c r="C434" s="63" t="s">
        <v>383</v>
      </c>
      <c r="D434" s="63">
        <v>0.25</v>
      </c>
      <c r="E434">
        <v>22.46</v>
      </c>
      <c r="F434" s="196">
        <f t="shared" si="43"/>
        <v>1.25</v>
      </c>
      <c r="G434" s="148">
        <f t="shared" si="44"/>
        <v>28.075000000000003</v>
      </c>
      <c r="H434" s="99">
        <f>IF($E$140=$B$379,$E$144,0)</f>
        <v>0</v>
      </c>
      <c r="I434" s="119">
        <f t="shared" si="20"/>
        <v>0</v>
      </c>
      <c r="J434" s="198">
        <f t="shared" si="41"/>
        <v>0</v>
      </c>
      <c r="K434" s="198">
        <f t="shared" si="42"/>
        <v>0</v>
      </c>
      <c r="L434" s="198"/>
      <c r="M434" t="str">
        <f t="shared" si="45"/>
        <v>0 x DA410-Negro</v>
      </c>
      <c r="N434" s="50" t="str">
        <f t="shared" si="46"/>
        <v/>
      </c>
    </row>
    <row r="435" spans="2:15" x14ac:dyDescent="0.3">
      <c r="B435" s="70" t="s">
        <v>384</v>
      </c>
      <c r="C435" s="63" t="s">
        <v>647</v>
      </c>
      <c r="D435" s="63">
        <v>0.25</v>
      </c>
      <c r="E435">
        <v>22.84</v>
      </c>
      <c r="F435" s="196">
        <f t="shared" si="43"/>
        <v>1.25</v>
      </c>
      <c r="G435" s="148">
        <f t="shared" si="44"/>
        <v>28.55</v>
      </c>
      <c r="H435" s="99">
        <f>H144</f>
        <v>0</v>
      </c>
      <c r="I435" s="119">
        <f t="shared" ref="I435:I440" si="47">H435*G435</f>
        <v>0</v>
      </c>
      <c r="J435" s="198">
        <f t="shared" si="41"/>
        <v>0</v>
      </c>
      <c r="K435" s="198">
        <f t="shared" si="42"/>
        <v>0</v>
      </c>
      <c r="L435" s="198"/>
      <c r="M435" t="str">
        <f t="shared" ref="M435:M438" si="48">H435&amp;" x "&amp;B435</f>
        <v>0 x GIG-A220 Negro</v>
      </c>
      <c r="N435" s="50" t="str">
        <f t="shared" ref="N435:N440" si="49">IF(H435=0,"","; "&amp;M435)</f>
        <v/>
      </c>
    </row>
    <row r="436" spans="2:15" x14ac:dyDescent="0.3">
      <c r="B436" s="70" t="s">
        <v>385</v>
      </c>
      <c r="C436" s="63" t="s">
        <v>386</v>
      </c>
      <c r="D436" s="63">
        <v>0.25</v>
      </c>
      <c r="E436">
        <v>115.67</v>
      </c>
      <c r="F436" s="196">
        <f t="shared" si="43"/>
        <v>1.25</v>
      </c>
      <c r="G436" s="148">
        <f t="shared" si="44"/>
        <v>144.58750000000001</v>
      </c>
      <c r="H436" s="99">
        <f>I144</f>
        <v>0</v>
      </c>
      <c r="I436" s="119">
        <f t="shared" si="47"/>
        <v>0</v>
      </c>
      <c r="J436" s="198">
        <f t="shared" si="41"/>
        <v>0</v>
      </c>
      <c r="K436" s="198">
        <f t="shared" si="42"/>
        <v>0</v>
      </c>
      <c r="L436" s="198"/>
      <c r="M436" t="str">
        <f t="shared" si="48"/>
        <v>0 x GIG-SL450</v>
      </c>
      <c r="N436" s="50" t="str">
        <f t="shared" si="49"/>
        <v/>
      </c>
    </row>
    <row r="437" spans="2:15" x14ac:dyDescent="0.3">
      <c r="B437" s="70" t="s">
        <v>387</v>
      </c>
      <c r="C437" s="63" t="s">
        <v>648</v>
      </c>
      <c r="D437" s="63">
        <v>0.25</v>
      </c>
      <c r="E437">
        <v>94.2</v>
      </c>
      <c r="F437" s="196">
        <f t="shared" si="43"/>
        <v>1.25</v>
      </c>
      <c r="G437" s="148">
        <f t="shared" si="44"/>
        <v>117.75</v>
      </c>
      <c r="H437" s="99">
        <f>J144</f>
        <v>0</v>
      </c>
      <c r="I437" s="119">
        <f t="shared" si="47"/>
        <v>0</v>
      </c>
      <c r="J437" s="198">
        <f t="shared" si="41"/>
        <v>0</v>
      </c>
      <c r="K437" s="198">
        <f t="shared" si="42"/>
        <v>0</v>
      </c>
      <c r="L437" s="198"/>
      <c r="M437" t="str">
        <f t="shared" si="48"/>
        <v>0 x GIG-C530IP</v>
      </c>
      <c r="N437" s="50" t="str">
        <f t="shared" si="49"/>
        <v/>
      </c>
    </row>
    <row r="438" spans="2:15" x14ac:dyDescent="0.3">
      <c r="B438" s="70" t="s">
        <v>404</v>
      </c>
      <c r="C438" s="63" t="s">
        <v>405</v>
      </c>
      <c r="D438" s="63">
        <v>0.25</v>
      </c>
      <c r="E438">
        <v>30.96</v>
      </c>
      <c r="F438" s="196">
        <f t="shared" si="43"/>
        <v>1.25</v>
      </c>
      <c r="G438" s="148">
        <f t="shared" si="44"/>
        <v>38.700000000000003</v>
      </c>
      <c r="H438" s="99">
        <f>K144</f>
        <v>0</v>
      </c>
      <c r="I438" s="119">
        <f t="shared" ref="I438" si="50">H438*G438</f>
        <v>0</v>
      </c>
      <c r="J438" s="198">
        <f t="shared" si="41"/>
        <v>0</v>
      </c>
      <c r="K438" s="198">
        <f t="shared" si="42"/>
        <v>0</v>
      </c>
      <c r="L438" s="198"/>
      <c r="M438" t="str">
        <f t="shared" si="48"/>
        <v>0 x C530H</v>
      </c>
      <c r="N438" s="50" t="str">
        <f t="shared" si="49"/>
        <v/>
      </c>
    </row>
    <row r="439" spans="2:15" x14ac:dyDescent="0.3">
      <c r="E439"/>
      <c r="F439" s="196"/>
      <c r="G439" s="148"/>
      <c r="H439" s="99"/>
      <c r="I439" s="119"/>
      <c r="J439" s="198"/>
      <c r="K439" s="198"/>
      <c r="L439" s="198"/>
      <c r="N439" s="50"/>
    </row>
    <row r="440" spans="2:15" x14ac:dyDescent="0.3">
      <c r="B440" s="70" t="s">
        <v>388</v>
      </c>
      <c r="C440" s="63" t="s">
        <v>389</v>
      </c>
      <c r="D440" s="63">
        <v>0.28000000000000003</v>
      </c>
      <c r="E440">
        <v>299.95</v>
      </c>
      <c r="F440" s="196">
        <f>((1-D440)/(1-$F$389))</f>
        <v>1.2</v>
      </c>
      <c r="G440" s="148">
        <f t="shared" ref="G440:G441" si="51">E440*F440</f>
        <v>359.94</v>
      </c>
      <c r="H440" s="99">
        <f>G144</f>
        <v>0</v>
      </c>
      <c r="I440" s="119">
        <f t="shared" si="47"/>
        <v>0</v>
      </c>
      <c r="J440" s="119">
        <f>I440*COHEFICIEN</f>
        <v>0</v>
      </c>
      <c r="K440" s="198">
        <f>IF(EXT_FINALE=0,0,J440/EXT_FINALE)</f>
        <v>0</v>
      </c>
      <c r="L440" s="198"/>
      <c r="M440" t="str">
        <f>H440&amp;" x "&amp;B440</f>
        <v>0 x ALC-CONFERENCE1550 SIP</v>
      </c>
      <c r="N440" s="50" t="str">
        <f t="shared" si="49"/>
        <v/>
      </c>
      <c r="O440" s="50"/>
    </row>
    <row r="441" spans="2:15" x14ac:dyDescent="0.3">
      <c r="B441" s="70" t="s">
        <v>390</v>
      </c>
      <c r="C441" s="63" t="s">
        <v>391</v>
      </c>
      <c r="D441" s="63">
        <v>0.28000000000000003</v>
      </c>
      <c r="E441">
        <v>239.95</v>
      </c>
      <c r="F441" s="196">
        <f>((1-D441)/(1-$F$389))</f>
        <v>1.2</v>
      </c>
      <c r="G441" s="148">
        <f t="shared" si="51"/>
        <v>287.94</v>
      </c>
      <c r="H441" s="99">
        <f>F144</f>
        <v>0</v>
      </c>
      <c r="I441" s="119">
        <f>H441*G441</f>
        <v>0</v>
      </c>
      <c r="J441" s="198">
        <f>I441*COHEFICIEN</f>
        <v>0</v>
      </c>
      <c r="K441" s="198">
        <f>IF(EXT_FINALE=0,0,J441/EXT_FINALE)</f>
        <v>0</v>
      </c>
      <c r="L441" s="198"/>
      <c r="M441" t="str">
        <f>H441&amp;" x "&amp;B441</f>
        <v>0 x ALC-CONFERENCE1500</v>
      </c>
      <c r="N441" s="50" t="str">
        <f>IF(H441=0,"","; "&amp;M441)</f>
        <v/>
      </c>
    </row>
    <row r="442" spans="2:15" x14ac:dyDescent="0.3">
      <c r="E442"/>
      <c r="F442" s="196"/>
      <c r="G442" s="148"/>
      <c r="H442" s="99"/>
      <c r="I442" s="119"/>
      <c r="J442" s="198"/>
      <c r="K442" s="198"/>
      <c r="L442" s="198"/>
      <c r="N442" s="50"/>
    </row>
    <row r="443" spans="2:15" x14ac:dyDescent="0.3">
      <c r="B443" s="70" t="s">
        <v>392</v>
      </c>
      <c r="C443" s="63" t="s">
        <v>581</v>
      </c>
      <c r="D443" s="63">
        <v>0.25</v>
      </c>
      <c r="E443">
        <v>428.55</v>
      </c>
      <c r="F443" s="196">
        <f t="shared" ref="F443:F452" si="52">((1-D443)/(1-$F$389))</f>
        <v>1.25</v>
      </c>
      <c r="G443" s="148">
        <f t="shared" ref="G443:G446" si="53">E443*F443</f>
        <v>535.6875</v>
      </c>
      <c r="H443" s="99"/>
      <c r="I443" s="119"/>
      <c r="J443" s="198"/>
      <c r="K443" s="198">
        <f t="shared" ref="K443:K452" si="54">IF(EXT_FINALE=0,0,J443/EXT_FINALE)</f>
        <v>0</v>
      </c>
      <c r="L443" s="198"/>
      <c r="N443" s="50"/>
    </row>
    <row r="444" spans="2:15" x14ac:dyDescent="0.3">
      <c r="B444" s="70" t="s">
        <v>393</v>
      </c>
      <c r="C444" s="63" t="s">
        <v>394</v>
      </c>
      <c r="D444" s="63">
        <v>0.25</v>
      </c>
      <c r="E444">
        <v>104.35</v>
      </c>
      <c r="F444" s="196">
        <f t="shared" si="52"/>
        <v>1.25</v>
      </c>
      <c r="G444" s="148">
        <f t="shared" si="53"/>
        <v>130.4375</v>
      </c>
      <c r="H444" s="99"/>
      <c r="I444" s="119">
        <f t="shared" ref="I444:I446" si="55">H444*G444</f>
        <v>0</v>
      </c>
      <c r="J444" s="198">
        <f>I444*COHEFICIEN</f>
        <v>0</v>
      </c>
      <c r="K444" s="198">
        <f t="shared" si="54"/>
        <v>0</v>
      </c>
      <c r="L444" s="198"/>
      <c r="M444" t="str">
        <f t="shared" ref="M444:M446" si="56">H444&amp;" x "&amp;B444</f>
        <v xml:space="preserve"> x GIG-R650H-PRO</v>
      </c>
      <c r="N444" s="50" t="str">
        <f t="shared" ref="N444:N446" si="57">IF(H444=0,"","; "&amp;M444)</f>
        <v/>
      </c>
    </row>
    <row r="445" spans="2:15" x14ac:dyDescent="0.3">
      <c r="B445" s="70" t="s">
        <v>395</v>
      </c>
      <c r="C445" s="63" t="s">
        <v>396</v>
      </c>
      <c r="D445" s="63">
        <v>0.25</v>
      </c>
      <c r="E445">
        <v>68.12</v>
      </c>
      <c r="F445" s="196">
        <f t="shared" si="52"/>
        <v>1.25</v>
      </c>
      <c r="G445" s="148">
        <f t="shared" si="53"/>
        <v>85.15</v>
      </c>
      <c r="H445" s="99"/>
      <c r="I445" s="119">
        <f t="shared" si="55"/>
        <v>0</v>
      </c>
      <c r="J445" s="198">
        <f>I445*COHEFICIEN</f>
        <v>0</v>
      </c>
      <c r="K445" s="198">
        <f t="shared" si="54"/>
        <v>0</v>
      </c>
      <c r="L445" s="198"/>
      <c r="M445" t="str">
        <f t="shared" si="56"/>
        <v xml:space="preserve"> x GIG-S650H-PRO</v>
      </c>
      <c r="N445" s="50" t="str">
        <f t="shared" si="57"/>
        <v/>
      </c>
    </row>
    <row r="446" spans="2:15" x14ac:dyDescent="0.3">
      <c r="B446" s="70" t="s">
        <v>397</v>
      </c>
      <c r="C446" s="63" t="s">
        <v>398</v>
      </c>
      <c r="D446" s="63">
        <v>0.25</v>
      </c>
      <c r="E446">
        <v>101.45</v>
      </c>
      <c r="F446" s="196">
        <f t="shared" si="52"/>
        <v>1.25</v>
      </c>
      <c r="G446" s="148">
        <f t="shared" si="53"/>
        <v>126.8125</v>
      </c>
      <c r="H446" s="99"/>
      <c r="I446" s="119">
        <f t="shared" si="55"/>
        <v>0</v>
      </c>
      <c r="J446" s="198">
        <f>I446*COHEFICIEN</f>
        <v>0</v>
      </c>
      <c r="K446" s="198">
        <f t="shared" si="54"/>
        <v>0</v>
      </c>
      <c r="L446" s="198"/>
      <c r="M446" t="str">
        <f t="shared" si="56"/>
        <v xml:space="preserve"> x GIG-SL750H-PRO</v>
      </c>
      <c r="N446" s="50" t="str">
        <f t="shared" si="57"/>
        <v/>
      </c>
    </row>
    <row r="447" spans="2:15" x14ac:dyDescent="0.3">
      <c r="E447"/>
      <c r="F447" s="196"/>
      <c r="G447" s="148"/>
      <c r="H447" s="99"/>
      <c r="I447" s="119"/>
      <c r="J447" s="198"/>
      <c r="K447" s="198">
        <f t="shared" si="54"/>
        <v>0</v>
      </c>
      <c r="L447" s="198"/>
      <c r="N447" s="50"/>
    </row>
    <row r="448" spans="2:15" x14ac:dyDescent="0.3">
      <c r="B448" s="70" t="s">
        <v>316</v>
      </c>
      <c r="C448" s="63" t="s">
        <v>321</v>
      </c>
      <c r="D448" s="63">
        <v>0.45</v>
      </c>
      <c r="E448">
        <v>12</v>
      </c>
      <c r="F448" s="196">
        <f t="shared" si="52"/>
        <v>0.91666666666666674</v>
      </c>
      <c r="G448" s="148">
        <f>F448*E448</f>
        <v>11</v>
      </c>
      <c r="H448" s="99">
        <f>INDEX($D$616:$H$743,$K$111+1,1)</f>
        <v>0</v>
      </c>
      <c r="I448" s="119">
        <f>H448*G448</f>
        <v>0</v>
      </c>
      <c r="J448" s="198">
        <f>I448*COHEFICIEN</f>
        <v>0</v>
      </c>
      <c r="K448" s="198">
        <f t="shared" si="54"/>
        <v>0</v>
      </c>
      <c r="L448" s="6">
        <f>$H$470*G448</f>
        <v>0.50819999999999999</v>
      </c>
      <c r="N448" s="50"/>
    </row>
    <row r="449" spans="1:14" x14ac:dyDescent="0.3">
      <c r="B449" s="70" t="s">
        <v>317</v>
      </c>
      <c r="C449" s="63" t="s">
        <v>322</v>
      </c>
      <c r="D449" s="63">
        <v>0.45</v>
      </c>
      <c r="E449">
        <v>58</v>
      </c>
      <c r="F449" s="196">
        <f t="shared" si="52"/>
        <v>0.91666666666666674</v>
      </c>
      <c r="G449" s="148">
        <f>F449*E449</f>
        <v>53.166666666666671</v>
      </c>
      <c r="H449" s="99">
        <f>INDEX($D$616:$H$743,$K$111+1,2)</f>
        <v>0</v>
      </c>
      <c r="I449" s="119">
        <f t="shared" ref="I449:I452" si="58">H449*G449</f>
        <v>0</v>
      </c>
      <c r="J449" s="198">
        <f>I449*COHEFICIEN</f>
        <v>0</v>
      </c>
      <c r="K449" s="198">
        <f t="shared" si="54"/>
        <v>0</v>
      </c>
      <c r="L449" s="6">
        <f>$H$470*G449</f>
        <v>2.4563000000000001</v>
      </c>
      <c r="N449" s="50"/>
    </row>
    <row r="450" spans="1:14" x14ac:dyDescent="0.3">
      <c r="B450" s="70" t="s">
        <v>318</v>
      </c>
      <c r="C450" s="63" t="s">
        <v>323</v>
      </c>
      <c r="D450" s="63">
        <v>0.45</v>
      </c>
      <c r="E450">
        <v>114</v>
      </c>
      <c r="F450" s="196">
        <f t="shared" si="52"/>
        <v>0.91666666666666674</v>
      </c>
      <c r="G450" s="148">
        <f>F450*E450</f>
        <v>104.50000000000001</v>
      </c>
      <c r="H450" s="99">
        <f>INDEX($D$616:$H$743,$K$111+1,3)</f>
        <v>0</v>
      </c>
      <c r="I450" s="119">
        <f t="shared" si="58"/>
        <v>0</v>
      </c>
      <c r="J450" s="198">
        <f>I450*COHEFICIEN</f>
        <v>0</v>
      </c>
      <c r="K450" s="198">
        <f t="shared" si="54"/>
        <v>0</v>
      </c>
      <c r="L450" s="6">
        <f>$H$470*G450</f>
        <v>4.8279000000000005</v>
      </c>
      <c r="N450" s="50"/>
    </row>
    <row r="451" spans="1:14" x14ac:dyDescent="0.3">
      <c r="B451" s="70" t="s">
        <v>319</v>
      </c>
      <c r="C451" s="63" t="s">
        <v>324</v>
      </c>
      <c r="D451" s="63">
        <v>0.45</v>
      </c>
      <c r="E451">
        <v>279</v>
      </c>
      <c r="F451" s="196">
        <f t="shared" si="52"/>
        <v>0.91666666666666674</v>
      </c>
      <c r="G451" s="148">
        <f>F451*E451</f>
        <v>255.75000000000003</v>
      </c>
      <c r="H451" s="99">
        <f>INDEX($D$616:$H$743,$K$111+1,4)</f>
        <v>0</v>
      </c>
      <c r="I451" s="119">
        <f t="shared" si="58"/>
        <v>0</v>
      </c>
      <c r="J451" s="198">
        <f>I451*COHEFICIEN</f>
        <v>0</v>
      </c>
      <c r="K451" s="198">
        <f t="shared" si="54"/>
        <v>0</v>
      </c>
      <c r="L451" s="6">
        <f>$H$470*G451</f>
        <v>11.815650000000002</v>
      </c>
      <c r="N451" s="50"/>
    </row>
    <row r="452" spans="1:14" x14ac:dyDescent="0.3">
      <c r="B452" s="70" t="s">
        <v>320</v>
      </c>
      <c r="C452" s="63" t="s">
        <v>649</v>
      </c>
      <c r="D452" s="63">
        <v>0.45</v>
      </c>
      <c r="E452">
        <v>540</v>
      </c>
      <c r="F452" s="196">
        <f t="shared" si="52"/>
        <v>0.91666666666666674</v>
      </c>
      <c r="G452" s="148">
        <f>F452*E452</f>
        <v>495.00000000000006</v>
      </c>
      <c r="H452" s="99">
        <f>INDEX($D$616:$H$743,$K$111+1,5)</f>
        <v>0</v>
      </c>
      <c r="I452" s="119">
        <f t="shared" si="58"/>
        <v>0</v>
      </c>
      <c r="J452" s="198">
        <f>I452*COHEFICIEN</f>
        <v>0</v>
      </c>
      <c r="K452" s="198">
        <f t="shared" si="54"/>
        <v>0</v>
      </c>
      <c r="L452" s="6">
        <f>$H$470*G452</f>
        <v>22.869000000000003</v>
      </c>
    </row>
    <row r="453" spans="1:14" x14ac:dyDescent="0.3">
      <c r="E453"/>
      <c r="H453" s="99"/>
      <c r="I453" s="119"/>
    </row>
    <row r="454" spans="1:14" x14ac:dyDescent="0.3">
      <c r="A454" s="63" t="s">
        <v>191</v>
      </c>
      <c r="B454" s="120" t="s">
        <v>87</v>
      </c>
      <c r="C454" s="121"/>
      <c r="D454" s="121"/>
      <c r="E454" s="121"/>
      <c r="F454" s="121"/>
      <c r="G454" s="121"/>
      <c r="H454" s="206"/>
      <c r="I454" s="122">
        <f>SUM(I394:I452)</f>
        <v>0</v>
      </c>
      <c r="J454" s="122">
        <f>SUM(J394:J452)</f>
        <v>0</v>
      </c>
      <c r="K454" s="122">
        <f>SUM(K394:K452)</f>
        <v>0</v>
      </c>
      <c r="L454" s="122">
        <f>I454*COHEFICIEN</f>
        <v>0</v>
      </c>
    </row>
    <row r="455" spans="1:14" ht="16.5" customHeight="1" x14ac:dyDescent="0.3">
      <c r="H455" s="99"/>
      <c r="I455" s="63"/>
      <c r="J455" s="63"/>
    </row>
    <row r="456" spans="1:14" ht="16.5" customHeight="1" x14ac:dyDescent="0.3">
      <c r="B456" s="70" t="s">
        <v>88</v>
      </c>
      <c r="C456" s="63">
        <f>IF(ISNA(MATCH(1,H457:H462,0)),0,MATCH(1,H457:H462,0))</f>
        <v>0</v>
      </c>
      <c r="H456" s="99"/>
      <c r="I456" s="63"/>
      <c r="J456" s="63"/>
      <c r="M456" t="s">
        <v>339</v>
      </c>
    </row>
    <row r="457" spans="1:14" x14ac:dyDescent="0.3">
      <c r="B457" s="70" t="s">
        <v>585</v>
      </c>
      <c r="C457" s="63" t="s">
        <v>594</v>
      </c>
      <c r="D457" s="63">
        <v>0.4</v>
      </c>
      <c r="E457" s="119">
        <f>C601</f>
        <v>1524</v>
      </c>
      <c r="F457" s="196">
        <f t="shared" ref="F457:F463" si="59">((1-D457)/(1-$F$389))</f>
        <v>1</v>
      </c>
      <c r="G457" s="204">
        <f>F457*E457</f>
        <v>1524</v>
      </c>
      <c r="H457" s="99">
        <f t="shared" ref="H457:H462" si="60">IF(VALIDADOR_INIMBUSESP,0,IF($D$383,IF(F374,1,0),IF(G374,1,0)))</f>
        <v>0</v>
      </c>
      <c r="I457" s="119">
        <f>H457*G457</f>
        <v>0</v>
      </c>
      <c r="J457" s="119">
        <f t="shared" ref="J457:J463" si="61">I457*COHEFICIEN</f>
        <v>0</v>
      </c>
      <c r="K457" s="119">
        <f t="shared" ref="K457:K463" si="62">IF(EXT_FINALE=0,0,J457/EXT_FINALE)</f>
        <v>0</v>
      </c>
      <c r="L457" s="119"/>
      <c r="M457" s="123">
        <f>E457*COHEFICIEN*(1/8)</f>
        <v>8.8010999999999999</v>
      </c>
      <c r="N457" s="6">
        <f t="shared" ref="N457:N463" si="63">M457*H457</f>
        <v>0</v>
      </c>
    </row>
    <row r="458" spans="1:14" x14ac:dyDescent="0.3">
      <c r="B458" s="70" t="s">
        <v>586</v>
      </c>
      <c r="C458" s="63" t="s">
        <v>595</v>
      </c>
      <c r="D458" s="63">
        <v>0.4</v>
      </c>
      <c r="E458" s="119">
        <f>D601</f>
        <v>1826</v>
      </c>
      <c r="F458" s="196">
        <f t="shared" si="59"/>
        <v>1</v>
      </c>
      <c r="G458" s="204">
        <f t="shared" ref="G458:G463" si="64">F458*E458</f>
        <v>1826</v>
      </c>
      <c r="H458" s="99">
        <f t="shared" si="60"/>
        <v>0</v>
      </c>
      <c r="I458" s="119">
        <f t="shared" ref="I458:I463" si="65">H458*G458</f>
        <v>0</v>
      </c>
      <c r="J458" s="119">
        <f t="shared" si="61"/>
        <v>0</v>
      </c>
      <c r="K458" s="119">
        <f t="shared" si="62"/>
        <v>0</v>
      </c>
      <c r="L458" s="119"/>
      <c r="M458" s="123">
        <f>E458*COHEFICIEN*(1/12)</f>
        <v>7.0300999999999991</v>
      </c>
      <c r="N458" s="6">
        <f t="shared" si="63"/>
        <v>0</v>
      </c>
    </row>
    <row r="459" spans="1:14" x14ac:dyDescent="0.3">
      <c r="B459" s="70" t="s">
        <v>587</v>
      </c>
      <c r="C459" s="63" t="s">
        <v>596</v>
      </c>
      <c r="D459" s="63">
        <v>0.4</v>
      </c>
      <c r="E459" s="119">
        <f>E601</f>
        <v>2128</v>
      </c>
      <c r="F459" s="196">
        <f t="shared" si="59"/>
        <v>1</v>
      </c>
      <c r="G459" s="204">
        <f t="shared" si="64"/>
        <v>2128</v>
      </c>
      <c r="H459" s="99">
        <f t="shared" si="60"/>
        <v>0</v>
      </c>
      <c r="I459" s="119">
        <f t="shared" si="65"/>
        <v>0</v>
      </c>
      <c r="J459" s="119">
        <f t="shared" si="61"/>
        <v>0</v>
      </c>
      <c r="K459" s="119">
        <f t="shared" si="62"/>
        <v>0</v>
      </c>
      <c r="L459" s="119"/>
      <c r="M459" s="123">
        <f>E459*COHEFICIEN*(1/16)</f>
        <v>6.1445999999999996</v>
      </c>
      <c r="N459" s="6">
        <f t="shared" si="63"/>
        <v>0</v>
      </c>
    </row>
    <row r="460" spans="1:14" x14ac:dyDescent="0.3">
      <c r="B460" s="70" t="s">
        <v>588</v>
      </c>
      <c r="C460" s="63" t="s">
        <v>597</v>
      </c>
      <c r="D460" s="63">
        <v>0.4</v>
      </c>
      <c r="E460" s="119">
        <f>F601</f>
        <v>2732</v>
      </c>
      <c r="F460" s="196">
        <f t="shared" si="59"/>
        <v>1</v>
      </c>
      <c r="G460" s="204">
        <f t="shared" si="64"/>
        <v>2732</v>
      </c>
      <c r="H460" s="99">
        <f t="shared" si="60"/>
        <v>0</v>
      </c>
      <c r="I460" s="119">
        <f t="shared" si="65"/>
        <v>0</v>
      </c>
      <c r="J460" s="119">
        <f t="shared" si="61"/>
        <v>0</v>
      </c>
      <c r="K460" s="119">
        <f t="shared" si="62"/>
        <v>0</v>
      </c>
      <c r="L460" s="119"/>
      <c r="M460" s="123">
        <f>E460*COHEFICIEN*(1/24)</f>
        <v>5.2590999999999992</v>
      </c>
      <c r="N460" s="6">
        <f t="shared" si="63"/>
        <v>0</v>
      </c>
    </row>
    <row r="461" spans="1:14" x14ac:dyDescent="0.3">
      <c r="B461" s="70" t="s">
        <v>589</v>
      </c>
      <c r="C461" s="63" t="s">
        <v>598</v>
      </c>
      <c r="D461" s="63">
        <v>0.4</v>
      </c>
      <c r="E461" s="119">
        <f>G601</f>
        <v>3661</v>
      </c>
      <c r="F461" s="196">
        <f t="shared" si="59"/>
        <v>1</v>
      </c>
      <c r="G461" s="204">
        <f t="shared" si="64"/>
        <v>3661</v>
      </c>
      <c r="H461" s="99">
        <f t="shared" si="60"/>
        <v>0</v>
      </c>
      <c r="I461" s="119">
        <f t="shared" si="65"/>
        <v>0</v>
      </c>
      <c r="J461" s="119">
        <f t="shared" si="61"/>
        <v>0</v>
      </c>
      <c r="K461" s="119">
        <f t="shared" si="62"/>
        <v>0</v>
      </c>
      <c r="L461" s="119"/>
      <c r="M461" s="123">
        <f>E461*COHEFICIEN*(1/32)</f>
        <v>5.2855687499999995</v>
      </c>
      <c r="N461" s="6">
        <f t="shared" si="63"/>
        <v>0</v>
      </c>
    </row>
    <row r="462" spans="1:14" x14ac:dyDescent="0.3">
      <c r="B462" s="70" t="s">
        <v>590</v>
      </c>
      <c r="C462" s="63" t="s">
        <v>599</v>
      </c>
      <c r="D462" s="63">
        <v>0.4</v>
      </c>
      <c r="E462" s="119">
        <f>H601</f>
        <v>4869</v>
      </c>
      <c r="F462" s="196">
        <f t="shared" si="59"/>
        <v>1</v>
      </c>
      <c r="G462" s="204">
        <f t="shared" si="64"/>
        <v>4869</v>
      </c>
      <c r="H462" s="99">
        <f t="shared" si="60"/>
        <v>0</v>
      </c>
      <c r="I462" s="119">
        <f t="shared" si="65"/>
        <v>0</v>
      </c>
      <c r="J462" s="119">
        <f t="shared" si="61"/>
        <v>0</v>
      </c>
      <c r="K462" s="119">
        <f t="shared" si="62"/>
        <v>0</v>
      </c>
      <c r="L462" s="119"/>
      <c r="M462" s="123">
        <f>E462*COHEFICIEN*(1/48)</f>
        <v>4.6864124999999994</v>
      </c>
      <c r="N462" s="6">
        <f t="shared" si="63"/>
        <v>0</v>
      </c>
    </row>
    <row r="463" spans="1:14" x14ac:dyDescent="0.3">
      <c r="B463" s="70" t="s">
        <v>328</v>
      </c>
      <c r="C463" s="63" t="str">
        <f>I46</f>
        <v>Centralita IP iNimbus Unify  con hasta X Líneas SIP y hasta Y Extensiones SIP</v>
      </c>
      <c r="D463" s="63">
        <v>0.4</v>
      </c>
      <c r="E463" s="119">
        <f>I54</f>
        <v>0</v>
      </c>
      <c r="F463" s="196">
        <f t="shared" si="59"/>
        <v>1</v>
      </c>
      <c r="G463" s="204">
        <f t="shared" si="64"/>
        <v>0</v>
      </c>
      <c r="H463" s="99">
        <f>IF(VALIDADOR_INIMBUSESP,1,0)</f>
        <v>0</v>
      </c>
      <c r="I463" s="119">
        <f t="shared" si="65"/>
        <v>0</v>
      </c>
      <c r="J463" s="119">
        <f t="shared" si="61"/>
        <v>0</v>
      </c>
      <c r="K463" s="119">
        <f t="shared" si="62"/>
        <v>0</v>
      </c>
      <c r="L463" s="119"/>
      <c r="M463" s="123">
        <f>IF(I49=0,0,E463*COHEFICIEN*(1/I49))</f>
        <v>0</v>
      </c>
      <c r="N463" s="6">
        <f t="shared" si="63"/>
        <v>0</v>
      </c>
    </row>
    <row r="464" spans="1:14" x14ac:dyDescent="0.3">
      <c r="A464" s="63" t="s">
        <v>192</v>
      </c>
      <c r="B464" s="120" t="s">
        <v>95</v>
      </c>
      <c r="C464" s="121"/>
      <c r="D464" s="121"/>
      <c r="E464" s="121"/>
      <c r="F464" s="121"/>
      <c r="G464" s="121"/>
      <c r="H464" s="121"/>
      <c r="I464" s="122">
        <f>SUM(I457:I463)</f>
        <v>0</v>
      </c>
      <c r="J464" s="122">
        <f>SUM(J457:J463)</f>
        <v>0</v>
      </c>
      <c r="K464" s="4">
        <f>SUM(N457:N463)</f>
        <v>0</v>
      </c>
      <c r="L464" s="122">
        <f>I464*COHEFICIEN</f>
        <v>0</v>
      </c>
    </row>
    <row r="465" spans="1:13" x14ac:dyDescent="0.3">
      <c r="B465" s="70" t="s">
        <v>16</v>
      </c>
      <c r="I465" s="63"/>
      <c r="J465" s="63"/>
    </row>
    <row r="466" spans="1:13" x14ac:dyDescent="0.3">
      <c r="B466" s="70" t="s">
        <v>96</v>
      </c>
      <c r="C466" s="63" t="b">
        <f>C385&gt;12</f>
        <v>0</v>
      </c>
      <c r="I466" s="63"/>
      <c r="J466" s="63"/>
    </row>
    <row r="467" spans="1:13" x14ac:dyDescent="0.3">
      <c r="B467" s="70" t="s">
        <v>97</v>
      </c>
      <c r="C467" s="63" t="b">
        <f>NOT(C466)</f>
        <v>1</v>
      </c>
      <c r="I467" s="63"/>
      <c r="J467" s="63"/>
    </row>
    <row r="468" spans="1:13" ht="16.5" customHeight="1" x14ac:dyDescent="0.3">
      <c r="I468" s="63"/>
      <c r="J468" s="63"/>
    </row>
    <row r="469" spans="1:13" x14ac:dyDescent="0.3">
      <c r="A469" s="178" t="s">
        <v>193</v>
      </c>
      <c r="B469" s="124" t="s">
        <v>98</v>
      </c>
      <c r="C469" s="125"/>
      <c r="D469" s="125"/>
      <c r="E469" s="125"/>
      <c r="F469" s="125"/>
      <c r="G469" s="125"/>
      <c r="H469" s="125"/>
      <c r="I469" s="126">
        <f>I464+I454+I468</f>
        <v>0</v>
      </c>
      <c r="J469" s="126">
        <f>J464+J454+J468</f>
        <v>0</v>
      </c>
      <c r="K469" s="126">
        <f>K464+K454+K468</f>
        <v>0</v>
      </c>
    </row>
    <row r="470" spans="1:13" x14ac:dyDescent="0.3">
      <c r="B470" s="124" t="s">
        <v>99</v>
      </c>
      <c r="C470" s="125" t="e">
        <f>MATCH(I469,Renting_REF,1)</f>
        <v>#N/A</v>
      </c>
      <c r="D470" s="125" t="b">
        <f>ISNA(C470)</f>
        <v>1</v>
      </c>
      <c r="E470" s="125"/>
      <c r="F470" s="125"/>
      <c r="G470" s="125">
        <f>IF(D470,1,C470)</f>
        <v>1</v>
      </c>
      <c r="H470" s="207">
        <f>INDEX(C550:H551,G471,G470)</f>
        <v>4.6199999999999998E-2</v>
      </c>
      <c r="I470" s="199">
        <f>H470*I469</f>
        <v>0</v>
      </c>
      <c r="J470" s="125"/>
      <c r="K470" s="200"/>
      <c r="L470" s="180">
        <f>L464+L454</f>
        <v>0</v>
      </c>
    </row>
    <row r="471" spans="1:13" x14ac:dyDescent="0.3">
      <c r="G471" s="63">
        <f>IF(D32=B371,1,2)</f>
        <v>1</v>
      </c>
      <c r="I471" s="123">
        <f>I470/IF(VALIDADOR_INIMBUSESP,I49,IF(EXT_FINALE=0,1,EXT_FINALE))</f>
        <v>0</v>
      </c>
      <c r="J471" s="63"/>
    </row>
    <row r="472" spans="1:13" ht="16.5" customHeight="1" x14ac:dyDescent="0.3">
      <c r="I472" s="63"/>
      <c r="J472" s="63"/>
    </row>
    <row r="473" spans="1:13" x14ac:dyDescent="0.3">
      <c r="B473" s="95" t="s">
        <v>100</v>
      </c>
      <c r="C473" s="201" t="b">
        <f>E171=$H$310</f>
        <v>1</v>
      </c>
      <c r="D473" s="202" t="b">
        <f>PRINCIPAL!$E$172=0</f>
        <v>1</v>
      </c>
      <c r="E473" s="202"/>
      <c r="F473" s="202"/>
      <c r="G473" s="202" t="b">
        <f>AND(C473,D473)</f>
        <v>1</v>
      </c>
      <c r="H473" s="202" t="b">
        <f>AND(NOT(C473),D473)</f>
        <v>0</v>
      </c>
      <c r="I473" s="202"/>
      <c r="J473" s="202"/>
      <c r="K473" s="203"/>
    </row>
    <row r="474" spans="1:13" x14ac:dyDescent="0.3">
      <c r="B474" s="70" t="s">
        <v>101</v>
      </c>
      <c r="C474" s="63" t="s">
        <v>89</v>
      </c>
      <c r="E474">
        <v>311</v>
      </c>
      <c r="F474" s="63">
        <v>1</v>
      </c>
      <c r="G474" s="119">
        <f t="shared" ref="G474:G479" si="66">F474*E474</f>
        <v>311</v>
      </c>
      <c r="H474" s="99">
        <f t="shared" ref="H474:H479" si="67">IF($G$473,H457,0)</f>
        <v>0</v>
      </c>
      <c r="I474" s="123">
        <f>H474*G474</f>
        <v>0</v>
      </c>
      <c r="J474" s="198">
        <f t="shared" ref="J474:J480" si="68">I474*COHEFICIEN</f>
        <v>0</v>
      </c>
      <c r="K474" s="119">
        <f t="shared" ref="K474:K480" si="69">IF(EXT_FINALE=0,0,J474/EXT_FINALE)</f>
        <v>0</v>
      </c>
      <c r="M474" t="str">
        <f t="shared" ref="M474:M479" si="70">TEXT(E474,"#.##0,00€")</f>
        <v>311,00€</v>
      </c>
    </row>
    <row r="475" spans="1:13" x14ac:dyDescent="0.3">
      <c r="B475" s="70" t="s">
        <v>102</v>
      </c>
      <c r="C475" s="63" t="s">
        <v>90</v>
      </c>
      <c r="E475">
        <v>311</v>
      </c>
      <c r="F475" s="63">
        <v>1</v>
      </c>
      <c r="G475" s="119">
        <f t="shared" si="66"/>
        <v>311</v>
      </c>
      <c r="H475" s="99">
        <f t="shared" si="67"/>
        <v>0</v>
      </c>
      <c r="I475" s="123">
        <f t="shared" ref="I475:I487" si="71">H475*G475</f>
        <v>0</v>
      </c>
      <c r="J475" s="198">
        <f t="shared" si="68"/>
        <v>0</v>
      </c>
      <c r="K475" s="119">
        <f t="shared" si="69"/>
        <v>0</v>
      </c>
      <c r="M475" t="str">
        <f t="shared" si="70"/>
        <v>311,00€</v>
      </c>
    </row>
    <row r="476" spans="1:13" x14ac:dyDescent="0.3">
      <c r="B476" s="70" t="s">
        <v>103</v>
      </c>
      <c r="C476" s="63" t="s">
        <v>91</v>
      </c>
      <c r="E476">
        <v>537</v>
      </c>
      <c r="F476" s="63">
        <v>1</v>
      </c>
      <c r="G476" s="119">
        <f t="shared" si="66"/>
        <v>537</v>
      </c>
      <c r="H476" s="99">
        <f t="shared" si="67"/>
        <v>0</v>
      </c>
      <c r="I476" s="123">
        <f t="shared" si="71"/>
        <v>0</v>
      </c>
      <c r="J476" s="198">
        <f t="shared" si="68"/>
        <v>0</v>
      </c>
      <c r="K476" s="119">
        <f t="shared" si="69"/>
        <v>0</v>
      </c>
      <c r="M476" t="str">
        <f t="shared" si="70"/>
        <v>537,00€</v>
      </c>
    </row>
    <row r="477" spans="1:13" x14ac:dyDescent="0.3">
      <c r="B477" s="70" t="s">
        <v>104</v>
      </c>
      <c r="C477" s="63" t="s">
        <v>92</v>
      </c>
      <c r="E477">
        <v>625</v>
      </c>
      <c r="F477" s="63">
        <v>1</v>
      </c>
      <c r="G477" s="119">
        <f t="shared" si="66"/>
        <v>625</v>
      </c>
      <c r="H477" s="99">
        <f t="shared" si="67"/>
        <v>0</v>
      </c>
      <c r="I477" s="123">
        <f t="shared" si="71"/>
        <v>0</v>
      </c>
      <c r="J477" s="198">
        <f t="shared" si="68"/>
        <v>0</v>
      </c>
      <c r="K477" s="119">
        <f t="shared" si="69"/>
        <v>0</v>
      </c>
      <c r="M477" t="str">
        <f t="shared" si="70"/>
        <v>625,00€</v>
      </c>
    </row>
    <row r="478" spans="1:13" x14ac:dyDescent="0.3">
      <c r="B478" s="70" t="s">
        <v>105</v>
      </c>
      <c r="C478" s="63" t="s">
        <v>93</v>
      </c>
      <c r="E478">
        <v>713</v>
      </c>
      <c r="F478" s="63">
        <v>1</v>
      </c>
      <c r="G478" s="119">
        <f t="shared" si="66"/>
        <v>713</v>
      </c>
      <c r="H478" s="99">
        <f t="shared" si="67"/>
        <v>0</v>
      </c>
      <c r="I478" s="123">
        <f t="shared" si="71"/>
        <v>0</v>
      </c>
      <c r="J478" s="198">
        <f t="shared" si="68"/>
        <v>0</v>
      </c>
      <c r="K478" s="119">
        <f t="shared" si="69"/>
        <v>0</v>
      </c>
      <c r="M478" t="str">
        <f t="shared" si="70"/>
        <v>713,00€</v>
      </c>
    </row>
    <row r="479" spans="1:13" x14ac:dyDescent="0.3">
      <c r="B479" s="70" t="s">
        <v>106</v>
      </c>
      <c r="C479" s="63" t="s">
        <v>94</v>
      </c>
      <c r="E479">
        <v>889</v>
      </c>
      <c r="F479" s="63">
        <v>1</v>
      </c>
      <c r="G479" s="119">
        <f t="shared" si="66"/>
        <v>889</v>
      </c>
      <c r="H479" s="99">
        <f t="shared" si="67"/>
        <v>0</v>
      </c>
      <c r="I479" s="123">
        <f t="shared" si="71"/>
        <v>0</v>
      </c>
      <c r="J479" s="198">
        <f t="shared" si="68"/>
        <v>0</v>
      </c>
      <c r="K479" s="119">
        <f t="shared" si="69"/>
        <v>0</v>
      </c>
      <c r="M479" t="str">
        <f t="shared" si="70"/>
        <v>889,00€</v>
      </c>
    </row>
    <row r="480" spans="1:13" x14ac:dyDescent="0.3">
      <c r="B480" s="79" t="s">
        <v>107</v>
      </c>
      <c r="C480" s="79"/>
      <c r="D480" s="79"/>
      <c r="E480" s="79"/>
      <c r="F480" s="79"/>
      <c r="G480" s="127">
        <f>PRINCIPAL!$E$172</f>
        <v>0</v>
      </c>
      <c r="H480" s="205">
        <f>IF(D473,0,1)</f>
        <v>0</v>
      </c>
      <c r="I480" s="128">
        <f t="shared" si="71"/>
        <v>0</v>
      </c>
      <c r="J480" s="208">
        <f t="shared" si="68"/>
        <v>0</v>
      </c>
      <c r="K480" s="119">
        <f t="shared" si="69"/>
        <v>0</v>
      </c>
    </row>
    <row r="481" spans="2:14" x14ac:dyDescent="0.3">
      <c r="G481" s="119"/>
      <c r="H481" s="63">
        <f>SUM(H474:H480)</f>
        <v>0</v>
      </c>
      <c r="I481" s="123">
        <f>SUM(I474:I480)</f>
        <v>0</v>
      </c>
      <c r="J481" s="184">
        <f>SUM(J474:J480)</f>
        <v>0</v>
      </c>
      <c r="K481" s="184">
        <f>SUM(K474:K480)</f>
        <v>0</v>
      </c>
    </row>
    <row r="482" spans="2:14" x14ac:dyDescent="0.3">
      <c r="G482" s="119"/>
      <c r="I482" s="123"/>
      <c r="J482" s="63"/>
    </row>
    <row r="483" spans="2:14" x14ac:dyDescent="0.3">
      <c r="B483" s="95" t="s">
        <v>108</v>
      </c>
      <c r="C483" s="201" t="b">
        <f>E175=$H$310</f>
        <v>1</v>
      </c>
      <c r="D483" s="202" t="b">
        <f>PRINCIPAL!$E$176=0</f>
        <v>1</v>
      </c>
      <c r="E483" s="202"/>
      <c r="F483" s="202"/>
      <c r="G483" s="209" t="b">
        <f>AND(C483,D483)</f>
        <v>1</v>
      </c>
      <c r="H483" s="202" t="b">
        <f>AND(NOT(C483),(D483))</f>
        <v>0</v>
      </c>
      <c r="I483" s="210"/>
      <c r="J483" s="202"/>
      <c r="K483" s="203"/>
    </row>
    <row r="484" spans="2:14" x14ac:dyDescent="0.3">
      <c r="B484" s="70" t="s">
        <v>109</v>
      </c>
      <c r="E484" s="6">
        <f>I469*F484</f>
        <v>0</v>
      </c>
      <c r="F484" s="129">
        <v>0.14000000000000001</v>
      </c>
      <c r="G484" s="123">
        <f>IF(E484&gt;200,E484,200)</f>
        <v>200</v>
      </c>
      <c r="H484" s="63">
        <f>IF(I469=0,0,IF(G483,G471,0))</f>
        <v>0</v>
      </c>
      <c r="I484" s="123">
        <f t="shared" si="71"/>
        <v>0</v>
      </c>
      <c r="J484" s="198">
        <f t="shared" ref="J484:J489" si="72">I484*COHEFICIEN</f>
        <v>0</v>
      </c>
      <c r="K484" s="119">
        <f t="shared" ref="K484:K489" si="73">IF(EXT_FINALE=0,0,J484/EXT_FINALE)</f>
        <v>0</v>
      </c>
    </row>
    <row r="485" spans="2:14" x14ac:dyDescent="0.3">
      <c r="B485" s="70" t="s">
        <v>238</v>
      </c>
      <c r="G485" s="63">
        <f>PRINCIPAL!E176</f>
        <v>0</v>
      </c>
      <c r="H485" s="63">
        <f>IF(D483,0,G471)</f>
        <v>0</v>
      </c>
      <c r="I485" s="123">
        <f t="shared" si="71"/>
        <v>0</v>
      </c>
      <c r="J485" s="198">
        <f t="shared" si="72"/>
        <v>0</v>
      </c>
      <c r="K485" s="119">
        <f t="shared" si="73"/>
        <v>0</v>
      </c>
    </row>
    <row r="486" spans="2:14" x14ac:dyDescent="0.3">
      <c r="B486" s="70" t="s">
        <v>137</v>
      </c>
      <c r="G486" s="63">
        <f>PRINCIPAL!E179</f>
        <v>0</v>
      </c>
      <c r="H486" s="63">
        <v>1</v>
      </c>
      <c r="I486" s="123">
        <f t="shared" si="71"/>
        <v>0</v>
      </c>
      <c r="J486" s="198">
        <f t="shared" si="72"/>
        <v>0</v>
      </c>
      <c r="K486" s="119">
        <f t="shared" si="73"/>
        <v>0</v>
      </c>
    </row>
    <row r="487" spans="2:14" ht="16.5" customHeight="1" x14ac:dyDescent="0.3">
      <c r="B487" s="79" t="s">
        <v>54</v>
      </c>
      <c r="C487" s="79"/>
      <c r="D487" s="79"/>
      <c r="E487" s="79"/>
      <c r="F487" s="79"/>
      <c r="G487" s="79">
        <f>PRINCIPAL!E182</f>
        <v>0</v>
      </c>
      <c r="H487" s="79">
        <v>1</v>
      </c>
      <c r="I487" s="128">
        <f t="shared" si="71"/>
        <v>0</v>
      </c>
      <c r="J487" s="208">
        <f t="shared" si="72"/>
        <v>0</v>
      </c>
      <c r="K487" s="119">
        <f t="shared" si="73"/>
        <v>0</v>
      </c>
    </row>
    <row r="488" spans="2:14" ht="16.5" customHeight="1" x14ac:dyDescent="0.3">
      <c r="B488" s="70" t="s">
        <v>435</v>
      </c>
      <c r="C488" s="70"/>
      <c r="D488" s="70"/>
      <c r="E488" s="70">
        <v>75</v>
      </c>
      <c r="F488" s="70">
        <v>1</v>
      </c>
      <c r="G488" s="70">
        <f>F488*E488</f>
        <v>75</v>
      </c>
      <c r="H488" s="70">
        <f>IF(E253=H369,1,0)</f>
        <v>0</v>
      </c>
      <c r="I488" s="289">
        <f>H488*G488</f>
        <v>0</v>
      </c>
      <c r="J488" s="290">
        <f t="shared" si="72"/>
        <v>0</v>
      </c>
      <c r="K488" s="119">
        <f t="shared" si="73"/>
        <v>0</v>
      </c>
    </row>
    <row r="489" spans="2:14" ht="16.5" customHeight="1" x14ac:dyDescent="0.3">
      <c r="B489" s="79" t="s">
        <v>436</v>
      </c>
      <c r="C489" s="79"/>
      <c r="D489" s="79"/>
      <c r="E489" s="79">
        <v>150</v>
      </c>
      <c r="F489" s="79">
        <v>1</v>
      </c>
      <c r="G489" s="79">
        <f>F489*E489</f>
        <v>150</v>
      </c>
      <c r="H489" s="79">
        <f>IF(E253=H370,1,0)</f>
        <v>0</v>
      </c>
      <c r="I489" s="128">
        <f>H489*G489</f>
        <v>0</v>
      </c>
      <c r="J489" s="208">
        <f t="shared" si="72"/>
        <v>0</v>
      </c>
      <c r="K489" s="119">
        <f t="shared" si="73"/>
        <v>0</v>
      </c>
    </row>
    <row r="490" spans="2:14" ht="16.5" customHeight="1" x14ac:dyDescent="0.3">
      <c r="I490" s="184">
        <f>SUM(I484:I489)</f>
        <v>0</v>
      </c>
      <c r="J490" s="184">
        <f>SUM(J484:J489)</f>
        <v>0</v>
      </c>
      <c r="K490" s="184">
        <f>SUM(K484:K487)</f>
        <v>0</v>
      </c>
    </row>
    <row r="491" spans="2:14" ht="16.5" customHeight="1" x14ac:dyDescent="0.3">
      <c r="B491" s="130" t="s">
        <v>239</v>
      </c>
      <c r="C491" s="131"/>
      <c r="D491" s="131"/>
      <c r="E491" s="131"/>
      <c r="F491" s="131"/>
      <c r="G491" s="131"/>
      <c r="H491" s="131"/>
      <c r="I491" s="132">
        <f>I490+I481</f>
        <v>0</v>
      </c>
      <c r="J491" s="132">
        <f>J490+J481</f>
        <v>0</v>
      </c>
      <c r="K491" s="132">
        <f>K490+K481</f>
        <v>0</v>
      </c>
      <c r="L491" s="63" t="s">
        <v>194</v>
      </c>
      <c r="N491" s="180"/>
    </row>
    <row r="492" spans="2:14" ht="16.5" customHeight="1" x14ac:dyDescent="0.3">
      <c r="B492" s="70" t="s">
        <v>110</v>
      </c>
      <c r="I492" s="123">
        <f>I491*H470</f>
        <v>0</v>
      </c>
      <c r="J492" s="63"/>
    </row>
    <row r="493" spans="2:14" ht="16.5" customHeight="1" x14ac:dyDescent="0.3">
      <c r="I493" s="123">
        <f>I492/IF(VALIDADOR_INIMBUSESP,I49,IF(EXT_FINALE=0,1,EXT_FINALE))</f>
        <v>0</v>
      </c>
      <c r="J493" s="63"/>
    </row>
    <row r="494" spans="2:14" ht="16.5" customHeight="1" x14ac:dyDescent="0.3">
      <c r="B494" s="133" t="s">
        <v>212</v>
      </c>
      <c r="C494" s="134"/>
      <c r="D494" s="134"/>
      <c r="E494" s="134"/>
      <c r="F494" s="134"/>
      <c r="G494" s="134"/>
      <c r="H494" s="134"/>
      <c r="I494" s="135">
        <f>I491+I469</f>
        <v>0</v>
      </c>
      <c r="J494" s="135">
        <f>J491+J469</f>
        <v>0</v>
      </c>
      <c r="K494" s="135">
        <f>K491+K469</f>
        <v>0</v>
      </c>
      <c r="L494" s="63" t="s">
        <v>195</v>
      </c>
    </row>
    <row r="495" spans="2:14" ht="16.5" customHeight="1" x14ac:dyDescent="0.3">
      <c r="B495" s="70" t="s">
        <v>111</v>
      </c>
      <c r="I495" s="123">
        <f>I494*H470</f>
        <v>0</v>
      </c>
      <c r="L495" s="63" t="s">
        <v>213</v>
      </c>
    </row>
    <row r="496" spans="2:14" ht="16.5" customHeight="1" x14ac:dyDescent="0.3">
      <c r="I496" s="123"/>
      <c r="J496" s="63"/>
    </row>
    <row r="497" spans="2:12" ht="16.5" customHeight="1" x14ac:dyDescent="0.3">
      <c r="B497" s="70" t="s">
        <v>132</v>
      </c>
      <c r="I497" s="123"/>
      <c r="J497" s="63"/>
    </row>
    <row r="498" spans="2:12" ht="16.5" customHeight="1" x14ac:dyDescent="0.3">
      <c r="B498" s="70" t="s">
        <v>112</v>
      </c>
      <c r="E498" s="155">
        <v>49</v>
      </c>
      <c r="F498" s="63">
        <v>1</v>
      </c>
      <c r="G498" s="63">
        <f>F498*E498</f>
        <v>49</v>
      </c>
      <c r="H498" s="63">
        <f>IF($P$188,IF(PRINCIPAL!$E$247=PRINCIPAL!$B$310,K498,0),0)</f>
        <v>0</v>
      </c>
      <c r="I498" s="63">
        <f t="shared" ref="I498:I503" si="74">H498*E498</f>
        <v>0</v>
      </c>
      <c r="J498" s="63" t="b">
        <f>AND(VALIDADOR_INIMBUSESP,$I$47=2)</f>
        <v>0</v>
      </c>
      <c r="K498" s="211">
        <f t="shared" ref="K498:K503" si="75">IF(J498,1,H457)</f>
        <v>0</v>
      </c>
    </row>
    <row r="499" spans="2:12" ht="16.5" customHeight="1" x14ac:dyDescent="0.3">
      <c r="B499" s="70" t="s">
        <v>113</v>
      </c>
      <c r="E499" s="155">
        <v>69</v>
      </c>
      <c r="F499" s="63">
        <v>1</v>
      </c>
      <c r="G499" s="63">
        <f t="shared" ref="G499:G503" si="76">F499*E499</f>
        <v>69</v>
      </c>
      <c r="H499" s="63">
        <f>IF($P$188,IF(PRINCIPAL!$E$247=PRINCIPAL!$B$310,K499,0),0)</f>
        <v>0</v>
      </c>
      <c r="I499" s="63">
        <f t="shared" si="74"/>
        <v>0</v>
      </c>
      <c r="J499" s="63" t="b">
        <f>AND(VALIDADOR_INIMBUSESP,$I$47=3)</f>
        <v>0</v>
      </c>
      <c r="K499" s="211">
        <f t="shared" si="75"/>
        <v>0</v>
      </c>
    </row>
    <row r="500" spans="2:12" ht="16.5" customHeight="1" x14ac:dyDescent="0.3">
      <c r="B500" s="70" t="s">
        <v>114</v>
      </c>
      <c r="E500" s="155">
        <v>89</v>
      </c>
      <c r="F500" s="63">
        <v>1</v>
      </c>
      <c r="G500" s="63">
        <f t="shared" si="76"/>
        <v>89</v>
      </c>
      <c r="H500" s="63">
        <f>IF($P$188,IF(PRINCIPAL!$E$247=PRINCIPAL!$B$310,K500,0),0)</f>
        <v>0</v>
      </c>
      <c r="I500" s="63">
        <f t="shared" si="74"/>
        <v>0</v>
      </c>
      <c r="J500" s="63" t="b">
        <f>AND(VALIDADOR_INIMBUSESP,$I$47=4)</f>
        <v>0</v>
      </c>
      <c r="K500" s="211">
        <f t="shared" si="75"/>
        <v>0</v>
      </c>
    </row>
    <row r="501" spans="2:12" ht="16.5" customHeight="1" x14ac:dyDescent="0.3">
      <c r="B501" s="70" t="s">
        <v>115</v>
      </c>
      <c r="E501" s="155">
        <v>119</v>
      </c>
      <c r="F501" s="63">
        <v>1</v>
      </c>
      <c r="G501" s="63">
        <f t="shared" si="76"/>
        <v>119</v>
      </c>
      <c r="H501" s="63">
        <f>IF(P188,IF(PRINCIPAL!$E$247=PRINCIPAL!$B$310,K501,0),0)</f>
        <v>0</v>
      </c>
      <c r="I501" s="63">
        <f t="shared" si="74"/>
        <v>0</v>
      </c>
      <c r="J501" s="63" t="b">
        <f>AND(VALIDADOR_INIMBUSESP,$I$47=6)</f>
        <v>0</v>
      </c>
      <c r="K501" s="211">
        <f t="shared" si="75"/>
        <v>0</v>
      </c>
    </row>
    <row r="502" spans="2:12" ht="16.5" customHeight="1" x14ac:dyDescent="0.3">
      <c r="B502" s="70" t="s">
        <v>116</v>
      </c>
      <c r="E502" s="155">
        <v>149</v>
      </c>
      <c r="F502" s="63">
        <v>1</v>
      </c>
      <c r="G502" s="63">
        <f t="shared" si="76"/>
        <v>149</v>
      </c>
      <c r="H502" s="63">
        <f>IF(AND(P188,PRINCIPAL!$E$247=PRINCIPAL!$B$310),K502,0)</f>
        <v>0</v>
      </c>
      <c r="I502" s="63">
        <f t="shared" si="74"/>
        <v>0</v>
      </c>
      <c r="J502" s="63" t="b">
        <f>AND(VALIDADOR_INIMBUSESP,$I$47=8)</f>
        <v>0</v>
      </c>
      <c r="K502" s="211">
        <f t="shared" si="75"/>
        <v>0</v>
      </c>
    </row>
    <row r="503" spans="2:12" ht="16.5" customHeight="1" x14ac:dyDescent="0.3">
      <c r="B503" s="79" t="s">
        <v>117</v>
      </c>
      <c r="C503" s="79"/>
      <c r="D503" s="79"/>
      <c r="E503" s="79">
        <v>276.5</v>
      </c>
      <c r="F503" s="79">
        <v>1</v>
      </c>
      <c r="G503" s="79">
        <f t="shared" si="76"/>
        <v>276.5</v>
      </c>
      <c r="H503" s="79">
        <f>IF(AND(P188,PRINCIPAL!$E$247=PRINCIPAL!$B$310),K503,0)</f>
        <v>0</v>
      </c>
      <c r="I503" s="79">
        <f t="shared" si="74"/>
        <v>0</v>
      </c>
      <c r="J503" s="63" t="b">
        <f>AND(VALIDADOR_INIMBUSESP,$I$47=12)</f>
        <v>0</v>
      </c>
      <c r="K503" s="211">
        <f t="shared" si="75"/>
        <v>0</v>
      </c>
    </row>
    <row r="504" spans="2:12" ht="16.5" customHeight="1" x14ac:dyDescent="0.3">
      <c r="B504" s="70" t="s">
        <v>571</v>
      </c>
      <c r="H504" s="63">
        <f>SUM(H498:H503)</f>
        <v>0</v>
      </c>
      <c r="I504" s="63">
        <f>SUM(I498:I503)</f>
        <v>0</v>
      </c>
      <c r="L504" s="63" t="s">
        <v>214</v>
      </c>
    </row>
    <row r="505" spans="2:12" ht="16.5" customHeight="1" x14ac:dyDescent="0.3">
      <c r="D505" s="63" t="s">
        <v>340</v>
      </c>
      <c r="I505" s="63"/>
      <c r="J505" s="63"/>
    </row>
    <row r="506" spans="2:12" ht="16.5" customHeight="1" x14ac:dyDescent="0.3">
      <c r="B506" s="70" t="s">
        <v>123</v>
      </c>
      <c r="D506" s="63">
        <v>0</v>
      </c>
      <c r="E506" s="155">
        <f>124</f>
        <v>124</v>
      </c>
      <c r="F506" s="63">
        <v>1</v>
      </c>
      <c r="G506" s="63">
        <f>F506*E506</f>
        <v>124</v>
      </c>
      <c r="H506" s="63">
        <f>IF(AND(P188,PRINCIPAL!$E$247=PRINCIPAL!$B$311),K506,0)</f>
        <v>0</v>
      </c>
      <c r="I506" s="63">
        <f t="shared" ref="I506:I511" si="77">H506*E506</f>
        <v>0</v>
      </c>
      <c r="J506" s="63" t="b">
        <f>AND(VALIDADOR_INIMBUSESP,$I$47=2)</f>
        <v>0</v>
      </c>
      <c r="K506">
        <f t="shared" ref="K506:K511" si="78">IF(J506,1,H457)</f>
        <v>0</v>
      </c>
    </row>
    <row r="507" spans="2:12" x14ac:dyDescent="0.3">
      <c r="B507" s="70" t="s">
        <v>124</v>
      </c>
      <c r="D507" s="63">
        <v>0</v>
      </c>
      <c r="E507" s="155">
        <f>124+30</f>
        <v>154</v>
      </c>
      <c r="F507" s="63">
        <v>1</v>
      </c>
      <c r="G507" s="63">
        <f t="shared" ref="G507:G511" si="79">F507*E507</f>
        <v>154</v>
      </c>
      <c r="H507" s="63">
        <f>IF(AND(P188,PRINCIPAL!$E$247=PRINCIPAL!$B$311),K507,0)</f>
        <v>0</v>
      </c>
      <c r="I507" s="63">
        <f t="shared" si="77"/>
        <v>0</v>
      </c>
      <c r="J507" s="63" t="b">
        <f>AND(VALIDADOR_INIMBUSESP,$I$47=3)</f>
        <v>0</v>
      </c>
      <c r="K507">
        <f t="shared" si="78"/>
        <v>0</v>
      </c>
    </row>
    <row r="508" spans="2:12" x14ac:dyDescent="0.3">
      <c r="B508" s="70" t="s">
        <v>125</v>
      </c>
      <c r="D508" s="63">
        <v>0</v>
      </c>
      <c r="E508" s="155">
        <f>164</f>
        <v>164</v>
      </c>
      <c r="F508" s="63">
        <v>1</v>
      </c>
      <c r="G508" s="63">
        <f t="shared" si="79"/>
        <v>164</v>
      </c>
      <c r="H508" s="63">
        <f>IF(AND(P188,PRINCIPAL!$E$247=PRINCIPAL!$B$311),K508,0)</f>
        <v>0</v>
      </c>
      <c r="I508" s="63">
        <f t="shared" si="77"/>
        <v>0</v>
      </c>
      <c r="J508" s="63" t="b">
        <f>AND(VALIDADOR_INIMBUSESP,$I$47=4)</f>
        <v>0</v>
      </c>
      <c r="K508">
        <f t="shared" si="78"/>
        <v>0</v>
      </c>
    </row>
    <row r="509" spans="2:12" ht="16.5" customHeight="1" x14ac:dyDescent="0.3">
      <c r="B509" s="70" t="s">
        <v>126</v>
      </c>
      <c r="D509" s="63">
        <v>0</v>
      </c>
      <c r="E509" s="155">
        <f>214</f>
        <v>214</v>
      </c>
      <c r="F509" s="63">
        <v>1</v>
      </c>
      <c r="G509" s="63">
        <f t="shared" si="79"/>
        <v>214</v>
      </c>
      <c r="H509" s="63">
        <f>IF(AND(P188,PRINCIPAL!$E$247=PRINCIPAL!$B$311),K509,0)</f>
        <v>0</v>
      </c>
      <c r="I509" s="63">
        <f t="shared" si="77"/>
        <v>0</v>
      </c>
      <c r="J509" s="63" t="b">
        <f>AND(VALIDADOR_INIMBUSESP,$I$47=6)</f>
        <v>0</v>
      </c>
      <c r="K509">
        <f t="shared" si="78"/>
        <v>0</v>
      </c>
    </row>
    <row r="510" spans="2:12" ht="16.5" customHeight="1" x14ac:dyDescent="0.3">
      <c r="B510" s="70" t="s">
        <v>127</v>
      </c>
      <c r="D510" s="63">
        <v>0</v>
      </c>
      <c r="E510" s="155">
        <f>214</f>
        <v>214</v>
      </c>
      <c r="F510" s="63">
        <v>1</v>
      </c>
      <c r="G510" s="63">
        <f t="shared" si="79"/>
        <v>214</v>
      </c>
      <c r="H510" s="63">
        <f>IF(AND(P188,PRINCIPAL!$E$247=PRINCIPAL!$B$311),K510,0)</f>
        <v>0</v>
      </c>
      <c r="I510" s="63">
        <f t="shared" si="77"/>
        <v>0</v>
      </c>
      <c r="J510" s="63" t="b">
        <f>AND(VALIDADOR_INIMBUSESP,$I$47=8)</f>
        <v>0</v>
      </c>
      <c r="K510">
        <f t="shared" si="78"/>
        <v>0</v>
      </c>
    </row>
    <row r="511" spans="2:12" ht="16.5" customHeight="1" x14ac:dyDescent="0.3">
      <c r="B511" s="79" t="s">
        <v>128</v>
      </c>
      <c r="C511" s="79"/>
      <c r="D511" s="79">
        <v>0</v>
      </c>
      <c r="E511" s="156">
        <f>414</f>
        <v>414</v>
      </c>
      <c r="F511" s="79">
        <v>1</v>
      </c>
      <c r="G511" s="79">
        <f t="shared" si="79"/>
        <v>414</v>
      </c>
      <c r="H511" s="79">
        <f>IF(AND(P188,PRINCIPAL!$E$247=PRINCIPAL!$B$311),K511,0)</f>
        <v>0</v>
      </c>
      <c r="I511" s="79">
        <f t="shared" si="77"/>
        <v>0</v>
      </c>
      <c r="J511" s="63" t="b">
        <f>AND(VALIDADOR_INIMBUSESP,$I$47=12)</f>
        <v>0</v>
      </c>
      <c r="K511">
        <f t="shared" si="78"/>
        <v>0</v>
      </c>
    </row>
    <row r="512" spans="2:12" ht="16.5" customHeight="1" x14ac:dyDescent="0.3">
      <c r="B512" s="70" t="s">
        <v>572</v>
      </c>
      <c r="H512" s="63">
        <f>SUM(H506:H511)</f>
        <v>0</v>
      </c>
      <c r="I512" s="136">
        <f>SUM(I506:I511)</f>
        <v>0</v>
      </c>
      <c r="L512" s="63" t="s">
        <v>215</v>
      </c>
    </row>
    <row r="513" spans="2:13" ht="16.5" customHeight="1" x14ac:dyDescent="0.3">
      <c r="B513" s="366" t="s">
        <v>574</v>
      </c>
      <c r="C513" s="367"/>
      <c r="D513" s="367"/>
      <c r="E513" s="367"/>
      <c r="F513" s="367"/>
      <c r="G513" s="367"/>
      <c r="H513" s="367">
        <f>H512+H504</f>
        <v>0</v>
      </c>
      <c r="I513" s="366">
        <f>I512+I504</f>
        <v>0</v>
      </c>
      <c r="L513" s="63"/>
    </row>
    <row r="514" spans="2:13" ht="16.5" customHeight="1" x14ac:dyDescent="0.3">
      <c r="I514" s="136"/>
      <c r="L514" s="63"/>
    </row>
    <row r="515" spans="2:13" ht="16.5" customHeight="1" x14ac:dyDescent="0.3">
      <c r="B515" s="70" t="s">
        <v>432</v>
      </c>
      <c r="E515" s="63">
        <v>5</v>
      </c>
      <c r="F515" s="63">
        <v>1</v>
      </c>
      <c r="G515" s="63">
        <f>F515*E515</f>
        <v>5</v>
      </c>
      <c r="H515" s="63">
        <f>IF(E188=$D$310,0,IF(E198=$H$310,1,0))</f>
        <v>0</v>
      </c>
      <c r="I515" s="136">
        <f>H515*G515</f>
        <v>0</v>
      </c>
      <c r="L515" s="63"/>
      <c r="M515">
        <f>H515</f>
        <v>0</v>
      </c>
    </row>
    <row r="516" spans="2:13" ht="16.5" customHeight="1" x14ac:dyDescent="0.3">
      <c r="B516" s="70" t="s">
        <v>433</v>
      </c>
      <c r="E516" s="63">
        <v>2</v>
      </c>
      <c r="F516" s="63">
        <v>1</v>
      </c>
      <c r="G516" s="63">
        <f>F516*E516</f>
        <v>2</v>
      </c>
      <c r="H516" s="63">
        <f>IF($E$188=$D$310,0,IF($E$206=0,0,IF($E$206&gt;10,$E$206-10,5)))</f>
        <v>0</v>
      </c>
      <c r="I516" s="136">
        <f>IF($E$188=$D$310,0,IF($E$206=0,0,IF($E$206&gt;10,10+H516*G516,H516*G516)))</f>
        <v>0</v>
      </c>
      <c r="L516" s="63"/>
      <c r="M516">
        <v>0</v>
      </c>
    </row>
    <row r="517" spans="2:13" ht="16.5" customHeight="1" x14ac:dyDescent="0.3">
      <c r="B517" s="70" t="s">
        <v>198</v>
      </c>
      <c r="E517" s="155">
        <v>1.5</v>
      </c>
      <c r="F517" s="63">
        <v>1</v>
      </c>
      <c r="G517" s="63">
        <f>F517*E517</f>
        <v>1.5</v>
      </c>
      <c r="H517" s="63">
        <f>E222</f>
        <v>0</v>
      </c>
      <c r="I517" s="136">
        <f>H517*G517</f>
        <v>0</v>
      </c>
      <c r="J517" s="63"/>
      <c r="M517">
        <f>H517</f>
        <v>0</v>
      </c>
    </row>
    <row r="518" spans="2:13" ht="16.5" customHeight="1" x14ac:dyDescent="0.3">
      <c r="B518" s="378" t="s">
        <v>437</v>
      </c>
      <c r="C518" s="207">
        <v>1000</v>
      </c>
      <c r="D518" s="207"/>
      <c r="E518" s="379">
        <v>34.9</v>
      </c>
      <c r="F518" s="207">
        <v>1</v>
      </c>
      <c r="G518" s="207">
        <f t="shared" ref="G518:G521" si="80">F518*E518</f>
        <v>34.9</v>
      </c>
      <c r="H518" s="207">
        <f>IF(H515+H516=0,0,IF(AND($E$188=$D$311,$E$216=$J308),1,0))</f>
        <v>0</v>
      </c>
      <c r="I518" s="378">
        <f t="shared" ref="I518:I521" si="81">H518*G518</f>
        <v>0</v>
      </c>
      <c r="J518" s="207"/>
    </row>
    <row r="519" spans="2:13" ht="16.5" customHeight="1" x14ac:dyDescent="0.3">
      <c r="B519" s="378"/>
      <c r="C519" s="207">
        <v>2500</v>
      </c>
      <c r="D519" s="207"/>
      <c r="E519" s="379">
        <v>69.900000000000006</v>
      </c>
      <c r="F519" s="207">
        <v>1</v>
      </c>
      <c r="G519" s="207">
        <f t="shared" si="80"/>
        <v>69.900000000000006</v>
      </c>
      <c r="H519" s="207">
        <f>IF(AND($E$188=$D$311,$E$216=$J309),1,0)</f>
        <v>0</v>
      </c>
      <c r="I519" s="378">
        <f t="shared" si="81"/>
        <v>0</v>
      </c>
      <c r="J519" s="207"/>
    </row>
    <row r="520" spans="2:13" ht="16.5" customHeight="1" x14ac:dyDescent="0.3">
      <c r="B520" s="378"/>
      <c r="C520" s="207">
        <v>5000</v>
      </c>
      <c r="D520" s="207"/>
      <c r="E520" s="379">
        <v>94.9</v>
      </c>
      <c r="F520" s="207">
        <v>1</v>
      </c>
      <c r="G520" s="207">
        <f t="shared" si="80"/>
        <v>94.9</v>
      </c>
      <c r="H520" s="207">
        <f>IF(AND($E$188=$D$311,$E$216=$J310),1,0)</f>
        <v>0</v>
      </c>
      <c r="I520" s="378">
        <f t="shared" si="81"/>
        <v>0</v>
      </c>
      <c r="J520" s="207"/>
    </row>
    <row r="521" spans="2:13" ht="16.5" customHeight="1" x14ac:dyDescent="0.3">
      <c r="B521" s="378"/>
      <c r="C521" s="207">
        <v>10000</v>
      </c>
      <c r="D521" s="207"/>
      <c r="E521" s="379">
        <v>144.9</v>
      </c>
      <c r="F521" s="207">
        <v>1</v>
      </c>
      <c r="G521" s="207">
        <f t="shared" si="80"/>
        <v>144.9</v>
      </c>
      <c r="H521" s="207">
        <f>IF(AND($E$188=$D$311,$E$216=$J311),1,0)</f>
        <v>0</v>
      </c>
      <c r="I521" s="378">
        <f t="shared" si="81"/>
        <v>0</v>
      </c>
      <c r="J521" s="207">
        <f>SUM(I518:I521)</f>
        <v>0</v>
      </c>
    </row>
    <row r="522" spans="2:13" x14ac:dyDescent="0.3">
      <c r="B522" s="70" t="s">
        <v>199</v>
      </c>
      <c r="E522" s="155">
        <v>9</v>
      </c>
      <c r="F522" s="63">
        <v>1</v>
      </c>
      <c r="G522" s="63">
        <f>F522*E522</f>
        <v>9</v>
      </c>
      <c r="H522" s="63">
        <f>IF(PRINCIPAL!P229,E230,0)</f>
        <v>0</v>
      </c>
      <c r="I522" s="136">
        <f>H522*G522</f>
        <v>0</v>
      </c>
      <c r="J522" s="63"/>
    </row>
    <row r="523" spans="2:13" x14ac:dyDescent="0.3">
      <c r="B523" s="79" t="s">
        <v>456</v>
      </c>
      <c r="C523" s="79"/>
      <c r="D523" s="79"/>
      <c r="E523" s="156">
        <v>10</v>
      </c>
      <c r="F523" s="79">
        <v>1</v>
      </c>
      <c r="G523" s="79">
        <f>F523*E523</f>
        <v>10</v>
      </c>
      <c r="H523" s="79">
        <f>IF(P236,E237,0)</f>
        <v>0</v>
      </c>
      <c r="I523" s="137">
        <f>H523*G523</f>
        <v>0</v>
      </c>
      <c r="J523" s="63"/>
    </row>
    <row r="524" spans="2:13" x14ac:dyDescent="0.3">
      <c r="E524" s="155"/>
      <c r="I524" s="136">
        <f>SUM(I515:I523)</f>
        <v>0</v>
      </c>
      <c r="J524" s="63"/>
      <c r="M524">
        <f>SUM(M515:M523)</f>
        <v>0</v>
      </c>
    </row>
    <row r="525" spans="2:13" ht="16.5" customHeight="1" x14ac:dyDescent="0.3">
      <c r="B525" s="70" t="s">
        <v>434</v>
      </c>
      <c r="E525" s="63">
        <v>75</v>
      </c>
      <c r="F525" s="63">
        <v>1</v>
      </c>
      <c r="G525" s="63">
        <f>F525*E525</f>
        <v>75</v>
      </c>
      <c r="H525" s="63">
        <f>IF(AND(E188=$D$311,E247=$B$311),1,0)</f>
        <v>0</v>
      </c>
      <c r="I525" s="136">
        <f t="shared" ref="I525:I528" si="82">H525*G525</f>
        <v>0</v>
      </c>
      <c r="J525" s="63"/>
    </row>
    <row r="526" spans="2:13" ht="16.5" customHeight="1" x14ac:dyDescent="0.3">
      <c r="B526" s="70" t="s">
        <v>431</v>
      </c>
      <c r="E526" s="155">
        <v>6</v>
      </c>
      <c r="F526" s="63">
        <v>1</v>
      </c>
      <c r="G526" s="63">
        <f>F526*E526</f>
        <v>6</v>
      </c>
      <c r="H526" s="63">
        <f>IF(AND(E251=H310,$E$247=$B$311),1,0)</f>
        <v>0</v>
      </c>
      <c r="I526" s="136">
        <f>H526*G526</f>
        <v>0</v>
      </c>
      <c r="J526" s="63"/>
    </row>
    <row r="527" spans="2:13" ht="16.5" customHeight="1" x14ac:dyDescent="0.3">
      <c r="B527" s="70" t="s">
        <v>430</v>
      </c>
      <c r="E527" s="155">
        <v>6</v>
      </c>
      <c r="F527" s="63">
        <v>1</v>
      </c>
      <c r="G527" s="63">
        <f>F527*E527</f>
        <v>6</v>
      </c>
      <c r="H527" s="63">
        <f>IF(AND($P$249,$E$247=$B$311),1,0)</f>
        <v>0</v>
      </c>
      <c r="I527" s="136">
        <f t="shared" si="82"/>
        <v>0</v>
      </c>
      <c r="J527" s="63"/>
    </row>
    <row r="528" spans="2:13" ht="16.5" customHeight="1" x14ac:dyDescent="0.3">
      <c r="B528" s="79" t="s">
        <v>190</v>
      </c>
      <c r="C528" s="79"/>
      <c r="D528" s="79"/>
      <c r="E528" s="79">
        <v>0</v>
      </c>
      <c r="F528" s="79">
        <v>1</v>
      </c>
      <c r="G528" s="79">
        <f t="shared" ref="G528" si="83">F528*E528</f>
        <v>0</v>
      </c>
      <c r="H528" s="79">
        <f>IF(C385=0,0,IF(H512=0,0,-1))</f>
        <v>0</v>
      </c>
      <c r="I528" s="137">
        <f t="shared" si="82"/>
        <v>0</v>
      </c>
      <c r="J528" s="63"/>
    </row>
    <row r="529" spans="2:12" x14ac:dyDescent="0.3">
      <c r="I529" s="136">
        <f>SUM(I525:I528)</f>
        <v>0</v>
      </c>
      <c r="L529" s="63" t="s">
        <v>216</v>
      </c>
    </row>
    <row r="530" spans="2:12" x14ac:dyDescent="0.3">
      <c r="B530" s="366" t="s">
        <v>573</v>
      </c>
      <c r="C530" s="367"/>
      <c r="D530" s="367"/>
      <c r="E530" s="367"/>
      <c r="F530" s="367"/>
      <c r="G530" s="367"/>
      <c r="H530" s="367">
        <f>H529+H531</f>
        <v>0</v>
      </c>
      <c r="I530" s="366">
        <f>I529+I524</f>
        <v>0</v>
      </c>
      <c r="L530" s="63"/>
    </row>
    <row r="531" spans="2:12" x14ac:dyDescent="0.3">
      <c r="E531" s="155"/>
      <c r="I531" s="136"/>
      <c r="J531" s="63"/>
    </row>
    <row r="532" spans="2:12" ht="16.5" customHeight="1" x14ac:dyDescent="0.3">
      <c r="B532" s="138" t="s">
        <v>575</v>
      </c>
      <c r="C532" s="139"/>
      <c r="D532" s="139"/>
      <c r="E532" s="139"/>
      <c r="F532" s="139"/>
      <c r="G532" s="139"/>
      <c r="H532" s="139"/>
      <c r="I532" s="140">
        <f>I530+I513</f>
        <v>0</v>
      </c>
      <c r="L532" s="63" t="s">
        <v>217</v>
      </c>
    </row>
    <row r="533" spans="2:12" ht="16.5" customHeight="1" x14ac:dyDescent="0.3">
      <c r="I533" s="184">
        <f>I532/IF(VALIDADOR_INIMBUSESP,IF(I49=0,1,I49),IF(EXT_FINALE=0,1,EXT_FINALE))</f>
        <v>0</v>
      </c>
      <c r="L533" s="63"/>
    </row>
    <row r="534" spans="2:12" ht="16.5" customHeight="1" x14ac:dyDescent="0.3">
      <c r="I534" s="204"/>
      <c r="L534" s="63"/>
    </row>
    <row r="535" spans="2:12" x14ac:dyDescent="0.3">
      <c r="B535" s="79" t="s">
        <v>129</v>
      </c>
      <c r="C535" s="79"/>
      <c r="D535" s="79"/>
      <c r="E535" s="156">
        <v>14</v>
      </c>
      <c r="F535" s="79">
        <v>1</v>
      </c>
      <c r="G535" s="79">
        <f>F535*E535</f>
        <v>14</v>
      </c>
      <c r="H535" s="79">
        <f>PRINCIPAL!E259</f>
        <v>0</v>
      </c>
      <c r="I535" s="137">
        <f>H535*G535</f>
        <v>0</v>
      </c>
      <c r="J535" s="63"/>
    </row>
    <row r="536" spans="2:12" ht="16.5" customHeight="1" x14ac:dyDescent="0.3">
      <c r="I536" s="136">
        <f>I535</f>
        <v>0</v>
      </c>
      <c r="L536" s="63"/>
    </row>
    <row r="537" spans="2:12" ht="16.5" customHeight="1" x14ac:dyDescent="0.3">
      <c r="B537" s="86" t="s">
        <v>591</v>
      </c>
      <c r="C537" s="370"/>
      <c r="D537" s="370"/>
      <c r="E537" s="370"/>
      <c r="F537" s="370"/>
      <c r="G537" s="370"/>
      <c r="H537" s="370"/>
      <c r="I537" s="86">
        <f>I536</f>
        <v>0</v>
      </c>
      <c r="L537" s="63"/>
    </row>
    <row r="538" spans="2:12" x14ac:dyDescent="0.3">
      <c r="I538" s="136"/>
      <c r="L538" s="63"/>
    </row>
    <row r="539" spans="2:12" ht="16.5" customHeight="1" x14ac:dyDescent="0.3">
      <c r="B539" s="141" t="s">
        <v>211</v>
      </c>
      <c r="C539" s="142"/>
      <c r="D539" s="142"/>
      <c r="E539" s="142"/>
      <c r="F539" s="142"/>
      <c r="G539" s="142"/>
      <c r="H539" s="142"/>
      <c r="I539" s="143">
        <f>I532+I495+I537</f>
        <v>0</v>
      </c>
      <c r="L539" s="63" t="s">
        <v>331</v>
      </c>
    </row>
    <row r="540" spans="2:12" ht="16.5" customHeight="1" x14ac:dyDescent="0.3">
      <c r="B540" s="70" t="s">
        <v>118</v>
      </c>
      <c r="I540" s="123">
        <f>I539/IF(VALIDADOR_INIMBUSESP,IF(I49=0,1,I49),IF(EXT_FINALE=0,1,EXT_FINALE))</f>
        <v>0</v>
      </c>
      <c r="J540" s="63"/>
    </row>
    <row r="548" spans="2:8" ht="16.5" customHeight="1" x14ac:dyDescent="0.3">
      <c r="B548" s="70" t="s">
        <v>311</v>
      </c>
    </row>
    <row r="549" spans="2:8" ht="16.5" customHeight="1" x14ac:dyDescent="0.3">
      <c r="B549" s="7" t="s">
        <v>4</v>
      </c>
      <c r="C549" s="8">
        <v>500</v>
      </c>
      <c r="D549" s="8">
        <v>2501</v>
      </c>
      <c r="E549" s="8">
        <v>5001</v>
      </c>
      <c r="F549" s="8">
        <v>25001</v>
      </c>
      <c r="G549" s="9">
        <v>50001</v>
      </c>
      <c r="H549" s="10">
        <v>125001</v>
      </c>
    </row>
    <row r="550" spans="2:8" ht="16.5" customHeight="1" x14ac:dyDescent="0.3">
      <c r="B550" s="11">
        <v>24</v>
      </c>
      <c r="C550" s="12">
        <v>4.6199999999999998E-2</v>
      </c>
      <c r="D550" s="12">
        <v>4.5900000000000003E-2</v>
      </c>
      <c r="E550" s="12">
        <v>4.5699999999999998E-2</v>
      </c>
      <c r="F550" s="12">
        <v>4.5400000000000003E-2</v>
      </c>
      <c r="G550" s="12">
        <v>4.53E-2</v>
      </c>
      <c r="H550" s="13">
        <v>4.5199999999999997E-2</v>
      </c>
    </row>
    <row r="551" spans="2:8" ht="16.5" customHeight="1" x14ac:dyDescent="0.3">
      <c r="B551" s="14">
        <v>36</v>
      </c>
      <c r="C551" s="15">
        <v>3.2899999999999999E-2</v>
      </c>
      <c r="D551" s="15">
        <v>3.2399999999999998E-2</v>
      </c>
      <c r="E551" s="15">
        <v>3.1600000000000003E-2</v>
      </c>
      <c r="F551" s="15">
        <v>3.1199999999999999E-2</v>
      </c>
      <c r="G551" s="15">
        <v>3.1099999999999999E-2</v>
      </c>
      <c r="H551" s="16">
        <v>3.1E-2</v>
      </c>
    </row>
    <row r="558" spans="2:8" ht="16.5" customHeight="1" x14ac:dyDescent="0.3">
      <c r="F558" s="63" t="b">
        <v>1</v>
      </c>
      <c r="G558" s="63" t="b">
        <v>1</v>
      </c>
      <c r="H558" s="63" t="b">
        <f>AND(F558,G558)</f>
        <v>1</v>
      </c>
    </row>
    <row r="559" spans="2:8" ht="16.5" customHeight="1" x14ac:dyDescent="0.3">
      <c r="F559" s="63" t="b">
        <v>1</v>
      </c>
      <c r="G559" s="63" t="b">
        <v>0</v>
      </c>
      <c r="H559" s="63" t="b">
        <f>AND(F559,G559)</f>
        <v>0</v>
      </c>
    </row>
    <row r="560" spans="2:8" ht="16.5" customHeight="1" x14ac:dyDescent="0.3">
      <c r="F560" s="63" t="b">
        <v>0</v>
      </c>
      <c r="G560" s="63" t="b">
        <v>0</v>
      </c>
      <c r="H560" s="63" t="b">
        <f>AND(F560,G560)</f>
        <v>0</v>
      </c>
    </row>
    <row r="564" spans="1:8" ht="16.5" customHeight="1" x14ac:dyDescent="0.3">
      <c r="B564" s="70" t="s">
        <v>312</v>
      </c>
    </row>
    <row r="566" spans="1:8" ht="16.5" customHeight="1" x14ac:dyDescent="0.3">
      <c r="C566" s="80" t="s">
        <v>8</v>
      </c>
      <c r="D566" s="80" t="s">
        <v>9</v>
      </c>
      <c r="E566" s="80" t="s">
        <v>10</v>
      </c>
      <c r="F566" s="80" t="s">
        <v>11</v>
      </c>
      <c r="G566" s="80" t="s">
        <v>12</v>
      </c>
      <c r="H566" s="80" t="s">
        <v>13</v>
      </c>
    </row>
    <row r="567" spans="1:8" ht="16.5" customHeight="1" x14ac:dyDescent="0.3">
      <c r="A567" t="s">
        <v>299</v>
      </c>
      <c r="B567" s="70" t="s">
        <v>282</v>
      </c>
    </row>
    <row r="568" spans="1:8" ht="16.5" customHeight="1" x14ac:dyDescent="0.3">
      <c r="A568">
        <v>460</v>
      </c>
      <c r="B568" s="70" t="s">
        <v>269</v>
      </c>
      <c r="C568" s="99"/>
      <c r="D568" s="99"/>
      <c r="E568" s="99"/>
      <c r="F568" s="99"/>
      <c r="G568" s="99"/>
      <c r="H568" s="99"/>
    </row>
    <row r="569" spans="1:8" ht="16.5" customHeight="1" x14ac:dyDescent="0.3">
      <c r="A569">
        <v>695</v>
      </c>
      <c r="B569" s="70" t="s">
        <v>270</v>
      </c>
      <c r="C569" s="99"/>
      <c r="D569" s="99"/>
      <c r="E569" s="99"/>
      <c r="F569" s="99"/>
      <c r="G569" s="99"/>
      <c r="H569" s="99"/>
    </row>
    <row r="570" spans="1:8" ht="16.5" customHeight="1" x14ac:dyDescent="0.3">
      <c r="A570">
        <v>280</v>
      </c>
      <c r="B570" s="70" t="s">
        <v>271</v>
      </c>
      <c r="C570" s="99"/>
      <c r="D570" s="99"/>
      <c r="E570" s="99"/>
      <c r="F570" s="99"/>
      <c r="G570" s="99"/>
      <c r="H570" s="99"/>
    </row>
    <row r="571" spans="1:8" ht="16.5" customHeight="1" x14ac:dyDescent="0.3">
      <c r="B571" s="70" t="s">
        <v>272</v>
      </c>
      <c r="C571" s="99"/>
      <c r="D571" s="99"/>
      <c r="E571" s="99"/>
      <c r="F571" s="99"/>
      <c r="G571" s="99"/>
      <c r="H571" s="99"/>
    </row>
    <row r="572" spans="1:8" ht="16.5" customHeight="1" x14ac:dyDescent="0.3">
      <c r="A572">
        <v>128</v>
      </c>
      <c r="B572" s="70" t="s">
        <v>273</v>
      </c>
      <c r="C572" s="99"/>
      <c r="D572" s="99"/>
      <c r="E572" s="99"/>
      <c r="F572" s="99"/>
      <c r="G572" s="99"/>
      <c r="H572" s="99"/>
    </row>
    <row r="573" spans="1:8" ht="16.5" customHeight="1" x14ac:dyDescent="0.3">
      <c r="A573">
        <v>244</v>
      </c>
      <c r="B573" s="70" t="s">
        <v>274</v>
      </c>
      <c r="C573" s="99"/>
      <c r="D573" s="99"/>
      <c r="E573" s="99"/>
      <c r="F573" s="99"/>
      <c r="G573" s="99"/>
      <c r="H573" s="99"/>
    </row>
    <row r="574" spans="1:8" ht="16.5" customHeight="1" x14ac:dyDescent="0.3">
      <c r="A574">
        <v>456</v>
      </c>
      <c r="B574" s="70" t="s">
        <v>275</v>
      </c>
      <c r="C574" s="99"/>
      <c r="D574" s="99"/>
      <c r="E574" s="99"/>
      <c r="F574" s="99"/>
      <c r="G574" s="99"/>
      <c r="H574" s="99"/>
    </row>
    <row r="575" spans="1:8" ht="16.5" customHeight="1" x14ac:dyDescent="0.3">
      <c r="B575" s="70" t="s">
        <v>276</v>
      </c>
      <c r="C575" s="99"/>
      <c r="D575" s="99"/>
      <c r="E575" s="99"/>
      <c r="F575" s="99"/>
      <c r="G575" s="99"/>
      <c r="H575" s="99"/>
    </row>
    <row r="576" spans="1:8" ht="16.5" customHeight="1" x14ac:dyDescent="0.3">
      <c r="B576" s="70" t="s">
        <v>277</v>
      </c>
      <c r="C576" s="99"/>
      <c r="D576" s="99"/>
      <c r="E576" s="99"/>
      <c r="F576" s="99"/>
      <c r="G576" s="99"/>
      <c r="H576" s="99"/>
    </row>
    <row r="577" spans="1:8" ht="16.5" customHeight="1" x14ac:dyDescent="0.3">
      <c r="A577">
        <v>20</v>
      </c>
      <c r="B577" s="70" t="s">
        <v>278</v>
      </c>
      <c r="C577" s="99"/>
      <c r="D577" s="99"/>
      <c r="E577" s="99"/>
      <c r="F577" s="99"/>
      <c r="G577" s="99"/>
      <c r="H577" s="99"/>
    </row>
    <row r="578" spans="1:8" ht="16.5" customHeight="1" x14ac:dyDescent="0.3">
      <c r="A578">
        <v>90</v>
      </c>
      <c r="B578" s="70" t="s">
        <v>279</v>
      </c>
      <c r="C578" s="99"/>
      <c r="D578" s="99"/>
      <c r="E578" s="99"/>
      <c r="F578" s="99"/>
      <c r="G578" s="99"/>
      <c r="H578" s="99"/>
    </row>
    <row r="579" spans="1:8" ht="16.5" customHeight="1" x14ac:dyDescent="0.3">
      <c r="A579">
        <v>150</v>
      </c>
      <c r="B579" s="70" t="s">
        <v>280</v>
      </c>
      <c r="C579" s="99"/>
      <c r="D579" s="99"/>
      <c r="E579" s="99"/>
      <c r="F579" s="99"/>
      <c r="G579" s="99"/>
      <c r="H579" s="99"/>
    </row>
    <row r="580" spans="1:8" ht="16.5" customHeight="1" x14ac:dyDescent="0.3">
      <c r="A580">
        <v>280</v>
      </c>
      <c r="B580" s="70" t="s">
        <v>281</v>
      </c>
      <c r="C580" s="99"/>
      <c r="D580" s="99"/>
      <c r="E580" s="99"/>
      <c r="F580" s="99"/>
      <c r="G580" s="99"/>
      <c r="H580" s="99"/>
    </row>
    <row r="581" spans="1:8" ht="16.5" customHeight="1" x14ac:dyDescent="0.3">
      <c r="A581">
        <v>40</v>
      </c>
      <c r="B581" s="70" t="s">
        <v>300</v>
      </c>
      <c r="C581" s="99"/>
      <c r="D581" s="99"/>
      <c r="E581" s="99"/>
      <c r="F581" s="99"/>
      <c r="G581" s="99"/>
      <c r="H581" s="99"/>
    </row>
    <row r="582" spans="1:8" ht="16.5" customHeight="1" x14ac:dyDescent="0.3">
      <c r="A582" t="s">
        <v>510</v>
      </c>
      <c r="C582" s="99"/>
      <c r="D582" s="99"/>
      <c r="E582" s="99"/>
      <c r="F582" s="99"/>
      <c r="G582" s="99"/>
      <c r="H582" s="99"/>
    </row>
    <row r="583" spans="1:8" ht="16.5" customHeight="1" x14ac:dyDescent="0.3">
      <c r="A583">
        <v>33</v>
      </c>
      <c r="B583" s="70" t="s">
        <v>650</v>
      </c>
      <c r="C583" s="99">
        <v>1</v>
      </c>
      <c r="D583" s="99">
        <v>1</v>
      </c>
      <c r="E583" s="99">
        <v>1</v>
      </c>
      <c r="F583" s="99">
        <v>1</v>
      </c>
      <c r="G583" s="99"/>
      <c r="H583" s="99"/>
    </row>
    <row r="584" spans="1:8" ht="16.5" customHeight="1" x14ac:dyDescent="0.3">
      <c r="A584">
        <v>38</v>
      </c>
      <c r="B584" s="70" t="s">
        <v>506</v>
      </c>
      <c r="C584" s="99"/>
      <c r="D584" s="99">
        <v>1</v>
      </c>
      <c r="E584" s="99">
        <v>2</v>
      </c>
      <c r="F584" s="99">
        <v>4</v>
      </c>
      <c r="G584" s="99"/>
      <c r="H584" s="99"/>
    </row>
    <row r="585" spans="1:8" ht="16.5" customHeight="1" x14ac:dyDescent="0.3">
      <c r="A585">
        <v>680</v>
      </c>
      <c r="B585" s="70" t="s">
        <v>501</v>
      </c>
      <c r="C585" s="99">
        <v>1</v>
      </c>
      <c r="D585" s="99">
        <v>1</v>
      </c>
      <c r="E585" s="99">
        <v>1</v>
      </c>
      <c r="F585" s="99">
        <v>1</v>
      </c>
      <c r="G585" s="99"/>
      <c r="H585" s="99"/>
    </row>
    <row r="586" spans="1:8" ht="16.5" customHeight="1" x14ac:dyDescent="0.3">
      <c r="A586">
        <v>11</v>
      </c>
      <c r="B586" s="70" t="s">
        <v>502</v>
      </c>
      <c r="C586" s="99">
        <v>8</v>
      </c>
      <c r="D586" s="99">
        <v>12</v>
      </c>
      <c r="E586" s="99">
        <v>16</v>
      </c>
      <c r="F586" s="99">
        <v>24</v>
      </c>
      <c r="G586" s="99"/>
      <c r="H586" s="99"/>
    </row>
    <row r="587" spans="1:8" ht="16.5" customHeight="1" x14ac:dyDescent="0.3">
      <c r="A587">
        <v>55</v>
      </c>
      <c r="B587" s="70" t="s">
        <v>503</v>
      </c>
      <c r="C587" s="99">
        <v>8</v>
      </c>
      <c r="D587" s="99">
        <v>12</v>
      </c>
      <c r="E587" s="99">
        <v>16</v>
      </c>
      <c r="F587" s="99">
        <v>24</v>
      </c>
      <c r="G587" s="99"/>
      <c r="H587" s="99"/>
    </row>
    <row r="588" spans="1:8" ht="16.5" customHeight="1" x14ac:dyDescent="0.3">
      <c r="A588">
        <v>275</v>
      </c>
      <c r="B588" s="70" t="s">
        <v>504</v>
      </c>
      <c r="C588" s="99">
        <v>1</v>
      </c>
      <c r="D588" s="99">
        <v>1</v>
      </c>
      <c r="E588" s="99">
        <v>1</v>
      </c>
      <c r="F588" s="99">
        <v>1</v>
      </c>
      <c r="G588" s="99"/>
      <c r="H588" s="99"/>
    </row>
    <row r="589" spans="1:8" ht="16.5" customHeight="1" x14ac:dyDescent="0.3">
      <c r="A589">
        <v>8</v>
      </c>
      <c r="B589" s="70" t="s">
        <v>505</v>
      </c>
      <c r="C589" s="99">
        <v>1</v>
      </c>
      <c r="D589" s="99">
        <v>1</v>
      </c>
      <c r="E589" s="99">
        <v>1</v>
      </c>
      <c r="F589" s="99">
        <v>1</v>
      </c>
      <c r="G589" s="99"/>
      <c r="H589" s="99"/>
    </row>
    <row r="590" spans="1:8" ht="16.5" customHeight="1" x14ac:dyDescent="0.3">
      <c r="A590" t="s">
        <v>509</v>
      </c>
      <c r="C590" s="99"/>
      <c r="D590" s="99"/>
      <c r="E590" s="99"/>
      <c r="F590" s="99"/>
      <c r="G590" s="99"/>
      <c r="H590" s="99"/>
    </row>
    <row r="591" spans="1:8" ht="16.5" customHeight="1" x14ac:dyDescent="0.3">
      <c r="A591">
        <v>14</v>
      </c>
      <c r="B591" s="70" t="s">
        <v>507</v>
      </c>
      <c r="C591" s="99"/>
      <c r="D591" s="99"/>
      <c r="E591" s="99"/>
      <c r="F591" s="99"/>
      <c r="G591" s="99">
        <v>2</v>
      </c>
      <c r="H591" s="99">
        <v>2</v>
      </c>
    </row>
    <row r="592" spans="1:8" ht="16.5" customHeight="1" x14ac:dyDescent="0.3">
      <c r="A592">
        <v>38</v>
      </c>
      <c r="B592" s="70" t="s">
        <v>506</v>
      </c>
      <c r="C592" s="99"/>
      <c r="D592" s="99"/>
      <c r="E592" s="99"/>
      <c r="F592" s="99"/>
      <c r="G592" s="99">
        <v>6</v>
      </c>
      <c r="H592" s="99">
        <v>10</v>
      </c>
    </row>
    <row r="593" spans="1:8" ht="16.5" customHeight="1" x14ac:dyDescent="0.3">
      <c r="A593">
        <v>11</v>
      </c>
      <c r="B593" s="70" t="s">
        <v>502</v>
      </c>
      <c r="C593" s="99"/>
      <c r="D593" s="99"/>
      <c r="E593" s="99"/>
      <c r="F593" s="99"/>
      <c r="G593" s="99">
        <v>32</v>
      </c>
      <c r="H593" s="99">
        <v>48</v>
      </c>
    </row>
    <row r="594" spans="1:8" ht="16.5" customHeight="1" x14ac:dyDescent="0.3">
      <c r="A594">
        <v>55</v>
      </c>
      <c r="B594" s="70" t="s">
        <v>503</v>
      </c>
      <c r="C594" s="99"/>
      <c r="D594" s="99"/>
      <c r="E594" s="99"/>
      <c r="F594" s="99"/>
      <c r="G594" s="99">
        <v>32</v>
      </c>
      <c r="H594" s="99">
        <v>48</v>
      </c>
    </row>
    <row r="595" spans="1:8" ht="16.5" customHeight="1" x14ac:dyDescent="0.3">
      <c r="A595">
        <v>275</v>
      </c>
      <c r="B595" s="70" t="s">
        <v>504</v>
      </c>
      <c r="C595" s="99"/>
      <c r="D595" s="99"/>
      <c r="E595" s="99"/>
      <c r="F595" s="99"/>
      <c r="G595" s="99">
        <v>1</v>
      </c>
      <c r="H595" s="99">
        <v>1</v>
      </c>
    </row>
    <row r="596" spans="1:8" ht="16.5" customHeight="1" x14ac:dyDescent="0.3">
      <c r="A596">
        <v>900</v>
      </c>
      <c r="B596" s="70" t="s">
        <v>508</v>
      </c>
      <c r="C596" s="99"/>
      <c r="D596" s="99"/>
      <c r="E596" s="99"/>
      <c r="F596" s="99"/>
      <c r="G596" s="99">
        <v>1</v>
      </c>
      <c r="H596" s="99">
        <v>1</v>
      </c>
    </row>
    <row r="597" spans="1:8" ht="16.5" customHeight="1" x14ac:dyDescent="0.3">
      <c r="A597">
        <v>110</v>
      </c>
      <c r="B597" s="70" t="s">
        <v>651</v>
      </c>
      <c r="C597" s="99"/>
      <c r="D597" s="99"/>
      <c r="E597" s="99"/>
      <c r="F597" s="99"/>
      <c r="G597" s="99">
        <v>1</v>
      </c>
      <c r="H597" s="99">
        <v>1</v>
      </c>
    </row>
    <row r="598" spans="1:8" ht="16.5" customHeight="1" x14ac:dyDescent="0.3">
      <c r="A598">
        <v>8</v>
      </c>
      <c r="B598" s="70" t="s">
        <v>505</v>
      </c>
      <c r="C598" s="99"/>
      <c r="D598" s="99"/>
      <c r="E598" s="99"/>
      <c r="F598" s="99"/>
      <c r="G598" s="99">
        <v>1</v>
      </c>
      <c r="H598" s="99">
        <v>1</v>
      </c>
    </row>
    <row r="599" spans="1:8" ht="16.5" customHeight="1" x14ac:dyDescent="0.3">
      <c r="C599" s="99"/>
      <c r="D599" s="99"/>
      <c r="E599" s="99"/>
      <c r="F599" s="99"/>
      <c r="G599" s="99"/>
      <c r="H599" s="99"/>
    </row>
    <row r="601" spans="1:8" ht="16.5" customHeight="1" x14ac:dyDescent="0.3">
      <c r="B601" s="147" t="s">
        <v>283</v>
      </c>
      <c r="C601" s="154">
        <f>SUMPRODUCT($A$583:$A$600,C583:C600)</f>
        <v>1524</v>
      </c>
      <c r="D601" s="154">
        <f>SUMPRODUCT($A$568:$A$600,D568:D600)</f>
        <v>1826</v>
      </c>
      <c r="E601" s="154">
        <f>SUMPRODUCT($A$568:$A$599,E568:E599)</f>
        <v>2128</v>
      </c>
      <c r="F601" s="154">
        <f>SUMPRODUCT($A$568:$A$599,F568:F599)</f>
        <v>2732</v>
      </c>
      <c r="G601" s="154">
        <f>SUMPRODUCT($A$568:$A$599,G568:G599)</f>
        <v>3661</v>
      </c>
      <c r="H601" s="154">
        <f>SUMPRODUCT($A$568:$A$599,H568:H599)</f>
        <v>4869</v>
      </c>
    </row>
    <row r="614" spans="3:8" ht="16.5" customHeight="1" x14ac:dyDescent="0.3">
      <c r="C614" s="162"/>
      <c r="D614" s="163">
        <v>1</v>
      </c>
      <c r="E614" s="163">
        <v>5</v>
      </c>
      <c r="F614" s="163">
        <v>10</v>
      </c>
      <c r="G614" s="163">
        <v>25</v>
      </c>
      <c r="H614" s="164">
        <v>50</v>
      </c>
    </row>
    <row r="615" spans="3:8" ht="16.5" customHeight="1" x14ac:dyDescent="0.3">
      <c r="C615" s="165"/>
      <c r="D615" s="166">
        <v>12</v>
      </c>
      <c r="E615" s="166">
        <v>58</v>
      </c>
      <c r="F615" s="166">
        <v>114</v>
      </c>
      <c r="G615" s="166">
        <v>279</v>
      </c>
      <c r="H615" s="167">
        <v>540</v>
      </c>
    </row>
    <row r="616" spans="3:8" ht="16.5" customHeight="1" x14ac:dyDescent="0.3">
      <c r="C616" s="165">
        <v>0</v>
      </c>
      <c r="D616" s="166">
        <v>0</v>
      </c>
      <c r="E616" s="166">
        <v>0</v>
      </c>
      <c r="F616" s="166">
        <v>0</v>
      </c>
      <c r="G616" s="166">
        <v>0</v>
      </c>
      <c r="H616" s="167">
        <v>0</v>
      </c>
    </row>
    <row r="617" spans="3:8" ht="16.5" customHeight="1" x14ac:dyDescent="0.3">
      <c r="C617" s="165">
        <v>1</v>
      </c>
      <c r="D617" s="166">
        <v>1</v>
      </c>
      <c r="E617" s="166">
        <v>0</v>
      </c>
      <c r="F617" s="166">
        <v>0</v>
      </c>
      <c r="G617" s="166">
        <v>0</v>
      </c>
      <c r="H617" s="167">
        <v>0</v>
      </c>
    </row>
    <row r="618" spans="3:8" ht="16.5" customHeight="1" x14ac:dyDescent="0.3">
      <c r="C618" s="165">
        <v>2</v>
      </c>
      <c r="D618" s="166">
        <v>2</v>
      </c>
      <c r="E618" s="166">
        <v>0</v>
      </c>
      <c r="F618" s="166">
        <v>0</v>
      </c>
      <c r="G618" s="166">
        <v>0</v>
      </c>
      <c r="H618" s="167">
        <v>0</v>
      </c>
    </row>
    <row r="619" spans="3:8" ht="16.5" customHeight="1" x14ac:dyDescent="0.3">
      <c r="C619" s="165">
        <v>3</v>
      </c>
      <c r="D619" s="166">
        <v>3</v>
      </c>
      <c r="E619" s="166">
        <v>0</v>
      </c>
      <c r="F619" s="166">
        <v>0</v>
      </c>
      <c r="G619" s="166">
        <v>0</v>
      </c>
      <c r="H619" s="167">
        <v>0</v>
      </c>
    </row>
    <row r="620" spans="3:8" ht="16.5" customHeight="1" x14ac:dyDescent="0.3">
      <c r="C620" s="165">
        <v>4</v>
      </c>
      <c r="D620" s="166">
        <v>4</v>
      </c>
      <c r="E620" s="166">
        <v>0</v>
      </c>
      <c r="F620" s="166">
        <v>0</v>
      </c>
      <c r="G620" s="166">
        <v>0</v>
      </c>
      <c r="H620" s="167">
        <v>0</v>
      </c>
    </row>
    <row r="621" spans="3:8" ht="16.5" customHeight="1" x14ac:dyDescent="0.3">
      <c r="C621" s="165">
        <v>5</v>
      </c>
      <c r="D621" s="166">
        <v>0</v>
      </c>
      <c r="E621" s="166">
        <v>1</v>
      </c>
      <c r="F621" s="166">
        <v>0</v>
      </c>
      <c r="G621" s="166">
        <v>0</v>
      </c>
      <c r="H621" s="167">
        <v>0</v>
      </c>
    </row>
    <row r="622" spans="3:8" ht="16.5" customHeight="1" x14ac:dyDescent="0.3">
      <c r="C622" s="165">
        <v>6</v>
      </c>
      <c r="D622" s="166">
        <v>1</v>
      </c>
      <c r="E622" s="166">
        <v>1</v>
      </c>
      <c r="F622" s="166">
        <v>0</v>
      </c>
      <c r="G622" s="166">
        <v>0</v>
      </c>
      <c r="H622" s="167">
        <v>0</v>
      </c>
    </row>
    <row r="623" spans="3:8" ht="16.5" customHeight="1" x14ac:dyDescent="0.3">
      <c r="C623" s="165">
        <v>7</v>
      </c>
      <c r="D623" s="166">
        <v>2</v>
      </c>
      <c r="E623" s="166">
        <v>1</v>
      </c>
      <c r="F623" s="166">
        <v>0</v>
      </c>
      <c r="G623" s="166">
        <v>0</v>
      </c>
      <c r="H623" s="167">
        <v>0</v>
      </c>
    </row>
    <row r="624" spans="3:8" ht="16.5" customHeight="1" x14ac:dyDescent="0.3">
      <c r="C624" s="165">
        <v>8</v>
      </c>
      <c r="D624" s="166">
        <v>3</v>
      </c>
      <c r="E624" s="166">
        <v>1</v>
      </c>
      <c r="F624" s="166">
        <v>0</v>
      </c>
      <c r="G624" s="166">
        <v>0</v>
      </c>
      <c r="H624" s="167">
        <v>0</v>
      </c>
    </row>
    <row r="625" spans="3:8" ht="16.5" customHeight="1" x14ac:dyDescent="0.3">
      <c r="C625" s="165">
        <v>9</v>
      </c>
      <c r="D625" s="166">
        <v>4</v>
      </c>
      <c r="E625" s="166">
        <v>1</v>
      </c>
      <c r="F625" s="166">
        <v>0</v>
      </c>
      <c r="G625" s="166">
        <v>0</v>
      </c>
      <c r="H625" s="167">
        <v>0</v>
      </c>
    </row>
    <row r="626" spans="3:8" ht="16.5" customHeight="1" x14ac:dyDescent="0.3">
      <c r="C626" s="165">
        <v>10</v>
      </c>
      <c r="D626" s="166">
        <v>0</v>
      </c>
      <c r="E626" s="166">
        <v>0</v>
      </c>
      <c r="F626" s="166">
        <v>1</v>
      </c>
      <c r="G626" s="166">
        <v>0</v>
      </c>
      <c r="H626" s="167">
        <v>0</v>
      </c>
    </row>
    <row r="627" spans="3:8" ht="16.5" customHeight="1" x14ac:dyDescent="0.3">
      <c r="C627" s="165">
        <v>11</v>
      </c>
      <c r="D627" s="166">
        <v>1</v>
      </c>
      <c r="E627" s="166">
        <v>0</v>
      </c>
      <c r="F627" s="166">
        <v>1</v>
      </c>
      <c r="G627" s="166">
        <v>0</v>
      </c>
      <c r="H627" s="167">
        <v>0</v>
      </c>
    </row>
    <row r="628" spans="3:8" ht="16.5" customHeight="1" x14ac:dyDescent="0.3">
      <c r="C628" s="165">
        <v>12</v>
      </c>
      <c r="D628" s="166">
        <v>2</v>
      </c>
      <c r="E628" s="166">
        <v>0</v>
      </c>
      <c r="F628" s="166">
        <v>1</v>
      </c>
      <c r="G628" s="166">
        <v>0</v>
      </c>
      <c r="H628" s="167">
        <v>0</v>
      </c>
    </row>
    <row r="629" spans="3:8" ht="16.5" customHeight="1" x14ac:dyDescent="0.3">
      <c r="C629" s="165">
        <v>13</v>
      </c>
      <c r="D629" s="166">
        <v>3</v>
      </c>
      <c r="E629" s="166">
        <v>0</v>
      </c>
      <c r="F629" s="166">
        <v>1</v>
      </c>
      <c r="G629" s="166">
        <v>0</v>
      </c>
      <c r="H629" s="167">
        <v>0</v>
      </c>
    </row>
    <row r="630" spans="3:8" ht="16.5" customHeight="1" x14ac:dyDescent="0.3">
      <c r="C630" s="165">
        <v>14</v>
      </c>
      <c r="D630" s="166">
        <v>4</v>
      </c>
      <c r="E630" s="166">
        <v>0</v>
      </c>
      <c r="F630" s="166">
        <v>1</v>
      </c>
      <c r="G630" s="166">
        <v>0</v>
      </c>
      <c r="H630" s="167">
        <v>0</v>
      </c>
    </row>
    <row r="631" spans="3:8" ht="16.5" customHeight="1" x14ac:dyDescent="0.3">
      <c r="C631" s="165">
        <v>15</v>
      </c>
      <c r="D631" s="166">
        <v>0</v>
      </c>
      <c r="E631" s="166">
        <v>1</v>
      </c>
      <c r="F631" s="166">
        <v>1</v>
      </c>
      <c r="G631" s="166">
        <v>0</v>
      </c>
      <c r="H631" s="167">
        <v>0</v>
      </c>
    </row>
    <row r="632" spans="3:8" ht="16.5" customHeight="1" x14ac:dyDescent="0.3">
      <c r="C632" s="165">
        <v>16</v>
      </c>
      <c r="D632" s="166">
        <v>1</v>
      </c>
      <c r="E632" s="166">
        <v>1</v>
      </c>
      <c r="F632" s="166">
        <v>1</v>
      </c>
      <c r="G632" s="166">
        <v>0</v>
      </c>
      <c r="H632" s="167">
        <v>0</v>
      </c>
    </row>
    <row r="633" spans="3:8" ht="16.5" customHeight="1" x14ac:dyDescent="0.3">
      <c r="C633" s="165">
        <v>17</v>
      </c>
      <c r="D633" s="166">
        <v>2</v>
      </c>
      <c r="E633" s="166">
        <v>1</v>
      </c>
      <c r="F633" s="166">
        <v>1</v>
      </c>
      <c r="G633" s="166">
        <v>0</v>
      </c>
      <c r="H633" s="167">
        <v>0</v>
      </c>
    </row>
    <row r="634" spans="3:8" ht="16.5" customHeight="1" x14ac:dyDescent="0.3">
      <c r="C634" s="165">
        <v>18</v>
      </c>
      <c r="D634" s="166">
        <v>3</v>
      </c>
      <c r="E634" s="166">
        <v>1</v>
      </c>
      <c r="F634" s="166">
        <v>1</v>
      </c>
      <c r="G634" s="166">
        <v>0</v>
      </c>
      <c r="H634" s="167">
        <v>0</v>
      </c>
    </row>
    <row r="635" spans="3:8" ht="16.5" customHeight="1" x14ac:dyDescent="0.3">
      <c r="C635" s="165">
        <v>19</v>
      </c>
      <c r="D635" s="166">
        <v>4</v>
      </c>
      <c r="E635" s="166">
        <v>1</v>
      </c>
      <c r="F635" s="166">
        <v>1</v>
      </c>
      <c r="G635" s="166">
        <v>0</v>
      </c>
      <c r="H635" s="167">
        <v>0</v>
      </c>
    </row>
    <row r="636" spans="3:8" ht="16.5" customHeight="1" x14ac:dyDescent="0.3">
      <c r="C636" s="165">
        <v>20</v>
      </c>
      <c r="D636" s="166">
        <v>0</v>
      </c>
      <c r="E636" s="166">
        <v>0</v>
      </c>
      <c r="F636" s="166">
        <v>2</v>
      </c>
      <c r="G636" s="166">
        <v>0</v>
      </c>
      <c r="H636" s="167">
        <v>0</v>
      </c>
    </row>
    <row r="637" spans="3:8" ht="16.5" customHeight="1" x14ac:dyDescent="0.3">
      <c r="C637" s="165">
        <v>21</v>
      </c>
      <c r="D637" s="166">
        <v>1</v>
      </c>
      <c r="E637" s="166">
        <v>0</v>
      </c>
      <c r="F637" s="166">
        <v>2</v>
      </c>
      <c r="G637" s="166">
        <v>0</v>
      </c>
      <c r="H637" s="167">
        <v>0</v>
      </c>
    </row>
    <row r="638" spans="3:8" ht="16.5" customHeight="1" x14ac:dyDescent="0.3">
      <c r="C638" s="165">
        <v>22</v>
      </c>
      <c r="D638" s="166">
        <v>2</v>
      </c>
      <c r="E638" s="166">
        <v>0</v>
      </c>
      <c r="F638" s="166">
        <v>2</v>
      </c>
      <c r="G638" s="166">
        <v>0</v>
      </c>
      <c r="H638" s="167">
        <v>0</v>
      </c>
    </row>
    <row r="639" spans="3:8" ht="16.5" customHeight="1" x14ac:dyDescent="0.3">
      <c r="C639" s="165">
        <v>23</v>
      </c>
      <c r="D639" s="166">
        <v>3</v>
      </c>
      <c r="E639" s="166">
        <v>0</v>
      </c>
      <c r="F639" s="166">
        <v>2</v>
      </c>
      <c r="G639" s="166">
        <v>0</v>
      </c>
      <c r="H639" s="167">
        <v>0</v>
      </c>
    </row>
    <row r="640" spans="3:8" ht="16.5" customHeight="1" x14ac:dyDescent="0.3">
      <c r="C640" s="165">
        <v>24</v>
      </c>
      <c r="D640" s="166">
        <v>4</v>
      </c>
      <c r="E640" s="166">
        <v>0</v>
      </c>
      <c r="F640" s="166">
        <v>2</v>
      </c>
      <c r="G640" s="166">
        <v>0</v>
      </c>
      <c r="H640" s="167">
        <v>0</v>
      </c>
    </row>
    <row r="641" spans="3:8" ht="16.5" customHeight="1" x14ac:dyDescent="0.3">
      <c r="C641" s="165">
        <v>25</v>
      </c>
      <c r="D641" s="166">
        <v>0</v>
      </c>
      <c r="E641" s="166">
        <v>0</v>
      </c>
      <c r="F641" s="166">
        <v>0</v>
      </c>
      <c r="G641" s="166">
        <v>1</v>
      </c>
      <c r="H641" s="167">
        <v>0</v>
      </c>
    </row>
    <row r="642" spans="3:8" ht="16.5" customHeight="1" x14ac:dyDescent="0.3">
      <c r="C642" s="165">
        <v>26</v>
      </c>
      <c r="D642" s="166">
        <v>1</v>
      </c>
      <c r="E642" s="166">
        <v>0</v>
      </c>
      <c r="F642" s="166">
        <v>0</v>
      </c>
      <c r="G642" s="166">
        <v>1</v>
      </c>
      <c r="H642" s="167">
        <v>0</v>
      </c>
    </row>
    <row r="643" spans="3:8" ht="16.5" customHeight="1" x14ac:dyDescent="0.3">
      <c r="C643" s="165">
        <v>27</v>
      </c>
      <c r="D643" s="166">
        <v>2</v>
      </c>
      <c r="E643" s="166">
        <v>0</v>
      </c>
      <c r="F643" s="166">
        <v>0</v>
      </c>
      <c r="G643" s="166">
        <v>1</v>
      </c>
      <c r="H643" s="167">
        <v>0</v>
      </c>
    </row>
    <row r="644" spans="3:8" ht="16.5" customHeight="1" x14ac:dyDescent="0.3">
      <c r="C644" s="165">
        <v>28</v>
      </c>
      <c r="D644" s="166">
        <v>3</v>
      </c>
      <c r="E644" s="166">
        <v>0</v>
      </c>
      <c r="F644" s="166">
        <v>0</v>
      </c>
      <c r="G644" s="166">
        <v>1</v>
      </c>
      <c r="H644" s="167">
        <v>0</v>
      </c>
    </row>
    <row r="645" spans="3:8" ht="16.5" customHeight="1" x14ac:dyDescent="0.3">
      <c r="C645" s="165">
        <v>29</v>
      </c>
      <c r="D645" s="166">
        <v>4</v>
      </c>
      <c r="E645" s="166">
        <v>0</v>
      </c>
      <c r="F645" s="166">
        <v>0</v>
      </c>
      <c r="G645" s="166">
        <v>1</v>
      </c>
      <c r="H645" s="167">
        <v>0</v>
      </c>
    </row>
    <row r="646" spans="3:8" ht="16.5" customHeight="1" x14ac:dyDescent="0.3">
      <c r="C646" s="165">
        <v>30</v>
      </c>
      <c r="D646" s="166">
        <v>0</v>
      </c>
      <c r="E646" s="166">
        <v>1</v>
      </c>
      <c r="F646" s="166">
        <v>0</v>
      </c>
      <c r="G646" s="166">
        <v>1</v>
      </c>
      <c r="H646" s="167">
        <v>0</v>
      </c>
    </row>
    <row r="647" spans="3:8" ht="16.5" customHeight="1" x14ac:dyDescent="0.3">
      <c r="C647" s="165">
        <v>31</v>
      </c>
      <c r="D647" s="166">
        <v>1</v>
      </c>
      <c r="E647" s="166">
        <v>1</v>
      </c>
      <c r="F647" s="166">
        <v>0</v>
      </c>
      <c r="G647" s="166">
        <v>1</v>
      </c>
      <c r="H647" s="167">
        <v>0</v>
      </c>
    </row>
    <row r="648" spans="3:8" ht="16.5" customHeight="1" x14ac:dyDescent="0.3">
      <c r="C648" s="165">
        <v>32</v>
      </c>
      <c r="D648" s="166">
        <v>2</v>
      </c>
      <c r="E648" s="166">
        <v>1</v>
      </c>
      <c r="F648" s="166">
        <v>0</v>
      </c>
      <c r="G648" s="166">
        <v>1</v>
      </c>
      <c r="H648" s="167">
        <v>0</v>
      </c>
    </row>
    <row r="649" spans="3:8" ht="16.5" customHeight="1" x14ac:dyDescent="0.3">
      <c r="C649" s="165">
        <v>33</v>
      </c>
      <c r="D649" s="166">
        <v>3</v>
      </c>
      <c r="E649" s="166">
        <v>1</v>
      </c>
      <c r="F649" s="166">
        <v>0</v>
      </c>
      <c r="G649" s="166">
        <v>1</v>
      </c>
      <c r="H649" s="167"/>
    </row>
    <row r="650" spans="3:8" ht="16.5" customHeight="1" x14ac:dyDescent="0.3">
      <c r="C650" s="165">
        <v>34</v>
      </c>
      <c r="D650" s="166">
        <v>4</v>
      </c>
      <c r="E650" s="166">
        <v>1</v>
      </c>
      <c r="F650" s="166">
        <v>0</v>
      </c>
      <c r="G650" s="166">
        <v>1</v>
      </c>
      <c r="H650" s="167"/>
    </row>
    <row r="651" spans="3:8" ht="16.5" customHeight="1" x14ac:dyDescent="0.3">
      <c r="C651" s="165">
        <v>35</v>
      </c>
      <c r="D651" s="166">
        <v>0</v>
      </c>
      <c r="E651" s="166">
        <v>0</v>
      </c>
      <c r="F651" s="166">
        <v>1</v>
      </c>
      <c r="G651" s="166">
        <v>1</v>
      </c>
      <c r="H651" s="167"/>
    </row>
    <row r="652" spans="3:8" ht="16.5" customHeight="1" x14ac:dyDescent="0.3">
      <c r="C652" s="165">
        <v>36</v>
      </c>
      <c r="D652" s="166">
        <v>1</v>
      </c>
      <c r="E652" s="166">
        <v>0</v>
      </c>
      <c r="F652" s="166">
        <v>1</v>
      </c>
      <c r="G652" s="166">
        <v>1</v>
      </c>
      <c r="H652" s="167"/>
    </row>
    <row r="653" spans="3:8" ht="16.5" customHeight="1" x14ac:dyDescent="0.3">
      <c r="C653" s="165">
        <v>37</v>
      </c>
      <c r="D653" s="166">
        <v>2</v>
      </c>
      <c r="E653" s="166">
        <v>0</v>
      </c>
      <c r="F653" s="166">
        <v>1</v>
      </c>
      <c r="G653" s="166">
        <v>1</v>
      </c>
      <c r="H653" s="167"/>
    </row>
    <row r="654" spans="3:8" ht="16.5" customHeight="1" x14ac:dyDescent="0.3">
      <c r="C654" s="165">
        <v>38</v>
      </c>
      <c r="D654" s="166">
        <v>3</v>
      </c>
      <c r="E654" s="166">
        <v>0</v>
      </c>
      <c r="F654" s="166">
        <v>1</v>
      </c>
      <c r="G654" s="166">
        <v>1</v>
      </c>
      <c r="H654" s="167"/>
    </row>
    <row r="655" spans="3:8" ht="16.5" customHeight="1" x14ac:dyDescent="0.3">
      <c r="C655" s="165">
        <v>39</v>
      </c>
      <c r="D655" s="166">
        <v>4</v>
      </c>
      <c r="E655" s="166">
        <v>0</v>
      </c>
      <c r="F655" s="166">
        <v>1</v>
      </c>
      <c r="G655" s="166">
        <v>1</v>
      </c>
      <c r="H655" s="167"/>
    </row>
    <row r="656" spans="3:8" ht="16.5" customHeight="1" x14ac:dyDescent="0.3">
      <c r="C656" s="165">
        <v>40</v>
      </c>
      <c r="D656" s="166">
        <v>0</v>
      </c>
      <c r="E656" s="166">
        <v>1</v>
      </c>
      <c r="F656" s="166">
        <v>1</v>
      </c>
      <c r="G656" s="166">
        <v>1</v>
      </c>
      <c r="H656" s="167"/>
    </row>
    <row r="657" spans="3:8" ht="16.5" customHeight="1" x14ac:dyDescent="0.3">
      <c r="C657" s="165">
        <v>41</v>
      </c>
      <c r="D657" s="166">
        <v>1</v>
      </c>
      <c r="E657" s="166">
        <v>1</v>
      </c>
      <c r="F657" s="166">
        <v>1</v>
      </c>
      <c r="G657" s="166">
        <v>1</v>
      </c>
      <c r="H657" s="167"/>
    </row>
    <row r="658" spans="3:8" ht="16.5" customHeight="1" x14ac:dyDescent="0.3">
      <c r="C658" s="165">
        <v>42</v>
      </c>
      <c r="D658" s="166">
        <v>2</v>
      </c>
      <c r="E658" s="166">
        <v>1</v>
      </c>
      <c r="F658" s="166">
        <v>1</v>
      </c>
      <c r="G658" s="166">
        <v>1</v>
      </c>
      <c r="H658" s="167"/>
    </row>
    <row r="659" spans="3:8" ht="16.5" customHeight="1" x14ac:dyDescent="0.3">
      <c r="C659" s="165">
        <v>43</v>
      </c>
      <c r="D659" s="166">
        <v>3</v>
      </c>
      <c r="E659" s="166">
        <v>1</v>
      </c>
      <c r="F659" s="166">
        <v>1</v>
      </c>
      <c r="G659" s="166">
        <v>1</v>
      </c>
      <c r="H659" s="167"/>
    </row>
    <row r="660" spans="3:8" ht="16.5" customHeight="1" x14ac:dyDescent="0.3">
      <c r="C660" s="165">
        <v>44</v>
      </c>
      <c r="D660" s="166">
        <v>4</v>
      </c>
      <c r="E660" s="166">
        <v>1</v>
      </c>
      <c r="F660" s="166">
        <v>1</v>
      </c>
      <c r="G660" s="166">
        <v>1</v>
      </c>
      <c r="H660" s="167"/>
    </row>
    <row r="661" spans="3:8" ht="16.5" customHeight="1" x14ac:dyDescent="0.3">
      <c r="C661" s="165">
        <v>45</v>
      </c>
      <c r="D661" s="166">
        <v>0</v>
      </c>
      <c r="E661" s="166">
        <v>0</v>
      </c>
      <c r="F661" s="166">
        <v>2</v>
      </c>
      <c r="G661" s="166">
        <v>1</v>
      </c>
      <c r="H661" s="167"/>
    </row>
    <row r="662" spans="3:8" ht="16.5" customHeight="1" x14ac:dyDescent="0.3">
      <c r="C662" s="165">
        <v>46</v>
      </c>
      <c r="D662" s="166">
        <v>1</v>
      </c>
      <c r="E662" s="166">
        <v>0</v>
      </c>
      <c r="F662" s="166">
        <v>2</v>
      </c>
      <c r="G662" s="166">
        <v>1</v>
      </c>
      <c r="H662" s="167"/>
    </row>
    <row r="663" spans="3:8" ht="16.5" customHeight="1" x14ac:dyDescent="0.3">
      <c r="C663" s="165">
        <v>47</v>
      </c>
      <c r="D663" s="166">
        <v>2</v>
      </c>
      <c r="E663" s="166">
        <v>0</v>
      </c>
      <c r="F663" s="166">
        <v>2</v>
      </c>
      <c r="G663" s="166">
        <v>1</v>
      </c>
      <c r="H663" s="167"/>
    </row>
    <row r="664" spans="3:8" ht="16.5" customHeight="1" x14ac:dyDescent="0.3">
      <c r="C664" s="165">
        <v>48</v>
      </c>
      <c r="D664" s="166">
        <v>0</v>
      </c>
      <c r="E664" s="166">
        <v>0</v>
      </c>
      <c r="F664" s="166">
        <v>0</v>
      </c>
      <c r="G664" s="166">
        <v>0</v>
      </c>
      <c r="H664" s="167">
        <v>1</v>
      </c>
    </row>
    <row r="665" spans="3:8" ht="16.5" customHeight="1" x14ac:dyDescent="0.3">
      <c r="C665" s="165">
        <v>49</v>
      </c>
      <c r="D665" s="166">
        <v>0</v>
      </c>
      <c r="E665" s="166">
        <v>0</v>
      </c>
      <c r="F665" s="166">
        <v>0</v>
      </c>
      <c r="G665" s="166">
        <v>0</v>
      </c>
      <c r="H665" s="167">
        <v>1</v>
      </c>
    </row>
    <row r="666" spans="3:8" ht="16.5" customHeight="1" x14ac:dyDescent="0.3">
      <c r="C666" s="165">
        <v>50</v>
      </c>
      <c r="D666" s="166">
        <v>0</v>
      </c>
      <c r="E666" s="166">
        <v>0</v>
      </c>
      <c r="F666" s="166">
        <v>0</v>
      </c>
      <c r="G666" s="166">
        <v>0</v>
      </c>
      <c r="H666" s="167">
        <v>1</v>
      </c>
    </row>
    <row r="667" spans="3:8" ht="16.5" customHeight="1" x14ac:dyDescent="0.3">
      <c r="C667" s="165">
        <v>51</v>
      </c>
      <c r="D667" s="166">
        <v>1</v>
      </c>
      <c r="E667" s="166">
        <v>0</v>
      </c>
      <c r="F667" s="166">
        <v>0</v>
      </c>
      <c r="G667" s="166">
        <v>0</v>
      </c>
      <c r="H667" s="167">
        <v>1</v>
      </c>
    </row>
    <row r="668" spans="3:8" ht="16.5" customHeight="1" x14ac:dyDescent="0.3">
      <c r="C668" s="165">
        <v>52</v>
      </c>
      <c r="D668" s="166">
        <v>2</v>
      </c>
      <c r="E668" s="166">
        <v>0</v>
      </c>
      <c r="F668" s="166">
        <v>0</v>
      </c>
      <c r="G668" s="166">
        <v>0</v>
      </c>
      <c r="H668" s="167">
        <v>1</v>
      </c>
    </row>
    <row r="669" spans="3:8" ht="16.5" customHeight="1" x14ac:dyDescent="0.3">
      <c r="C669" s="165">
        <v>53</v>
      </c>
      <c r="D669" s="166">
        <v>3</v>
      </c>
      <c r="E669" s="166">
        <v>0</v>
      </c>
      <c r="F669" s="166">
        <v>0</v>
      </c>
      <c r="G669" s="166">
        <v>0</v>
      </c>
      <c r="H669" s="167">
        <v>1</v>
      </c>
    </row>
    <row r="670" spans="3:8" ht="16.5" customHeight="1" x14ac:dyDescent="0.3">
      <c r="C670" s="165">
        <v>54</v>
      </c>
      <c r="D670" s="166">
        <v>4</v>
      </c>
      <c r="E670" s="166">
        <v>0</v>
      </c>
      <c r="F670" s="166">
        <v>0</v>
      </c>
      <c r="G670" s="166">
        <v>0</v>
      </c>
      <c r="H670" s="167">
        <v>1</v>
      </c>
    </row>
    <row r="671" spans="3:8" ht="16.5" customHeight="1" x14ac:dyDescent="0.3">
      <c r="C671" s="165">
        <v>55</v>
      </c>
      <c r="D671" s="166">
        <v>0</v>
      </c>
      <c r="E671" s="166">
        <v>1</v>
      </c>
      <c r="F671" s="166">
        <v>0</v>
      </c>
      <c r="G671" s="166">
        <v>0</v>
      </c>
      <c r="H671" s="167">
        <v>1</v>
      </c>
    </row>
    <row r="672" spans="3:8" ht="16.5" customHeight="1" x14ac:dyDescent="0.3">
      <c r="C672" s="165">
        <v>56</v>
      </c>
      <c r="D672" s="166">
        <v>1</v>
      </c>
      <c r="E672" s="166">
        <v>1</v>
      </c>
      <c r="F672" s="166">
        <v>0</v>
      </c>
      <c r="G672" s="166">
        <v>0</v>
      </c>
      <c r="H672" s="167">
        <v>1</v>
      </c>
    </row>
    <row r="673" spans="3:8" ht="16.5" customHeight="1" x14ac:dyDescent="0.3">
      <c r="C673" s="165">
        <v>57</v>
      </c>
      <c r="D673" s="166">
        <v>2</v>
      </c>
      <c r="E673" s="166">
        <v>1</v>
      </c>
      <c r="F673" s="166">
        <v>0</v>
      </c>
      <c r="G673" s="166">
        <v>0</v>
      </c>
      <c r="H673" s="167">
        <v>1</v>
      </c>
    </row>
    <row r="674" spans="3:8" ht="16.5" customHeight="1" x14ac:dyDescent="0.3">
      <c r="C674" s="165">
        <v>58</v>
      </c>
      <c r="D674" s="166">
        <v>3</v>
      </c>
      <c r="E674" s="166">
        <v>1</v>
      </c>
      <c r="F674" s="166">
        <v>0</v>
      </c>
      <c r="G674" s="166">
        <v>0</v>
      </c>
      <c r="H674" s="167">
        <v>1</v>
      </c>
    </row>
    <row r="675" spans="3:8" ht="16.5" customHeight="1" x14ac:dyDescent="0.3">
      <c r="C675" s="165">
        <v>59</v>
      </c>
      <c r="D675" s="166">
        <v>4</v>
      </c>
      <c r="E675" s="166">
        <v>1</v>
      </c>
      <c r="F675" s="166">
        <v>0</v>
      </c>
      <c r="G675" s="166">
        <v>0</v>
      </c>
      <c r="H675" s="167">
        <v>1</v>
      </c>
    </row>
    <row r="676" spans="3:8" ht="16.5" customHeight="1" x14ac:dyDescent="0.3">
      <c r="C676" s="165">
        <v>60</v>
      </c>
      <c r="D676" s="166"/>
      <c r="E676" s="166"/>
      <c r="F676" s="166">
        <v>1</v>
      </c>
      <c r="G676" s="166">
        <v>0</v>
      </c>
      <c r="H676" s="167">
        <v>1</v>
      </c>
    </row>
    <row r="677" spans="3:8" ht="16.5" customHeight="1" x14ac:dyDescent="0.3">
      <c r="C677" s="165">
        <v>61</v>
      </c>
      <c r="D677" s="166">
        <v>1</v>
      </c>
      <c r="E677" s="166">
        <v>0</v>
      </c>
      <c r="F677" s="166">
        <v>1</v>
      </c>
      <c r="G677" s="166">
        <v>0</v>
      </c>
      <c r="H677" s="167">
        <v>1</v>
      </c>
    </row>
    <row r="678" spans="3:8" ht="16.5" customHeight="1" x14ac:dyDescent="0.3">
      <c r="C678" s="165">
        <v>62</v>
      </c>
      <c r="D678" s="166">
        <v>2</v>
      </c>
      <c r="E678" s="166">
        <v>0</v>
      </c>
      <c r="F678" s="166">
        <v>1</v>
      </c>
      <c r="G678" s="166">
        <v>0</v>
      </c>
      <c r="H678" s="167">
        <v>1</v>
      </c>
    </row>
    <row r="679" spans="3:8" ht="16.5" customHeight="1" x14ac:dyDescent="0.3">
      <c r="C679" s="165">
        <v>63</v>
      </c>
      <c r="D679" s="166">
        <v>3</v>
      </c>
      <c r="E679" s="166">
        <v>0</v>
      </c>
      <c r="F679" s="166">
        <v>1</v>
      </c>
      <c r="G679" s="166">
        <v>0</v>
      </c>
      <c r="H679" s="167">
        <v>1</v>
      </c>
    </row>
    <row r="680" spans="3:8" ht="16.5" customHeight="1" x14ac:dyDescent="0.3">
      <c r="C680" s="165">
        <v>64</v>
      </c>
      <c r="D680" s="166">
        <v>4</v>
      </c>
      <c r="E680" s="166">
        <v>0</v>
      </c>
      <c r="F680" s="166">
        <v>1</v>
      </c>
      <c r="G680" s="166">
        <v>0</v>
      </c>
      <c r="H680" s="167">
        <v>1</v>
      </c>
    </row>
    <row r="681" spans="3:8" ht="16.5" customHeight="1" x14ac:dyDescent="0.3">
      <c r="C681" s="165">
        <v>65</v>
      </c>
      <c r="D681" s="166">
        <v>0</v>
      </c>
      <c r="E681" s="166">
        <v>1</v>
      </c>
      <c r="F681" s="166">
        <v>1</v>
      </c>
      <c r="G681" s="166">
        <v>0</v>
      </c>
      <c r="H681" s="167">
        <v>1</v>
      </c>
    </row>
    <row r="682" spans="3:8" ht="16.5" customHeight="1" x14ac:dyDescent="0.3">
      <c r="C682" s="165">
        <v>66</v>
      </c>
      <c r="D682" s="166">
        <v>1</v>
      </c>
      <c r="E682" s="166">
        <v>1</v>
      </c>
      <c r="F682" s="166">
        <v>1</v>
      </c>
      <c r="G682" s="166">
        <v>0</v>
      </c>
      <c r="H682" s="167">
        <v>1</v>
      </c>
    </row>
    <row r="683" spans="3:8" ht="16.5" customHeight="1" x14ac:dyDescent="0.3">
      <c r="C683" s="165">
        <v>67</v>
      </c>
      <c r="D683" s="166">
        <v>2</v>
      </c>
      <c r="E683" s="166">
        <v>1</v>
      </c>
      <c r="F683" s="166">
        <v>1</v>
      </c>
      <c r="G683" s="166">
        <v>0</v>
      </c>
      <c r="H683" s="167">
        <v>1</v>
      </c>
    </row>
    <row r="684" spans="3:8" ht="16.5" customHeight="1" x14ac:dyDescent="0.3">
      <c r="C684" s="165">
        <v>68</v>
      </c>
      <c r="D684" s="166">
        <v>3</v>
      </c>
      <c r="E684" s="166">
        <v>1</v>
      </c>
      <c r="F684" s="166">
        <v>1</v>
      </c>
      <c r="G684" s="166">
        <v>0</v>
      </c>
      <c r="H684" s="167">
        <v>1</v>
      </c>
    </row>
    <row r="685" spans="3:8" ht="16.5" customHeight="1" x14ac:dyDescent="0.3">
      <c r="C685" s="165">
        <v>69</v>
      </c>
      <c r="D685" s="166">
        <v>4</v>
      </c>
      <c r="E685" s="166">
        <v>1</v>
      </c>
      <c r="F685" s="166">
        <v>1</v>
      </c>
      <c r="G685" s="166">
        <v>0</v>
      </c>
      <c r="H685" s="167">
        <v>1</v>
      </c>
    </row>
    <row r="686" spans="3:8" ht="16.5" customHeight="1" x14ac:dyDescent="0.3">
      <c r="C686" s="165">
        <v>70</v>
      </c>
      <c r="D686" s="166">
        <v>0</v>
      </c>
      <c r="E686" s="166">
        <v>0</v>
      </c>
      <c r="F686" s="166">
        <v>2</v>
      </c>
      <c r="G686" s="166">
        <v>0</v>
      </c>
      <c r="H686" s="167">
        <v>1</v>
      </c>
    </row>
    <row r="687" spans="3:8" ht="16.5" customHeight="1" x14ac:dyDescent="0.3">
      <c r="C687" s="165">
        <v>71</v>
      </c>
      <c r="D687" s="166">
        <v>1</v>
      </c>
      <c r="E687" s="166">
        <v>0</v>
      </c>
      <c r="F687" s="166">
        <v>2</v>
      </c>
      <c r="G687" s="166">
        <v>0</v>
      </c>
      <c r="H687" s="167">
        <v>1</v>
      </c>
    </row>
    <row r="688" spans="3:8" ht="16.5" customHeight="1" x14ac:dyDescent="0.3">
      <c r="C688" s="165">
        <v>72</v>
      </c>
      <c r="D688" s="166">
        <v>2</v>
      </c>
      <c r="E688" s="166">
        <v>0</v>
      </c>
      <c r="F688" s="166">
        <v>2</v>
      </c>
      <c r="G688" s="166"/>
      <c r="H688" s="167">
        <v>1</v>
      </c>
    </row>
    <row r="689" spans="3:8" ht="16.5" customHeight="1" x14ac:dyDescent="0.3">
      <c r="C689" s="165">
        <v>73</v>
      </c>
      <c r="D689" s="166">
        <v>3</v>
      </c>
      <c r="E689" s="166">
        <v>0</v>
      </c>
      <c r="F689" s="166">
        <v>2</v>
      </c>
      <c r="G689" s="166"/>
      <c r="H689" s="167">
        <v>1</v>
      </c>
    </row>
    <row r="690" spans="3:8" ht="16.5" customHeight="1" x14ac:dyDescent="0.3">
      <c r="C690" s="165">
        <v>74</v>
      </c>
      <c r="D690" s="166">
        <v>4</v>
      </c>
      <c r="E690" s="166">
        <v>0</v>
      </c>
      <c r="F690" s="166">
        <v>2</v>
      </c>
      <c r="G690" s="166"/>
      <c r="H690" s="167">
        <v>1</v>
      </c>
    </row>
    <row r="691" spans="3:8" ht="16.5" customHeight="1" x14ac:dyDescent="0.3">
      <c r="C691" s="165">
        <v>75</v>
      </c>
      <c r="D691" s="166">
        <v>0</v>
      </c>
      <c r="E691" s="166">
        <v>0</v>
      </c>
      <c r="F691" s="166">
        <v>0</v>
      </c>
      <c r="G691" s="166">
        <v>1</v>
      </c>
      <c r="H691" s="167">
        <v>1</v>
      </c>
    </row>
    <row r="692" spans="3:8" ht="16.5" customHeight="1" x14ac:dyDescent="0.3">
      <c r="C692" s="165">
        <v>76</v>
      </c>
      <c r="D692" s="166">
        <v>1</v>
      </c>
      <c r="E692" s="166">
        <v>0</v>
      </c>
      <c r="F692" s="166">
        <v>0</v>
      </c>
      <c r="G692" s="166">
        <v>1</v>
      </c>
      <c r="H692" s="167">
        <v>1</v>
      </c>
    </row>
    <row r="693" spans="3:8" ht="16.5" customHeight="1" x14ac:dyDescent="0.3">
      <c r="C693" s="165">
        <v>77</v>
      </c>
      <c r="D693" s="166">
        <v>2</v>
      </c>
      <c r="E693" s="166">
        <v>0</v>
      </c>
      <c r="F693" s="166">
        <v>0</v>
      </c>
      <c r="G693" s="166">
        <v>1</v>
      </c>
      <c r="H693" s="167">
        <v>1</v>
      </c>
    </row>
    <row r="694" spans="3:8" ht="16.5" customHeight="1" x14ac:dyDescent="0.3">
      <c r="C694" s="165">
        <v>78</v>
      </c>
      <c r="D694" s="166">
        <v>3</v>
      </c>
      <c r="E694" s="166">
        <v>0</v>
      </c>
      <c r="F694" s="166">
        <v>0</v>
      </c>
      <c r="G694" s="166">
        <v>1</v>
      </c>
      <c r="H694" s="167">
        <v>1</v>
      </c>
    </row>
    <row r="695" spans="3:8" ht="16.5" customHeight="1" x14ac:dyDescent="0.3">
      <c r="C695" s="165">
        <v>79</v>
      </c>
      <c r="D695" s="166">
        <v>4</v>
      </c>
      <c r="E695" s="166">
        <v>0</v>
      </c>
      <c r="F695" s="166">
        <v>0</v>
      </c>
      <c r="G695" s="166">
        <v>1</v>
      </c>
      <c r="H695" s="167">
        <v>1</v>
      </c>
    </row>
    <row r="696" spans="3:8" ht="16.5" customHeight="1" x14ac:dyDescent="0.3">
      <c r="C696" s="165">
        <v>80</v>
      </c>
      <c r="D696" s="166">
        <v>0</v>
      </c>
      <c r="E696" s="166">
        <v>1</v>
      </c>
      <c r="F696" s="166">
        <v>0</v>
      </c>
      <c r="G696" s="166">
        <v>1</v>
      </c>
      <c r="H696" s="167">
        <v>1</v>
      </c>
    </row>
    <row r="697" spans="3:8" ht="16.5" customHeight="1" x14ac:dyDescent="0.3">
      <c r="C697" s="165">
        <v>81</v>
      </c>
      <c r="D697" s="166">
        <v>1</v>
      </c>
      <c r="E697" s="166">
        <v>1</v>
      </c>
      <c r="F697" s="166">
        <v>0</v>
      </c>
      <c r="G697" s="166">
        <v>1</v>
      </c>
      <c r="H697" s="167">
        <v>1</v>
      </c>
    </row>
    <row r="698" spans="3:8" ht="16.5" customHeight="1" x14ac:dyDescent="0.3">
      <c r="C698" s="165">
        <v>82</v>
      </c>
      <c r="D698" s="166">
        <v>2</v>
      </c>
      <c r="E698" s="166">
        <v>1</v>
      </c>
      <c r="F698" s="166">
        <v>0</v>
      </c>
      <c r="G698" s="166">
        <v>1</v>
      </c>
      <c r="H698" s="167">
        <v>1</v>
      </c>
    </row>
    <row r="699" spans="3:8" ht="16.5" customHeight="1" x14ac:dyDescent="0.3">
      <c r="C699" s="165">
        <v>83</v>
      </c>
      <c r="D699" s="166">
        <v>3</v>
      </c>
      <c r="E699" s="166">
        <v>1</v>
      </c>
      <c r="F699" s="166">
        <v>0</v>
      </c>
      <c r="G699" s="166">
        <v>1</v>
      </c>
      <c r="H699" s="167">
        <v>1</v>
      </c>
    </row>
    <row r="700" spans="3:8" ht="16.5" customHeight="1" x14ac:dyDescent="0.3">
      <c r="C700" s="165">
        <v>84</v>
      </c>
      <c r="D700" s="166">
        <v>4</v>
      </c>
      <c r="E700" s="166">
        <v>1</v>
      </c>
      <c r="F700" s="166">
        <v>0</v>
      </c>
      <c r="G700" s="166">
        <v>1</v>
      </c>
      <c r="H700" s="167">
        <v>1</v>
      </c>
    </row>
    <row r="701" spans="3:8" ht="16.5" customHeight="1" x14ac:dyDescent="0.3">
      <c r="C701" s="165">
        <v>85</v>
      </c>
      <c r="D701" s="166">
        <v>0</v>
      </c>
      <c r="E701" s="166">
        <v>0</v>
      </c>
      <c r="F701" s="166">
        <v>1</v>
      </c>
      <c r="G701" s="166">
        <v>1</v>
      </c>
      <c r="H701" s="167">
        <v>1</v>
      </c>
    </row>
    <row r="702" spans="3:8" ht="16.5" customHeight="1" x14ac:dyDescent="0.3">
      <c r="C702" s="165">
        <v>86</v>
      </c>
      <c r="D702" s="166">
        <v>1</v>
      </c>
      <c r="E702" s="166">
        <v>0</v>
      </c>
      <c r="F702" s="166">
        <v>1</v>
      </c>
      <c r="G702" s="166">
        <v>1</v>
      </c>
      <c r="H702" s="167">
        <v>1</v>
      </c>
    </row>
    <row r="703" spans="3:8" ht="16.5" customHeight="1" x14ac:dyDescent="0.3">
      <c r="C703" s="165">
        <v>87</v>
      </c>
      <c r="D703" s="166">
        <v>2</v>
      </c>
      <c r="E703" s="166">
        <v>0</v>
      </c>
      <c r="F703" s="166">
        <v>1</v>
      </c>
      <c r="G703" s="166">
        <v>1</v>
      </c>
      <c r="H703" s="167">
        <v>1</v>
      </c>
    </row>
    <row r="704" spans="3:8" ht="16.5" customHeight="1" x14ac:dyDescent="0.3">
      <c r="C704" s="165">
        <v>88</v>
      </c>
      <c r="D704" s="166">
        <v>3</v>
      </c>
      <c r="E704" s="166">
        <v>0</v>
      </c>
      <c r="F704" s="166">
        <v>1</v>
      </c>
      <c r="G704" s="166">
        <v>1</v>
      </c>
      <c r="H704" s="167">
        <v>1</v>
      </c>
    </row>
    <row r="705" spans="3:8" ht="16.5" customHeight="1" x14ac:dyDescent="0.3">
      <c r="C705" s="165">
        <v>89</v>
      </c>
      <c r="D705" s="166">
        <v>4</v>
      </c>
      <c r="E705" s="166">
        <v>0</v>
      </c>
      <c r="F705" s="166">
        <v>1</v>
      </c>
      <c r="G705" s="166">
        <v>1</v>
      </c>
      <c r="H705" s="167">
        <v>1</v>
      </c>
    </row>
    <row r="706" spans="3:8" ht="16.5" customHeight="1" x14ac:dyDescent="0.3">
      <c r="C706" s="165">
        <v>90</v>
      </c>
      <c r="D706" s="166">
        <v>0</v>
      </c>
      <c r="E706" s="166">
        <v>1</v>
      </c>
      <c r="F706" s="166">
        <v>1</v>
      </c>
      <c r="G706" s="166">
        <v>1</v>
      </c>
      <c r="H706" s="167">
        <v>1</v>
      </c>
    </row>
    <row r="707" spans="3:8" ht="16.5" customHeight="1" x14ac:dyDescent="0.3">
      <c r="C707" s="165">
        <v>91</v>
      </c>
      <c r="D707" s="166">
        <v>1</v>
      </c>
      <c r="E707" s="166">
        <v>1</v>
      </c>
      <c r="F707" s="166">
        <v>1</v>
      </c>
      <c r="G707" s="166">
        <v>1</v>
      </c>
      <c r="H707" s="167">
        <v>1</v>
      </c>
    </row>
    <row r="708" spans="3:8" ht="16.5" customHeight="1" x14ac:dyDescent="0.3">
      <c r="C708" s="165">
        <v>92</v>
      </c>
      <c r="D708" s="166">
        <v>2</v>
      </c>
      <c r="E708" s="166">
        <v>1</v>
      </c>
      <c r="F708" s="166">
        <v>1</v>
      </c>
      <c r="G708" s="166">
        <v>1</v>
      </c>
      <c r="H708" s="167">
        <v>1</v>
      </c>
    </row>
    <row r="709" spans="3:8" ht="16.5" customHeight="1" x14ac:dyDescent="0.3">
      <c r="C709" s="165">
        <v>93</v>
      </c>
      <c r="D709" s="166">
        <v>3</v>
      </c>
      <c r="E709" s="166">
        <v>1</v>
      </c>
      <c r="F709" s="166">
        <v>1</v>
      </c>
      <c r="G709" s="166">
        <v>1</v>
      </c>
      <c r="H709" s="167">
        <v>1</v>
      </c>
    </row>
    <row r="710" spans="3:8" ht="16.5" customHeight="1" x14ac:dyDescent="0.3">
      <c r="C710" s="165">
        <v>94</v>
      </c>
      <c r="D710" s="166">
        <v>4</v>
      </c>
      <c r="E710" s="166">
        <v>1</v>
      </c>
      <c r="F710" s="166">
        <v>1</v>
      </c>
      <c r="G710" s="166">
        <v>1</v>
      </c>
      <c r="H710" s="167">
        <v>1</v>
      </c>
    </row>
    <row r="711" spans="3:8" ht="16.5" customHeight="1" x14ac:dyDescent="0.3">
      <c r="C711" s="165">
        <v>95</v>
      </c>
      <c r="D711" s="166">
        <v>0</v>
      </c>
      <c r="E711" s="166">
        <v>0</v>
      </c>
      <c r="F711" s="166">
        <v>2</v>
      </c>
      <c r="G711" s="166">
        <v>1</v>
      </c>
      <c r="H711" s="167">
        <v>1</v>
      </c>
    </row>
    <row r="712" spans="3:8" ht="16.5" customHeight="1" x14ac:dyDescent="0.3">
      <c r="C712" s="165">
        <v>96</v>
      </c>
      <c r="D712" s="166">
        <v>1</v>
      </c>
      <c r="E712" s="166">
        <v>0</v>
      </c>
      <c r="F712" s="166">
        <v>2</v>
      </c>
      <c r="G712" s="166">
        <v>1</v>
      </c>
      <c r="H712" s="167">
        <v>1</v>
      </c>
    </row>
    <row r="713" spans="3:8" ht="16.5" customHeight="1" x14ac:dyDescent="0.3">
      <c r="C713" s="165">
        <v>97</v>
      </c>
      <c r="D713" s="166">
        <v>2</v>
      </c>
      <c r="E713" s="166">
        <v>0</v>
      </c>
      <c r="F713" s="166">
        <v>2</v>
      </c>
      <c r="G713" s="166">
        <v>1</v>
      </c>
      <c r="H713" s="167">
        <v>1</v>
      </c>
    </row>
    <row r="714" spans="3:8" ht="16.5" customHeight="1" x14ac:dyDescent="0.3">
      <c r="C714" s="165">
        <v>98</v>
      </c>
      <c r="D714" s="166">
        <v>0</v>
      </c>
      <c r="E714" s="166">
        <v>0</v>
      </c>
      <c r="F714" s="166">
        <v>0</v>
      </c>
      <c r="G714" s="166">
        <v>0</v>
      </c>
      <c r="H714" s="167">
        <v>2</v>
      </c>
    </row>
    <row r="715" spans="3:8" ht="16.5" customHeight="1" x14ac:dyDescent="0.3">
      <c r="C715" s="165">
        <v>99</v>
      </c>
      <c r="D715" s="166">
        <v>0</v>
      </c>
      <c r="E715" s="166">
        <v>0</v>
      </c>
      <c r="F715" s="166">
        <v>0</v>
      </c>
      <c r="G715" s="166">
        <v>0</v>
      </c>
      <c r="H715" s="167">
        <v>2</v>
      </c>
    </row>
    <row r="716" spans="3:8" ht="16.5" customHeight="1" x14ac:dyDescent="0.3">
      <c r="C716" s="165">
        <v>100</v>
      </c>
      <c r="D716" s="166">
        <v>0</v>
      </c>
      <c r="E716" s="166">
        <v>0</v>
      </c>
      <c r="F716" s="166">
        <v>0</v>
      </c>
      <c r="G716" s="166">
        <v>0</v>
      </c>
      <c r="H716" s="167">
        <v>2</v>
      </c>
    </row>
    <row r="717" spans="3:8" ht="16.5" customHeight="1" x14ac:dyDescent="0.3">
      <c r="C717" s="165">
        <v>101</v>
      </c>
      <c r="D717" s="166">
        <v>1</v>
      </c>
      <c r="E717" s="166">
        <v>0</v>
      </c>
      <c r="F717" s="166">
        <v>0</v>
      </c>
      <c r="G717" s="166">
        <v>0</v>
      </c>
      <c r="H717" s="167">
        <v>2</v>
      </c>
    </row>
    <row r="718" spans="3:8" ht="16.5" customHeight="1" x14ac:dyDescent="0.3">
      <c r="C718" s="165">
        <v>102</v>
      </c>
      <c r="D718" s="166">
        <v>2</v>
      </c>
      <c r="E718" s="166">
        <v>0</v>
      </c>
      <c r="F718" s="166">
        <v>0</v>
      </c>
      <c r="G718" s="166">
        <v>0</v>
      </c>
      <c r="H718" s="167">
        <v>2</v>
      </c>
    </row>
    <row r="719" spans="3:8" ht="16.5" customHeight="1" x14ac:dyDescent="0.3">
      <c r="C719" s="165">
        <v>103</v>
      </c>
      <c r="D719" s="166">
        <v>3</v>
      </c>
      <c r="E719" s="166">
        <v>0</v>
      </c>
      <c r="F719" s="166">
        <v>0</v>
      </c>
      <c r="G719" s="166">
        <v>0</v>
      </c>
      <c r="H719" s="167">
        <v>2</v>
      </c>
    </row>
    <row r="720" spans="3:8" ht="16.5" customHeight="1" x14ac:dyDescent="0.3">
      <c r="C720" s="165">
        <v>104</v>
      </c>
      <c r="D720" s="166">
        <v>4</v>
      </c>
      <c r="E720" s="166">
        <v>0</v>
      </c>
      <c r="F720" s="166">
        <v>0</v>
      </c>
      <c r="G720" s="166">
        <v>0</v>
      </c>
      <c r="H720" s="167">
        <v>2</v>
      </c>
    </row>
    <row r="721" spans="3:8" ht="16.5" customHeight="1" x14ac:dyDescent="0.3">
      <c r="C721" s="165">
        <v>105</v>
      </c>
      <c r="D721" s="166">
        <v>0</v>
      </c>
      <c r="E721" s="166">
        <v>1</v>
      </c>
      <c r="F721" s="166">
        <v>0</v>
      </c>
      <c r="G721" s="166">
        <v>0</v>
      </c>
      <c r="H721" s="167">
        <v>2</v>
      </c>
    </row>
    <row r="722" spans="3:8" ht="16.5" customHeight="1" x14ac:dyDescent="0.3">
      <c r="C722" s="165">
        <v>106</v>
      </c>
      <c r="D722" s="166">
        <v>1</v>
      </c>
      <c r="E722" s="166">
        <v>1</v>
      </c>
      <c r="F722" s="166">
        <v>0</v>
      </c>
      <c r="G722" s="166">
        <v>0</v>
      </c>
      <c r="H722" s="167">
        <v>2</v>
      </c>
    </row>
    <row r="723" spans="3:8" ht="16.5" customHeight="1" x14ac:dyDescent="0.3">
      <c r="C723" s="165">
        <v>107</v>
      </c>
      <c r="D723" s="166">
        <v>2</v>
      </c>
      <c r="E723" s="166">
        <v>1</v>
      </c>
      <c r="F723" s="166">
        <v>0</v>
      </c>
      <c r="G723" s="166">
        <v>0</v>
      </c>
      <c r="H723" s="167">
        <v>2</v>
      </c>
    </row>
    <row r="724" spans="3:8" ht="16.5" customHeight="1" x14ac:dyDescent="0.3">
      <c r="C724" s="165">
        <v>108</v>
      </c>
      <c r="D724" s="166">
        <v>3</v>
      </c>
      <c r="E724" s="166">
        <v>1</v>
      </c>
      <c r="F724" s="166">
        <v>0</v>
      </c>
      <c r="G724" s="166">
        <v>0</v>
      </c>
      <c r="H724" s="167">
        <v>2</v>
      </c>
    </row>
    <row r="725" spans="3:8" ht="16.5" customHeight="1" x14ac:dyDescent="0.3">
      <c r="C725" s="165">
        <v>109</v>
      </c>
      <c r="D725" s="166">
        <v>4</v>
      </c>
      <c r="E725" s="166">
        <v>1</v>
      </c>
      <c r="F725" s="166">
        <v>0</v>
      </c>
      <c r="G725" s="166">
        <v>0</v>
      </c>
      <c r="H725" s="167">
        <v>2</v>
      </c>
    </row>
    <row r="726" spans="3:8" ht="16.5" customHeight="1" x14ac:dyDescent="0.3">
      <c r="C726" s="165">
        <v>110</v>
      </c>
      <c r="D726" s="166">
        <v>0</v>
      </c>
      <c r="E726" s="166">
        <v>0</v>
      </c>
      <c r="F726" s="166">
        <v>1</v>
      </c>
      <c r="G726" s="166">
        <v>0</v>
      </c>
      <c r="H726" s="167">
        <v>2</v>
      </c>
    </row>
    <row r="727" spans="3:8" ht="16.5" customHeight="1" x14ac:dyDescent="0.3">
      <c r="C727" s="165">
        <v>111</v>
      </c>
      <c r="D727" s="166">
        <v>1</v>
      </c>
      <c r="E727" s="166">
        <v>0</v>
      </c>
      <c r="F727" s="166">
        <v>1</v>
      </c>
      <c r="G727" s="166">
        <v>0</v>
      </c>
      <c r="H727" s="167">
        <v>2</v>
      </c>
    </row>
    <row r="728" spans="3:8" ht="16.5" customHeight="1" x14ac:dyDescent="0.3">
      <c r="C728" s="165">
        <v>112</v>
      </c>
      <c r="D728" s="166">
        <v>2</v>
      </c>
      <c r="E728" s="166">
        <v>0</v>
      </c>
      <c r="F728" s="166">
        <v>1</v>
      </c>
      <c r="G728" s="166">
        <v>0</v>
      </c>
      <c r="H728" s="167">
        <v>2</v>
      </c>
    </row>
    <row r="729" spans="3:8" ht="16.5" customHeight="1" x14ac:dyDescent="0.3">
      <c r="C729" s="165">
        <v>113</v>
      </c>
      <c r="D729" s="166">
        <v>3</v>
      </c>
      <c r="E729" s="166">
        <v>0</v>
      </c>
      <c r="F729" s="166">
        <v>1</v>
      </c>
      <c r="G729" s="166">
        <v>0</v>
      </c>
      <c r="H729" s="167">
        <v>2</v>
      </c>
    </row>
    <row r="730" spans="3:8" ht="16.5" customHeight="1" x14ac:dyDescent="0.3">
      <c r="C730" s="165">
        <v>114</v>
      </c>
      <c r="D730" s="166">
        <v>4</v>
      </c>
      <c r="E730" s="166">
        <v>0</v>
      </c>
      <c r="F730" s="166">
        <v>1</v>
      </c>
      <c r="G730" s="166">
        <v>0</v>
      </c>
      <c r="H730" s="167">
        <v>2</v>
      </c>
    </row>
    <row r="731" spans="3:8" ht="16.5" customHeight="1" x14ac:dyDescent="0.3">
      <c r="C731" s="165">
        <v>115</v>
      </c>
      <c r="D731" s="166">
        <v>0</v>
      </c>
      <c r="E731" s="166">
        <v>1</v>
      </c>
      <c r="F731" s="166">
        <v>1</v>
      </c>
      <c r="G731" s="166">
        <v>0</v>
      </c>
      <c r="H731" s="167">
        <v>2</v>
      </c>
    </row>
    <row r="732" spans="3:8" ht="16.5" customHeight="1" x14ac:dyDescent="0.3">
      <c r="C732" s="165">
        <v>116</v>
      </c>
      <c r="D732" s="166">
        <v>1</v>
      </c>
      <c r="E732" s="166">
        <v>1</v>
      </c>
      <c r="F732" s="166">
        <v>1</v>
      </c>
      <c r="G732" s="166">
        <v>0</v>
      </c>
      <c r="H732" s="167">
        <v>2</v>
      </c>
    </row>
    <row r="733" spans="3:8" ht="16.5" customHeight="1" x14ac:dyDescent="0.3">
      <c r="C733" s="165">
        <v>117</v>
      </c>
      <c r="D733" s="166">
        <v>2</v>
      </c>
      <c r="E733" s="166">
        <v>1</v>
      </c>
      <c r="F733" s="166">
        <v>1</v>
      </c>
      <c r="G733" s="166">
        <v>0</v>
      </c>
      <c r="H733" s="167">
        <v>2</v>
      </c>
    </row>
    <row r="734" spans="3:8" ht="16.5" customHeight="1" x14ac:dyDescent="0.3">
      <c r="C734" s="165">
        <v>118</v>
      </c>
      <c r="D734" s="166">
        <v>3</v>
      </c>
      <c r="E734" s="166">
        <v>1</v>
      </c>
      <c r="F734" s="166">
        <v>1</v>
      </c>
      <c r="G734" s="166">
        <v>0</v>
      </c>
      <c r="H734" s="167">
        <v>2</v>
      </c>
    </row>
    <row r="735" spans="3:8" ht="16.5" customHeight="1" x14ac:dyDescent="0.3">
      <c r="C735" s="165">
        <v>119</v>
      </c>
      <c r="D735" s="166">
        <v>4</v>
      </c>
      <c r="E735" s="166">
        <v>1</v>
      </c>
      <c r="F735" s="166">
        <v>1</v>
      </c>
      <c r="G735" s="166">
        <v>0</v>
      </c>
      <c r="H735" s="167">
        <v>2</v>
      </c>
    </row>
    <row r="736" spans="3:8" ht="16.5" customHeight="1" x14ac:dyDescent="0.3">
      <c r="C736" s="165">
        <v>120</v>
      </c>
      <c r="D736" s="166">
        <v>0</v>
      </c>
      <c r="E736" s="166">
        <v>0</v>
      </c>
      <c r="F736" s="166">
        <v>2</v>
      </c>
      <c r="G736" s="166">
        <v>0</v>
      </c>
      <c r="H736" s="167">
        <v>2</v>
      </c>
    </row>
    <row r="737" spans="3:8" ht="16.5" customHeight="1" x14ac:dyDescent="0.3">
      <c r="C737" s="165">
        <v>121</v>
      </c>
      <c r="D737" s="166">
        <v>1</v>
      </c>
      <c r="E737" s="166">
        <v>0</v>
      </c>
      <c r="F737" s="166">
        <v>2</v>
      </c>
      <c r="G737" s="166">
        <v>0</v>
      </c>
      <c r="H737" s="167">
        <v>2</v>
      </c>
    </row>
    <row r="738" spans="3:8" ht="16.5" customHeight="1" x14ac:dyDescent="0.3">
      <c r="C738" s="165">
        <v>122</v>
      </c>
      <c r="D738" s="166">
        <v>2</v>
      </c>
      <c r="E738" s="166">
        <v>0</v>
      </c>
      <c r="F738" s="166">
        <v>2</v>
      </c>
      <c r="G738" s="166">
        <v>0</v>
      </c>
      <c r="H738" s="167">
        <v>2</v>
      </c>
    </row>
    <row r="739" spans="3:8" ht="16.5" customHeight="1" x14ac:dyDescent="0.3">
      <c r="C739" s="165">
        <v>123</v>
      </c>
      <c r="D739" s="166">
        <v>3</v>
      </c>
      <c r="E739" s="166">
        <v>0</v>
      </c>
      <c r="F739" s="166">
        <v>2</v>
      </c>
      <c r="G739" s="166">
        <v>0</v>
      </c>
      <c r="H739" s="167">
        <v>2</v>
      </c>
    </row>
    <row r="740" spans="3:8" ht="16.5" customHeight="1" x14ac:dyDescent="0.3">
      <c r="C740" s="165">
        <v>124</v>
      </c>
      <c r="D740" s="166">
        <v>4</v>
      </c>
      <c r="E740" s="166">
        <v>0</v>
      </c>
      <c r="F740" s="166">
        <v>2</v>
      </c>
      <c r="G740" s="166">
        <v>0</v>
      </c>
      <c r="H740" s="167">
        <v>2</v>
      </c>
    </row>
    <row r="741" spans="3:8" ht="16.5" customHeight="1" x14ac:dyDescent="0.3">
      <c r="C741" s="165">
        <v>125</v>
      </c>
      <c r="D741" s="166">
        <v>0</v>
      </c>
      <c r="E741" s="166">
        <v>1</v>
      </c>
      <c r="F741" s="166">
        <v>2</v>
      </c>
      <c r="G741" s="166">
        <v>0</v>
      </c>
      <c r="H741" s="167">
        <v>2</v>
      </c>
    </row>
    <row r="742" spans="3:8" ht="16.5" customHeight="1" x14ac:dyDescent="0.3">
      <c r="C742" s="165">
        <v>126</v>
      </c>
      <c r="D742" s="166">
        <v>1</v>
      </c>
      <c r="E742" s="166">
        <v>1</v>
      </c>
      <c r="F742" s="166">
        <v>2</v>
      </c>
      <c r="G742" s="166">
        <v>0</v>
      </c>
      <c r="H742" s="167">
        <v>2</v>
      </c>
    </row>
    <row r="743" spans="3:8" ht="16.5" customHeight="1" x14ac:dyDescent="0.3">
      <c r="C743" s="168">
        <v>127</v>
      </c>
      <c r="D743" s="169">
        <v>2</v>
      </c>
      <c r="E743" s="169">
        <v>1</v>
      </c>
      <c r="F743" s="169">
        <v>2</v>
      </c>
      <c r="G743" s="169">
        <v>0</v>
      </c>
      <c r="H743" s="170">
        <v>2</v>
      </c>
    </row>
    <row r="744" spans="3:8" ht="16.5" customHeight="1" x14ac:dyDescent="0.3">
      <c r="C744" s="63">
        <v>128</v>
      </c>
      <c r="D744" s="63">
        <v>3</v>
      </c>
      <c r="E744" s="63">
        <v>1</v>
      </c>
      <c r="F744" s="63">
        <v>2</v>
      </c>
      <c r="G744" s="63">
        <v>0</v>
      </c>
      <c r="H744" s="63">
        <v>2</v>
      </c>
    </row>
    <row r="1795" spans="5:5" ht="16.5" customHeight="1" x14ac:dyDescent="0.3">
      <c r="E1795" s="63">
        <v>0</v>
      </c>
    </row>
  </sheetData>
  <sheetProtection algorithmName="SHA-512" hashValue="NAfn0YSbF+LW02KJhJuWAvot89x03VwFDTkMkx47MSICBbxqTbNo72chsEyTE2uXSt8m9IjIG02MOutWvzioWQ==" saltValue="uMpHWdg3Q4gnIqVv/3y7Mw==" spinCount="100000" sheet="1" objects="1" scenarios="1"/>
  <sortState xmlns:xlrd2="http://schemas.microsoft.com/office/spreadsheetml/2017/richdata2" ref="J314:J316">
    <sortCondition ref="J313"/>
  </sortState>
  <mergeCells count="30">
    <mergeCell ref="A70:A77"/>
    <mergeCell ref="E20:E21"/>
    <mergeCell ref="I20:I21"/>
    <mergeCell ref="A45:A57"/>
    <mergeCell ref="C83:J83"/>
    <mergeCell ref="B113:K113"/>
    <mergeCell ref="J13:J14"/>
    <mergeCell ref="I13:I14"/>
    <mergeCell ref="H13:H14"/>
    <mergeCell ref="K20:K21"/>
    <mergeCell ref="I23:I24"/>
    <mergeCell ref="K23:K24"/>
    <mergeCell ref="H20:H21"/>
    <mergeCell ref="J20:J21"/>
    <mergeCell ref="D301:K302"/>
    <mergeCell ref="B298:K300"/>
    <mergeCell ref="A3:B4"/>
    <mergeCell ref="B5:B6"/>
    <mergeCell ref="B8:B10"/>
    <mergeCell ref="A60:A67"/>
    <mergeCell ref="F3:G3"/>
    <mergeCell ref="F5:G6"/>
    <mergeCell ref="C20:D21"/>
    <mergeCell ref="F20:G21"/>
    <mergeCell ref="B20:B21"/>
    <mergeCell ref="F23:G24"/>
    <mergeCell ref="C115:G115"/>
    <mergeCell ref="B146:F146"/>
    <mergeCell ref="H115:K115"/>
    <mergeCell ref="J146:K146"/>
  </mergeCells>
  <conditionalFormatting sqref="C44:C45 C57 C55">
    <cfRule type="expression" dxfId="221" priority="185">
      <formula>$H$457=1</formula>
    </cfRule>
  </conditionalFormatting>
  <conditionalFormatting sqref="D44:D45 D59 D55">
    <cfRule type="expression" dxfId="220" priority="184">
      <formula>$H$458=1</formula>
    </cfRule>
  </conditionalFormatting>
  <conditionalFormatting sqref="E44:E45 E59 E55">
    <cfRule type="expression" dxfId="219" priority="183">
      <formula>$H$459=1</formula>
    </cfRule>
  </conditionalFormatting>
  <conditionalFormatting sqref="E46">
    <cfRule type="expression" dxfId="218" priority="182">
      <formula>$H$459=1</formula>
    </cfRule>
  </conditionalFormatting>
  <conditionalFormatting sqref="D77">
    <cfRule type="expression" dxfId="217" priority="171">
      <formula>$H$458=1</formula>
    </cfRule>
  </conditionalFormatting>
  <conditionalFormatting sqref="E57">
    <cfRule type="expression" dxfId="216" priority="181">
      <formula>$H$459=1</formula>
    </cfRule>
  </conditionalFormatting>
  <conditionalFormatting sqref="E70:E71">
    <cfRule type="expression" dxfId="215" priority="180">
      <formula>$H$459=1</formula>
    </cfRule>
  </conditionalFormatting>
  <conditionalFormatting sqref="E73">
    <cfRule type="expression" dxfId="214" priority="179">
      <formula>$H$459=1</formula>
    </cfRule>
  </conditionalFormatting>
  <conditionalFormatting sqref="E75">
    <cfRule type="expression" dxfId="213" priority="178">
      <formula>$H$459=1</formula>
    </cfRule>
  </conditionalFormatting>
  <conditionalFormatting sqref="E77">
    <cfRule type="expression" dxfId="212" priority="177">
      <formula>$H$459=1</formula>
    </cfRule>
  </conditionalFormatting>
  <conditionalFormatting sqref="D46">
    <cfRule type="expression" dxfId="211" priority="176">
      <formula>$H$458=1</formula>
    </cfRule>
  </conditionalFormatting>
  <conditionalFormatting sqref="C77">
    <cfRule type="expression" dxfId="210" priority="166">
      <formula>$H$457=1</formula>
    </cfRule>
  </conditionalFormatting>
  <conditionalFormatting sqref="D57">
    <cfRule type="expression" dxfId="209" priority="175">
      <formula>$H$458=1</formula>
    </cfRule>
  </conditionalFormatting>
  <conditionalFormatting sqref="D70:D71">
    <cfRule type="expression" dxfId="208" priority="174">
      <formula>$H$458=1</formula>
    </cfRule>
  </conditionalFormatting>
  <conditionalFormatting sqref="D73">
    <cfRule type="expression" dxfId="207" priority="173">
      <formula>$H$458=1</formula>
    </cfRule>
  </conditionalFormatting>
  <conditionalFormatting sqref="D75">
    <cfRule type="expression" dxfId="206" priority="172">
      <formula>$H$458=1</formula>
    </cfRule>
  </conditionalFormatting>
  <conditionalFormatting sqref="C46">
    <cfRule type="expression" dxfId="205" priority="170">
      <formula>$H$457=1</formula>
    </cfRule>
  </conditionalFormatting>
  <conditionalFormatting sqref="C70:C71">
    <cfRule type="expression" dxfId="204" priority="169">
      <formula>$H$457=1</formula>
    </cfRule>
  </conditionalFormatting>
  <conditionalFormatting sqref="C73">
    <cfRule type="expression" dxfId="203" priority="168">
      <formula>$H$457=1</formula>
    </cfRule>
  </conditionalFormatting>
  <conditionalFormatting sqref="C75">
    <cfRule type="expression" dxfId="202" priority="167">
      <formula>$H$457=1</formula>
    </cfRule>
  </conditionalFormatting>
  <conditionalFormatting sqref="F44:F45 F59 F55">
    <cfRule type="expression" dxfId="201" priority="165">
      <formula>$H$460=1</formula>
    </cfRule>
  </conditionalFormatting>
  <conditionalFormatting sqref="F46">
    <cfRule type="expression" dxfId="200" priority="164">
      <formula>$H$460=1</formula>
    </cfRule>
  </conditionalFormatting>
  <conditionalFormatting sqref="F57">
    <cfRule type="expression" dxfId="199" priority="163">
      <formula>$H$460=1</formula>
    </cfRule>
  </conditionalFormatting>
  <conditionalFormatting sqref="F70:F71">
    <cfRule type="expression" dxfId="198" priority="162">
      <formula>$H$460=1</formula>
    </cfRule>
  </conditionalFormatting>
  <conditionalFormatting sqref="F73">
    <cfRule type="expression" dxfId="197" priority="161">
      <formula>$H$460=1</formula>
    </cfRule>
  </conditionalFormatting>
  <conditionalFormatting sqref="F75">
    <cfRule type="expression" dxfId="196" priority="160">
      <formula>$H$460=1</formula>
    </cfRule>
  </conditionalFormatting>
  <conditionalFormatting sqref="F77">
    <cfRule type="expression" dxfId="195" priority="159">
      <formula>$H$460=1</formula>
    </cfRule>
  </conditionalFormatting>
  <conditionalFormatting sqref="G44:G45 G59 G55">
    <cfRule type="expression" dxfId="194" priority="158">
      <formula>$H$461=1</formula>
    </cfRule>
  </conditionalFormatting>
  <conditionalFormatting sqref="G46">
    <cfRule type="expression" dxfId="193" priority="157">
      <formula>$H$461=1</formula>
    </cfRule>
  </conditionalFormatting>
  <conditionalFormatting sqref="G57">
    <cfRule type="expression" dxfId="192" priority="156">
      <formula>$H$461=1</formula>
    </cfRule>
  </conditionalFormatting>
  <conditionalFormatting sqref="G70:G71">
    <cfRule type="expression" dxfId="191" priority="155">
      <formula>$H$461=1</formula>
    </cfRule>
  </conditionalFormatting>
  <conditionalFormatting sqref="G73">
    <cfRule type="expression" dxfId="190" priority="154">
      <formula>$H$461=1</formula>
    </cfRule>
  </conditionalFormatting>
  <conditionalFormatting sqref="G75">
    <cfRule type="expression" dxfId="189" priority="153">
      <formula>$H$461=1</formula>
    </cfRule>
  </conditionalFormatting>
  <conditionalFormatting sqref="G77">
    <cfRule type="expression" dxfId="188" priority="152">
      <formula>$H$461=1</formula>
    </cfRule>
  </conditionalFormatting>
  <conditionalFormatting sqref="H46">
    <cfRule type="expression" dxfId="187" priority="151">
      <formula>$H$462=1</formula>
    </cfRule>
  </conditionalFormatting>
  <conditionalFormatting sqref="H70:H71">
    <cfRule type="expression" dxfId="186" priority="150">
      <formula>$H$462=1</formula>
    </cfRule>
  </conditionalFormatting>
  <conditionalFormatting sqref="H57">
    <cfRule type="expression" dxfId="185" priority="149">
      <formula>$H$462=1</formula>
    </cfRule>
  </conditionalFormatting>
  <conditionalFormatting sqref="H73">
    <cfRule type="expression" dxfId="184" priority="148">
      <formula>$H$462=1</formula>
    </cfRule>
  </conditionalFormatting>
  <conditionalFormatting sqref="H75">
    <cfRule type="expression" dxfId="183" priority="147">
      <formula>$H$462=1</formula>
    </cfRule>
  </conditionalFormatting>
  <conditionalFormatting sqref="H77">
    <cfRule type="expression" dxfId="182" priority="146">
      <formula>$H$462=1</formula>
    </cfRule>
  </conditionalFormatting>
  <conditionalFormatting sqref="C59">
    <cfRule type="expression" dxfId="181" priority="145">
      <formula>$H$457=1</formula>
    </cfRule>
  </conditionalFormatting>
  <conditionalFormatting sqref="D57">
    <cfRule type="expression" dxfId="180" priority="144">
      <formula>H458=0</formula>
    </cfRule>
  </conditionalFormatting>
  <conditionalFormatting sqref="E57">
    <cfRule type="expression" dxfId="179" priority="143">
      <formula>H459=0</formula>
    </cfRule>
  </conditionalFormatting>
  <conditionalFormatting sqref="F57">
    <cfRule type="expression" dxfId="178" priority="142">
      <formula>H460=0</formula>
    </cfRule>
  </conditionalFormatting>
  <conditionalFormatting sqref="G57">
    <cfRule type="expression" dxfId="177" priority="141">
      <formula>H461=0</formula>
    </cfRule>
  </conditionalFormatting>
  <conditionalFormatting sqref="H57">
    <cfRule type="expression" dxfId="176" priority="140">
      <formula>H462=0</formula>
    </cfRule>
  </conditionalFormatting>
  <conditionalFormatting sqref="E47:E48">
    <cfRule type="expression" dxfId="175" priority="139">
      <formula>$H$459=1</formula>
    </cfRule>
  </conditionalFormatting>
  <conditionalFormatting sqref="D47:D48">
    <cfRule type="expression" dxfId="174" priority="138">
      <formula>$H$458=1</formula>
    </cfRule>
  </conditionalFormatting>
  <conditionalFormatting sqref="C47:C48">
    <cfRule type="expression" dxfId="173" priority="137">
      <formula>$H$457=1</formula>
    </cfRule>
  </conditionalFormatting>
  <conditionalFormatting sqref="F47:F48">
    <cfRule type="expression" dxfId="172" priority="136">
      <formula>$H$460=1</formula>
    </cfRule>
  </conditionalFormatting>
  <conditionalFormatting sqref="G47:G48">
    <cfRule type="expression" dxfId="171" priority="135">
      <formula>$H$461=1</formula>
    </cfRule>
  </conditionalFormatting>
  <conditionalFormatting sqref="H47:H48">
    <cfRule type="expression" dxfId="170" priority="134">
      <formula>$H$462=1</formula>
    </cfRule>
  </conditionalFormatting>
  <conditionalFormatting sqref="E51">
    <cfRule type="expression" dxfId="169" priority="133">
      <formula>$H$459=1</formula>
    </cfRule>
  </conditionalFormatting>
  <conditionalFormatting sqref="D51">
    <cfRule type="expression" dxfId="168" priority="132">
      <formula>$H$458=1</formula>
    </cfRule>
  </conditionalFormatting>
  <conditionalFormatting sqref="C51">
    <cfRule type="expression" dxfId="167" priority="131">
      <formula>$H$457=1</formula>
    </cfRule>
  </conditionalFormatting>
  <conditionalFormatting sqref="F51">
    <cfRule type="expression" dxfId="166" priority="130">
      <formula>$H$460=1</formula>
    </cfRule>
  </conditionalFormatting>
  <conditionalFormatting sqref="G51">
    <cfRule type="expression" dxfId="165" priority="129">
      <formula>$H$461=1</formula>
    </cfRule>
  </conditionalFormatting>
  <conditionalFormatting sqref="H51">
    <cfRule type="expression" dxfId="164" priority="128">
      <formula>$H$462=1</formula>
    </cfRule>
  </conditionalFormatting>
  <conditionalFormatting sqref="E78">
    <cfRule type="expression" dxfId="163" priority="127">
      <formula>$H$459=1</formula>
    </cfRule>
  </conditionalFormatting>
  <conditionalFormatting sqref="D78">
    <cfRule type="expression" dxfId="162" priority="126">
      <formula>$H$458=1</formula>
    </cfRule>
  </conditionalFormatting>
  <conditionalFormatting sqref="C78">
    <cfRule type="expression" dxfId="161" priority="125">
      <formula>$H$457=1</formula>
    </cfRule>
  </conditionalFormatting>
  <conditionalFormatting sqref="F78">
    <cfRule type="expression" dxfId="160" priority="124">
      <formula>$H$460=1</formula>
    </cfRule>
  </conditionalFormatting>
  <conditionalFormatting sqref="G78">
    <cfRule type="expression" dxfId="159" priority="123">
      <formula>$H$461=1</formula>
    </cfRule>
  </conditionalFormatting>
  <conditionalFormatting sqref="H78">
    <cfRule type="expression" dxfId="158" priority="122">
      <formula>$H$462=1</formula>
    </cfRule>
  </conditionalFormatting>
  <conditionalFormatting sqref="E69">
    <cfRule type="expression" dxfId="157" priority="121">
      <formula>$H$459=1</formula>
    </cfRule>
  </conditionalFormatting>
  <conditionalFormatting sqref="D69">
    <cfRule type="expression" dxfId="156" priority="120">
      <formula>$H$458=1</formula>
    </cfRule>
  </conditionalFormatting>
  <conditionalFormatting sqref="F69">
    <cfRule type="expression" dxfId="155" priority="119">
      <formula>$H$460=1</formula>
    </cfRule>
  </conditionalFormatting>
  <conditionalFormatting sqref="G69">
    <cfRule type="expression" dxfId="154" priority="118">
      <formula>$H$461=1</formula>
    </cfRule>
  </conditionalFormatting>
  <conditionalFormatting sqref="H69">
    <cfRule type="expression" dxfId="153" priority="117">
      <formula>$H$462=1</formula>
    </cfRule>
  </conditionalFormatting>
  <conditionalFormatting sqref="C69">
    <cfRule type="expression" dxfId="152" priority="116">
      <formula>$H$457=1</formula>
    </cfRule>
  </conditionalFormatting>
  <conditionalFormatting sqref="E58">
    <cfRule type="expression" dxfId="151" priority="115">
      <formula>$H$459=1</formula>
    </cfRule>
  </conditionalFormatting>
  <conditionalFormatting sqref="D58">
    <cfRule type="expression" dxfId="150" priority="114">
      <formula>$H$458=1</formula>
    </cfRule>
  </conditionalFormatting>
  <conditionalFormatting sqref="F58">
    <cfRule type="expression" dxfId="149" priority="113">
      <formula>$H$460=1</formula>
    </cfRule>
  </conditionalFormatting>
  <conditionalFormatting sqref="G58">
    <cfRule type="expression" dxfId="148" priority="112">
      <formula>$H$461=1</formula>
    </cfRule>
  </conditionalFormatting>
  <conditionalFormatting sqref="H58">
    <cfRule type="expression" dxfId="147" priority="111">
      <formula>$H$462=1</formula>
    </cfRule>
  </conditionalFormatting>
  <conditionalFormatting sqref="C58">
    <cfRule type="expression" dxfId="146" priority="110">
      <formula>$H$457=1</formula>
    </cfRule>
  </conditionalFormatting>
  <conditionalFormatting sqref="E53">
    <cfRule type="expression" dxfId="145" priority="109">
      <formula>$H$459=1</formula>
    </cfRule>
  </conditionalFormatting>
  <conditionalFormatting sqref="D53">
    <cfRule type="expression" dxfId="144" priority="108">
      <formula>$H$458=1</formula>
    </cfRule>
  </conditionalFormatting>
  <conditionalFormatting sqref="C53">
    <cfRule type="expression" dxfId="143" priority="107">
      <formula>$H$457=1</formula>
    </cfRule>
  </conditionalFormatting>
  <conditionalFormatting sqref="F53">
    <cfRule type="expression" dxfId="142" priority="106">
      <formula>$H$460=1</formula>
    </cfRule>
  </conditionalFormatting>
  <conditionalFormatting sqref="G53">
    <cfRule type="expression" dxfId="141" priority="105">
      <formula>$H$461=1</formula>
    </cfRule>
  </conditionalFormatting>
  <conditionalFormatting sqref="H53">
    <cfRule type="expression" dxfId="140" priority="104">
      <formula>$H$462=1</formula>
    </cfRule>
  </conditionalFormatting>
  <conditionalFormatting sqref="C65">
    <cfRule type="expression" dxfId="139" priority="103">
      <formula>$H$457=1</formula>
    </cfRule>
  </conditionalFormatting>
  <conditionalFormatting sqref="D65">
    <cfRule type="expression" dxfId="138" priority="102">
      <formula>$H$458=1</formula>
    </cfRule>
  </conditionalFormatting>
  <conditionalFormatting sqref="E65">
    <cfRule type="expression" dxfId="137" priority="101">
      <formula>$H$459=1</formula>
    </cfRule>
  </conditionalFormatting>
  <conditionalFormatting sqref="F65">
    <cfRule type="expression" dxfId="136" priority="100">
      <formula>$H$460=1</formula>
    </cfRule>
  </conditionalFormatting>
  <conditionalFormatting sqref="G65">
    <cfRule type="expression" dxfId="135" priority="99">
      <formula>$H$461=1</formula>
    </cfRule>
  </conditionalFormatting>
  <conditionalFormatting sqref="H65">
    <cfRule type="expression" dxfId="134" priority="98">
      <formula>$H$462=1</formula>
    </cfRule>
  </conditionalFormatting>
  <conditionalFormatting sqref="C61">
    <cfRule type="expression" dxfId="133" priority="97">
      <formula>$H$457=1</formula>
    </cfRule>
  </conditionalFormatting>
  <conditionalFormatting sqref="E61">
    <cfRule type="expression" dxfId="132" priority="96">
      <formula>$H$459=1</formula>
    </cfRule>
  </conditionalFormatting>
  <conditionalFormatting sqref="D61">
    <cfRule type="expression" dxfId="131" priority="95">
      <formula>$H$458=1</formula>
    </cfRule>
  </conditionalFormatting>
  <conditionalFormatting sqref="F61">
    <cfRule type="expression" dxfId="130" priority="94">
      <formula>$H$460=1</formula>
    </cfRule>
  </conditionalFormatting>
  <conditionalFormatting sqref="G61">
    <cfRule type="expression" dxfId="129" priority="93">
      <formula>$H$461=1</formula>
    </cfRule>
  </conditionalFormatting>
  <conditionalFormatting sqref="H61">
    <cfRule type="expression" dxfId="128" priority="92">
      <formula>$H$462=1</formula>
    </cfRule>
  </conditionalFormatting>
  <conditionalFormatting sqref="D61">
    <cfRule type="expression" dxfId="127" priority="91">
      <formula>H458=0</formula>
    </cfRule>
  </conditionalFormatting>
  <conditionalFormatting sqref="E61">
    <cfRule type="expression" dxfId="126" priority="90">
      <formula>H459=0</formula>
    </cfRule>
  </conditionalFormatting>
  <conditionalFormatting sqref="F61">
    <cfRule type="expression" dxfId="125" priority="89">
      <formula>H460=0</formula>
    </cfRule>
  </conditionalFormatting>
  <conditionalFormatting sqref="G61">
    <cfRule type="expression" dxfId="124" priority="88">
      <formula>H461=0</formula>
    </cfRule>
  </conditionalFormatting>
  <conditionalFormatting sqref="H61">
    <cfRule type="expression" dxfId="123" priority="87">
      <formula>H462=0</formula>
    </cfRule>
  </conditionalFormatting>
  <conditionalFormatting sqref="E63">
    <cfRule type="expression" dxfId="122" priority="86">
      <formula>$H$459=1</formula>
    </cfRule>
  </conditionalFormatting>
  <conditionalFormatting sqref="D63">
    <cfRule type="expression" dxfId="121" priority="85">
      <formula>$H$458=1</formula>
    </cfRule>
  </conditionalFormatting>
  <conditionalFormatting sqref="C63">
    <cfRule type="expression" dxfId="120" priority="84">
      <formula>$H$457=1</formula>
    </cfRule>
  </conditionalFormatting>
  <conditionalFormatting sqref="F63">
    <cfRule type="expression" dxfId="119" priority="83">
      <formula>$H$460=1</formula>
    </cfRule>
  </conditionalFormatting>
  <conditionalFormatting sqref="G63">
    <cfRule type="expression" dxfId="118" priority="82">
      <formula>$H$461=1</formula>
    </cfRule>
  </conditionalFormatting>
  <conditionalFormatting sqref="H63">
    <cfRule type="expression" dxfId="117" priority="81">
      <formula>$H$462=1</formula>
    </cfRule>
  </conditionalFormatting>
  <conditionalFormatting sqref="C64">
    <cfRule type="expression" dxfId="116" priority="80">
      <formula>H457=0</formula>
    </cfRule>
  </conditionalFormatting>
  <conditionalFormatting sqref="D64">
    <cfRule type="expression" dxfId="115" priority="79">
      <formula>H458=0</formula>
    </cfRule>
  </conditionalFormatting>
  <conditionalFormatting sqref="E64">
    <cfRule type="expression" dxfId="114" priority="78">
      <formula>H459=0</formula>
    </cfRule>
  </conditionalFormatting>
  <conditionalFormatting sqref="F64">
    <cfRule type="expression" dxfId="113" priority="77">
      <formula>H460=0</formula>
    </cfRule>
  </conditionalFormatting>
  <conditionalFormatting sqref="G64">
    <cfRule type="expression" dxfId="112" priority="76">
      <formula>H461=0</formula>
    </cfRule>
  </conditionalFormatting>
  <conditionalFormatting sqref="H64">
    <cfRule type="expression" dxfId="111" priority="75">
      <formula>H462=0</formula>
    </cfRule>
  </conditionalFormatting>
  <conditionalFormatting sqref="C66">
    <cfRule type="expression" dxfId="110" priority="74">
      <formula>H$457=0</formula>
    </cfRule>
  </conditionalFormatting>
  <conditionalFormatting sqref="D66">
    <cfRule type="expression" dxfId="109" priority="73">
      <formula>H$458=0</formula>
    </cfRule>
  </conditionalFormatting>
  <conditionalFormatting sqref="E66">
    <cfRule type="expression" dxfId="108" priority="72">
      <formula>H459=0</formula>
    </cfRule>
  </conditionalFormatting>
  <conditionalFormatting sqref="F66">
    <cfRule type="expression" dxfId="107" priority="71">
      <formula>H460=0</formula>
    </cfRule>
  </conditionalFormatting>
  <conditionalFormatting sqref="G66">
    <cfRule type="expression" dxfId="106" priority="70">
      <formula>H461=0</formula>
    </cfRule>
  </conditionalFormatting>
  <conditionalFormatting sqref="H66">
    <cfRule type="expression" dxfId="105" priority="69">
      <formula>H462=0</formula>
    </cfRule>
  </conditionalFormatting>
  <conditionalFormatting sqref="C67">
    <cfRule type="expression" dxfId="104" priority="68">
      <formula>$H$457=1</formula>
    </cfRule>
  </conditionalFormatting>
  <conditionalFormatting sqref="D67">
    <cfRule type="expression" dxfId="103" priority="67">
      <formula>$H$458=1</formula>
    </cfRule>
  </conditionalFormatting>
  <conditionalFormatting sqref="E67">
    <cfRule type="expression" dxfId="102" priority="66">
      <formula>$H$459=1</formula>
    </cfRule>
  </conditionalFormatting>
  <conditionalFormatting sqref="F67">
    <cfRule type="expression" dxfId="101" priority="65">
      <formula>$H$460=1</formula>
    </cfRule>
  </conditionalFormatting>
  <conditionalFormatting sqref="G67">
    <cfRule type="expression" dxfId="100" priority="64">
      <formula>$H$461=1</formula>
    </cfRule>
  </conditionalFormatting>
  <conditionalFormatting sqref="H67">
    <cfRule type="expression" dxfId="99" priority="63">
      <formula>$H$462=1</formula>
    </cfRule>
  </conditionalFormatting>
  <conditionalFormatting sqref="C68">
    <cfRule type="expression" dxfId="98" priority="62">
      <formula>H$457=0</formula>
    </cfRule>
  </conditionalFormatting>
  <conditionalFormatting sqref="D68">
    <cfRule type="expression" dxfId="97" priority="61">
      <formula>H$458=0</formula>
    </cfRule>
  </conditionalFormatting>
  <conditionalFormatting sqref="E68">
    <cfRule type="expression" dxfId="96" priority="60">
      <formula>H459=0</formula>
    </cfRule>
  </conditionalFormatting>
  <conditionalFormatting sqref="F68">
    <cfRule type="expression" dxfId="95" priority="59">
      <formula>H460=0</formula>
    </cfRule>
  </conditionalFormatting>
  <conditionalFormatting sqref="G68">
    <cfRule type="expression" dxfId="94" priority="58">
      <formula>H461=0</formula>
    </cfRule>
  </conditionalFormatting>
  <conditionalFormatting sqref="H68">
    <cfRule type="expression" dxfId="93" priority="57">
      <formula>H462=0</formula>
    </cfRule>
  </conditionalFormatting>
  <conditionalFormatting sqref="C566">
    <cfRule type="expression" dxfId="92" priority="56">
      <formula>$H$457=1</formula>
    </cfRule>
  </conditionalFormatting>
  <conditionalFormatting sqref="D566">
    <cfRule type="expression" dxfId="91" priority="55">
      <formula>$H$458=1</formula>
    </cfRule>
  </conditionalFormatting>
  <conditionalFormatting sqref="E566">
    <cfRule type="expression" dxfId="90" priority="54">
      <formula>$H$459=1</formula>
    </cfRule>
  </conditionalFormatting>
  <conditionalFormatting sqref="F566">
    <cfRule type="expression" dxfId="89" priority="53">
      <formula>$H$460=1</formula>
    </cfRule>
  </conditionalFormatting>
  <conditionalFormatting sqref="G566">
    <cfRule type="expression" dxfId="88" priority="52">
      <formula>$H$461=1</formula>
    </cfRule>
  </conditionalFormatting>
  <conditionalFormatting sqref="H566">
    <cfRule type="expression" dxfId="87" priority="51">
      <formula>$H$462=1</formula>
    </cfRule>
  </conditionalFormatting>
  <conditionalFormatting sqref="I44:I45 I59">
    <cfRule type="expression" dxfId="86" priority="50">
      <formula>$H$463=1</formula>
    </cfRule>
  </conditionalFormatting>
  <conditionalFormatting sqref="I70:I71">
    <cfRule type="expression" dxfId="85" priority="49">
      <formula>$H$463=1</formula>
    </cfRule>
  </conditionalFormatting>
  <conditionalFormatting sqref="I57">
    <cfRule type="expression" dxfId="84" priority="48">
      <formula>$H$463=1</formula>
    </cfRule>
  </conditionalFormatting>
  <conditionalFormatting sqref="I73">
    <cfRule type="expression" dxfId="83" priority="47">
      <formula>$H$463=1</formula>
    </cfRule>
  </conditionalFormatting>
  <conditionalFormatting sqref="I75">
    <cfRule type="expression" dxfId="82" priority="46">
      <formula>$H$463=1</formula>
    </cfRule>
  </conditionalFormatting>
  <conditionalFormatting sqref="I77">
    <cfRule type="expression" dxfId="81" priority="45">
      <formula>$H$463=1</formula>
    </cfRule>
  </conditionalFormatting>
  <conditionalFormatting sqref="I57">
    <cfRule type="expression" dxfId="80" priority="44">
      <formula>I463=0</formula>
    </cfRule>
  </conditionalFormatting>
  <conditionalFormatting sqref="I47">
    <cfRule type="expression" dxfId="79" priority="43">
      <formula>$H$463=1</formula>
    </cfRule>
  </conditionalFormatting>
  <conditionalFormatting sqref="I51">
    <cfRule type="expression" dxfId="78" priority="42">
      <formula>$H$463=1</formula>
    </cfRule>
  </conditionalFormatting>
  <conditionalFormatting sqref="I69">
    <cfRule type="expression" dxfId="77" priority="41">
      <formula>$H$463=1</formula>
    </cfRule>
  </conditionalFormatting>
  <conditionalFormatting sqref="I58">
    <cfRule type="expression" dxfId="76" priority="40">
      <formula>$H$463=1</formula>
    </cfRule>
  </conditionalFormatting>
  <conditionalFormatting sqref="I53">
    <cfRule type="expression" dxfId="75" priority="39">
      <formula>$H$463=1</formula>
    </cfRule>
  </conditionalFormatting>
  <conditionalFormatting sqref="I65">
    <cfRule type="expression" dxfId="74" priority="38">
      <formula>$H$463=1</formula>
    </cfRule>
  </conditionalFormatting>
  <conditionalFormatting sqref="I61">
    <cfRule type="expression" dxfId="73" priority="37">
      <formula>$H$463=1</formula>
    </cfRule>
  </conditionalFormatting>
  <conditionalFormatting sqref="I61">
    <cfRule type="expression" dxfId="72" priority="36">
      <formula>I463=0</formula>
    </cfRule>
  </conditionalFormatting>
  <conditionalFormatting sqref="I63">
    <cfRule type="expression" dxfId="71" priority="35">
      <formula>$H$463=1</formula>
    </cfRule>
  </conditionalFormatting>
  <conditionalFormatting sqref="I64">
    <cfRule type="expression" dxfId="70" priority="34">
      <formula>I462=0</formula>
    </cfRule>
  </conditionalFormatting>
  <conditionalFormatting sqref="I66">
    <cfRule type="expression" dxfId="69" priority="33">
      <formula>I462=0</formula>
    </cfRule>
  </conditionalFormatting>
  <conditionalFormatting sqref="I67">
    <cfRule type="expression" dxfId="68" priority="32">
      <formula>$H$463=1</formula>
    </cfRule>
  </conditionalFormatting>
  <conditionalFormatting sqref="I68">
    <cfRule type="expression" dxfId="67" priority="31">
      <formula>I462=0</formula>
    </cfRule>
  </conditionalFormatting>
  <conditionalFormatting sqref="I54">
    <cfRule type="expression" dxfId="66" priority="30">
      <formula>$H$463=1</formula>
    </cfRule>
  </conditionalFormatting>
  <conditionalFormatting sqref="H55">
    <cfRule type="expression" dxfId="65" priority="29">
      <formula>H462=1</formula>
    </cfRule>
  </conditionalFormatting>
  <conditionalFormatting sqref="H59">
    <cfRule type="expression" dxfId="64" priority="28">
      <formula>H462=1</formula>
    </cfRule>
  </conditionalFormatting>
  <conditionalFormatting sqref="I78">
    <cfRule type="expression" dxfId="63" priority="27">
      <formula>H463=1</formula>
    </cfRule>
  </conditionalFormatting>
  <conditionalFormatting sqref="I55">
    <cfRule type="expression" dxfId="62" priority="26">
      <formula>H463=1</formula>
    </cfRule>
  </conditionalFormatting>
  <conditionalFormatting sqref="H15:H19 H22 J18 L18">
    <cfRule type="expression" dxfId="61" priority="23">
      <formula>$F$310</formula>
    </cfRule>
  </conditionalFormatting>
  <conditionalFormatting sqref="H25">
    <cfRule type="expression" dxfId="60" priority="14">
      <formula>$F$310</formula>
    </cfRule>
  </conditionalFormatting>
  <conditionalFormatting sqref="A11 A20">
    <cfRule type="expression" dxfId="59" priority="12">
      <formula>$F$310</formula>
    </cfRule>
  </conditionalFormatting>
  <conditionalFormatting sqref="A2">
    <cfRule type="expression" dxfId="58" priority="11">
      <formula>$F$310</formula>
    </cfRule>
  </conditionalFormatting>
  <conditionalFormatting sqref="H6">
    <cfRule type="expression" dxfId="57" priority="10">
      <formula>$F$310</formula>
    </cfRule>
  </conditionalFormatting>
  <conditionalFormatting sqref="E230">
    <cfRule type="expression" dxfId="56" priority="6">
      <formula>$E$229="Incluir"</formula>
    </cfRule>
  </conditionalFormatting>
  <conditionalFormatting sqref="E237">
    <cfRule type="expression" dxfId="55" priority="5">
      <formula>$E$236="Incluir"</formula>
    </cfRule>
  </conditionalFormatting>
  <conditionalFormatting sqref="C61">
    <cfRule type="expression" dxfId="54" priority="336">
      <formula>AND(H457=1,C403&gt;$C$49)</formula>
    </cfRule>
    <cfRule type="expression" dxfId="53" priority="337">
      <formula>H457=0</formula>
    </cfRule>
  </conditionalFormatting>
  <conditionalFormatting sqref="C57">
    <cfRule type="expression" dxfId="52" priority="338">
      <formula>AND(H457=1,C387&gt;$C$49)</formula>
    </cfRule>
    <cfRule type="expression" dxfId="51" priority="339">
      <formula>H457=0</formula>
    </cfRule>
  </conditionalFormatting>
  <conditionalFormatting sqref="H23:H24">
    <cfRule type="expression" dxfId="50" priority="3">
      <formula>$F$287</formula>
    </cfRule>
  </conditionalFormatting>
  <conditionalFormatting sqref="J23">
    <cfRule type="expression" dxfId="49" priority="1">
      <formula>$F$287</formula>
    </cfRule>
  </conditionalFormatting>
  <conditionalFormatting sqref="H24">
    <cfRule type="expression" dxfId="48" priority="341">
      <formula>$D$32="a 36 Meses"</formula>
    </cfRule>
  </conditionalFormatting>
  <dataValidations count="16">
    <dataValidation type="decimal" operator="greaterThanOrEqual" allowBlank="1" showInputMessage="1" showErrorMessage="1" sqref="E172 E176 E179 E182 B18" xr:uid="{3EE9B4E9-6B0A-42DF-8264-612730E6753D}">
      <formula1>0</formula1>
    </dataValidation>
    <dataValidation type="whole" operator="greaterThanOrEqual" allowBlank="1" showInputMessage="1" showErrorMessage="1" sqref="C111:F111 C144:F144 C165:E165" xr:uid="{3D6BBA08-C4F0-4C86-B671-1333E0423F49}">
      <formula1>0</formula1>
    </dataValidation>
    <dataValidation type="whole" operator="greaterThanOrEqual" allowBlank="1" showInputMessage="1" showErrorMessage="1" errorTitle="iNimbus VoIP" error="Coloque un número mayor que cero" sqref="E259" xr:uid="{D006E29D-FDB5-4A9C-8992-6A8464F6A01B}">
      <formula1>0</formula1>
    </dataValidation>
    <dataValidation type="list" allowBlank="1" showInputMessage="1" showErrorMessage="1" sqref="C140:E140" xr:uid="{3C926024-2383-412E-AE1D-74080E236EC9}">
      <formula1>$B$378:$B$379</formula1>
    </dataValidation>
    <dataValidation type="list" allowBlank="1" showInputMessage="1" showErrorMessage="1" sqref="C139:E139 H106:I106 C106:F106" xr:uid="{83426914-7598-4B7E-AB1A-A862C9E55F52}">
      <formula1>$B$374:$B$375</formula1>
    </dataValidation>
    <dataValidation type="list" allowBlank="1" showInputMessage="1" showErrorMessage="1" sqref="D36" xr:uid="{470A6FFD-CDC1-40C2-B13E-FB5E0952F1AE}">
      <formula1>$C$373:$C$379</formula1>
    </dataValidation>
    <dataValidation type="list" allowBlank="1" showInputMessage="1" showErrorMessage="1" sqref="D38" xr:uid="{47BD6EB8-233B-49E3-AE16-3CD5A346B89B}">
      <formula1>$D$373:$D$379</formula1>
    </dataValidation>
    <dataValidation type="list" allowBlank="1" showInputMessage="1" showErrorMessage="1" sqref="D32" xr:uid="{3A48C95D-C646-4278-8990-13B558E45394}">
      <formula1>$B$371:$B$372</formula1>
    </dataValidation>
    <dataValidation type="list" allowBlank="1" showInputMessage="1" showErrorMessage="1" sqref="D40" xr:uid="{7BB896F7-8C3A-4D23-9C26-DCFFEDD3BC93}">
      <formula1>$B$376:$B$377</formula1>
    </dataValidation>
    <dataValidation type="list" allowBlank="1" showInputMessage="1" showErrorMessage="1" sqref="E171 E236 E229 E251 E175 E198" xr:uid="{FEFFA24C-E8DA-4A1B-855D-29CE2A182E06}">
      <formula1>$H$310:$H$311</formula1>
    </dataValidation>
    <dataValidation type="whole" allowBlank="1" showInputMessage="1" showErrorMessage="1" sqref="E206" xr:uid="{59212C92-2E83-473B-94DB-2B6A67760CB3}">
      <formula1>0</formula1>
      <formula2>60</formula2>
    </dataValidation>
    <dataValidation type="list" allowBlank="1" showInputMessage="1" showErrorMessage="1" sqref="E247" xr:uid="{909090FE-E84B-4CF4-8BBB-20ACCEF74CD0}">
      <formula1>$B$310:$B$311</formula1>
    </dataValidation>
    <dataValidation type="list" allowBlank="1" showInputMessage="1" showErrorMessage="1" sqref="E253" xr:uid="{5395071D-EEA9-48E9-84F1-87AEDBCEF4DF}">
      <formula1>$H$368:$H$370</formula1>
    </dataValidation>
    <dataValidation type="list" errorStyle="warning" allowBlank="1" showInputMessage="1" showErrorMessage="1" sqref="E188" xr:uid="{D61A0464-8B0E-41D5-A1F6-B3182ACAA3BF}">
      <formula1>$D$310:$D$311</formula1>
    </dataValidation>
    <dataValidation type="decimal" allowBlank="1" showErrorMessage="1" promptTitle="iNimbus informa" prompt="un valor entre 0% y 40%" sqref="B17" xr:uid="{D3F6E4AE-AEBB-4786-AF67-2E942E479DC5}">
      <formula1>0</formula1>
      <formula2>0.4</formula2>
    </dataValidation>
    <dataValidation type="list" allowBlank="1" showInputMessage="1" showErrorMessage="1" sqref="E216" xr:uid="{706637E7-C82B-4E42-97CF-B7ACC0AA9598}">
      <formula1>$J$308:$J$311</formula1>
    </dataValidation>
  </dataValidations>
  <hyperlinks>
    <hyperlink ref="B1" location="PRINCIPAL!D32" tooltip="ir a Financiación" display="Financiación" xr:uid="{8B165633-A3BB-45C4-9A73-84EC40CC495A}"/>
    <hyperlink ref="C1" location="PRINCIPAL!D36" tooltip="ir a PBX" display="iNimbusVoIP" xr:uid="{33EC24C8-0542-41C6-9B4E-E5CA69B5A2E2}"/>
    <hyperlink ref="E1" location="PRINCIPAL!E171" tooltip="ir a Instalación" display="Instalación" xr:uid="{DF8BE0DD-8CFB-4765-BDBF-A396E5B851E1}"/>
    <hyperlink ref="F1" location="PRINCIPAL!E188" tooltip="ir a Servicios de Operador" display="Servicios Operador" xr:uid="{1B1CB972-8263-4EE9-AA5B-0625C15A3840}"/>
    <hyperlink ref="G1" location="PROPUESTA!B12" tooltip="ir a la PROPUESTA" display="PROPUESTA" xr:uid="{CE101799-F822-49EF-8D60-37D56FA7DF7A}"/>
    <hyperlink ref="D1" location="PRINCIPAL!C111" tooltip="ir a terminales" display="Terminales" xr:uid="{34EF1041-CFF7-4509-AE83-CB8E7B73F84D}"/>
  </hyperlinks>
  <pageMargins left="0.25" right="0.25" top="0.75" bottom="0.75" header="0.3" footer="0.3"/>
  <pageSetup paperSize="9" scale="4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A7E66-E42A-4AB7-ACFC-D6251F4750D8}">
  <sheetPr codeName="Hoja5">
    <pageSetUpPr fitToPage="1"/>
  </sheetPr>
  <dimension ref="A1:F88"/>
  <sheetViews>
    <sheetView showGridLines="0" zoomScale="91" zoomScaleNormal="91" workbookViewId="0">
      <pane ySplit="1" topLeftCell="A26" activePane="bottomLeft" state="frozen"/>
      <selection pane="bottomLeft" activeCell="C34" sqref="C34"/>
    </sheetView>
  </sheetViews>
  <sheetFormatPr baseColWidth="10" defaultColWidth="0" defaultRowHeight="16.5" zeroHeight="1" x14ac:dyDescent="0.3"/>
  <cols>
    <col min="1" max="1" width="21.375" customWidth="1"/>
    <col min="2" max="2" width="60.625" customWidth="1"/>
    <col min="3" max="3" width="12.625" customWidth="1"/>
    <col min="4" max="5" width="15.625" customWidth="1"/>
    <col min="6" max="6" width="11" customWidth="1"/>
    <col min="7" max="16384" width="11" hidden="1"/>
  </cols>
  <sheetData>
    <row r="1" spans="1:6" ht="30" customHeight="1" x14ac:dyDescent="0.3">
      <c r="A1" s="49"/>
      <c r="B1" s="350" t="s">
        <v>226</v>
      </c>
      <c r="C1" s="298" t="s">
        <v>229</v>
      </c>
      <c r="D1" s="298" t="s">
        <v>241</v>
      </c>
      <c r="E1" s="298" t="s">
        <v>227</v>
      </c>
      <c r="F1" s="52"/>
    </row>
    <row r="2" spans="1:6" x14ac:dyDescent="0.3"/>
    <row r="3" spans="1:6" x14ac:dyDescent="0.3"/>
    <row r="4" spans="1:6" x14ac:dyDescent="0.3"/>
    <row r="5" spans="1:6" x14ac:dyDescent="0.3"/>
    <row r="6" spans="1:6" x14ac:dyDescent="0.3"/>
    <row r="7" spans="1:6" x14ac:dyDescent="0.3"/>
    <row r="8" spans="1:6" x14ac:dyDescent="0.3"/>
    <row r="9" spans="1:6" x14ac:dyDescent="0.3">
      <c r="A9" s="56" t="s">
        <v>256</v>
      </c>
    </row>
    <row r="10" spans="1:6" x14ac:dyDescent="0.3"/>
    <row r="11" spans="1:6" x14ac:dyDescent="0.3"/>
    <row r="12" spans="1:6" ht="28.5" x14ac:dyDescent="0.4">
      <c r="A12" s="23" t="s">
        <v>202</v>
      </c>
      <c r="B12" s="24"/>
      <c r="D12" s="29"/>
      <c r="E12" s="29"/>
    </row>
    <row r="13" spans="1:6" x14ac:dyDescent="0.3">
      <c r="A13" s="25" t="s">
        <v>203</v>
      </c>
      <c r="B13" s="28"/>
      <c r="D13" s="30"/>
      <c r="E13" s="33"/>
    </row>
    <row r="14" spans="1:6" x14ac:dyDescent="0.3">
      <c r="A14" s="25" t="s">
        <v>204</v>
      </c>
      <c r="B14" s="28"/>
      <c r="C14" s="28"/>
      <c r="D14" s="31"/>
      <c r="E14" s="34"/>
    </row>
    <row r="15" spans="1:6" x14ac:dyDescent="0.3">
      <c r="A15" s="26"/>
      <c r="B15" s="28"/>
      <c r="C15" s="28"/>
      <c r="D15" s="30"/>
      <c r="E15" s="33"/>
    </row>
    <row r="16" spans="1:6" x14ac:dyDescent="0.3">
      <c r="A16" s="25" t="s">
        <v>205</v>
      </c>
      <c r="B16" s="27"/>
      <c r="C16" s="27"/>
      <c r="D16" s="31"/>
      <c r="E16" s="34"/>
    </row>
    <row r="17" spans="1:5" x14ac:dyDescent="0.3">
      <c r="A17" s="25" t="s">
        <v>206</v>
      </c>
      <c r="B17" s="27"/>
      <c r="C17" s="27"/>
      <c r="D17" s="32"/>
      <c r="E17" s="35"/>
    </row>
    <row r="18" spans="1:5" x14ac:dyDescent="0.3">
      <c r="A18" s="308"/>
      <c r="B18" s="309"/>
      <c r="C18" s="310" t="s">
        <v>207</v>
      </c>
      <c r="D18" s="310" t="s">
        <v>209</v>
      </c>
      <c r="E18" s="310" t="s">
        <v>240</v>
      </c>
    </row>
    <row r="19" spans="1:5" x14ac:dyDescent="0.3">
      <c r="A19" s="319" t="s">
        <v>469</v>
      </c>
      <c r="B19" s="320"/>
      <c r="C19" s="321">
        <v>1</v>
      </c>
      <c r="D19" s="322">
        <f>PRINCIPAL!C5</f>
        <v>0</v>
      </c>
      <c r="E19" s="323">
        <f>IF(AND(C19="",D19=""),"",C19*D19)</f>
        <v>0</v>
      </c>
    </row>
    <row r="20" spans="1:5" ht="39.950000000000003" customHeight="1" x14ac:dyDescent="0.3">
      <c r="A20" s="312" t="str">
        <f>PRINCIPAL!A3</f>
        <v>Por Definir</v>
      </c>
      <c r="B20" s="299" t="str">
        <f>IF(PRINCIPAL!B8=0,"Por definir","Suministro e instalación de " &amp;IF(PRINCIPAL!VALIDADOR_INIMBUSESP,PRINCIPAL!I46,INDEX(PRINCIPAL!C46:I50,1,PRINCIPAL!D385-1)))</f>
        <v>Por definir</v>
      </c>
      <c r="C20" s="300"/>
      <c r="D20" s="301"/>
      <c r="E20" s="313"/>
    </row>
    <row r="21" spans="1:5" ht="18.75" x14ac:dyDescent="0.3">
      <c r="A21" s="314"/>
      <c r="B21" s="318" t="s">
        <v>463</v>
      </c>
      <c r="C21" s="300"/>
      <c r="D21" s="301"/>
      <c r="E21" s="313" t="str">
        <f>IF(AND(C21="",D21=""),"",C21*D21)</f>
        <v/>
      </c>
    </row>
    <row r="22" spans="1:5" ht="17.25" x14ac:dyDescent="0.3">
      <c r="A22" s="314"/>
      <c r="B22" s="324" t="str">
        <f>"Terminal de Operadora: "&amp;IF(PRINCIPAL!D385&lt;=1,"Por Definir",INDEX(PRINCIPAL!C56:I56,1,PRINCIPAL!D385-1))</f>
        <v>Terminal de Operadora: Por Definir</v>
      </c>
      <c r="C22" s="300"/>
      <c r="D22" s="301"/>
      <c r="E22" s="313" t="str">
        <f>IF(AND(C22="",D22=""),"",C22*D22)</f>
        <v/>
      </c>
    </row>
    <row r="23" spans="1:5" ht="100.5" customHeight="1" x14ac:dyDescent="0.3">
      <c r="A23" s="314"/>
      <c r="B23" s="324" t="str">
        <f>"Terminal(es) Adicional(es) incluídos en la propuesta: "&amp;PRINCIPAL!N393</f>
        <v>Terminal(es) Adicional(es) incluídos en la propuesta: No se ha seleccionado ninguno</v>
      </c>
      <c r="C23" s="303"/>
      <c r="D23" s="301"/>
      <c r="E23" s="313"/>
    </row>
    <row r="24" spans="1:5" ht="60" customHeight="1" x14ac:dyDescent="0.3">
      <c r="A24" s="314"/>
      <c r="B24" s="369" t="s">
        <v>645</v>
      </c>
      <c r="C24" s="372"/>
      <c r="D24" s="301"/>
      <c r="E24" s="313"/>
    </row>
    <row r="25" spans="1:5" ht="17.25" x14ac:dyDescent="0.3">
      <c r="A25" s="314"/>
      <c r="B25" s="324" t="s">
        <v>17</v>
      </c>
      <c r="C25" s="304" t="str">
        <f>INDEX(PRINCIPAL!$C$60:$I$67,1,PRINCIPAL!$D$385-1)</f>
        <v xml:space="preserve"> Incluída</v>
      </c>
      <c r="D25" s="301"/>
      <c r="E25" s="313"/>
    </row>
    <row r="26" spans="1:5" ht="17.25" x14ac:dyDescent="0.3">
      <c r="A26" s="314"/>
      <c r="B26" s="324" t="s">
        <v>249</v>
      </c>
      <c r="C26" s="304" t="str">
        <f>INDEX(PRINCIPAL!$C$60:$I$67,3,PRINCIPAL!$D$385-1)</f>
        <v>Incluida</v>
      </c>
      <c r="D26" s="301"/>
      <c r="E26" s="313"/>
    </row>
    <row r="27" spans="1:5" ht="17.25" x14ac:dyDescent="0.3">
      <c r="A27" s="314"/>
      <c r="B27" s="324" t="s">
        <v>250</v>
      </c>
      <c r="C27" s="304" t="str">
        <f>INDEX(PRINCIPAL!$C$60:$I$67,4,PRINCIPAL!$D$385-1)</f>
        <v>1 Año</v>
      </c>
      <c r="D27" s="301"/>
      <c r="E27" s="313"/>
    </row>
    <row r="28" spans="1:5" ht="17.25" x14ac:dyDescent="0.3">
      <c r="A28" s="314"/>
      <c r="B28" s="325" t="s">
        <v>53</v>
      </c>
      <c r="C28" s="304" t="str">
        <f>INDEX(PRINCIPAL!$C$60:$I$67,6,PRINCIPAL!$D$385-1)</f>
        <v>No Incluída</v>
      </c>
      <c r="D28" s="301"/>
      <c r="E28" s="313"/>
    </row>
    <row r="29" spans="1:5" ht="17.25" x14ac:dyDescent="0.3">
      <c r="A29" s="314"/>
      <c r="B29" s="325" t="s">
        <v>54</v>
      </c>
      <c r="C29" s="304" t="str">
        <f>INDEX(PRINCIPAL!$C$60:$I$67,8,PRINCIPAL!$D$385-1)</f>
        <v>No Incluída</v>
      </c>
      <c r="D29" s="301"/>
      <c r="E29" s="313"/>
    </row>
    <row r="30" spans="1:5" ht="17.25" x14ac:dyDescent="0.3">
      <c r="A30" s="314"/>
      <c r="B30" s="325"/>
      <c r="C30" s="304"/>
      <c r="D30" s="301"/>
      <c r="E30" s="313"/>
    </row>
    <row r="31" spans="1:5" x14ac:dyDescent="0.3">
      <c r="A31" s="319" t="s">
        <v>468</v>
      </c>
      <c r="B31" s="320"/>
      <c r="C31" s="326">
        <v>1</v>
      </c>
      <c r="D31" s="327">
        <f>PRINCIPAL!D5</f>
        <v>0</v>
      </c>
      <c r="E31" s="328">
        <f>D31*C31</f>
        <v>0</v>
      </c>
    </row>
    <row r="32" spans="1:5" ht="17.25" x14ac:dyDescent="0.3">
      <c r="A32" s="314"/>
      <c r="B32" s="299" t="str">
        <f>"Tarifa "&amp;PRINCIPAL!E188&amp;" de Llamadas iNimbus"</f>
        <v>Tarifa PLANA de Llamadas iNimbus</v>
      </c>
      <c r="C32" s="305">
        <v>1</v>
      </c>
      <c r="D32" s="301">
        <f>PRINCIPAL!I504+PRINCIPAL!I512+PRINCIPAL!I515+PRINCIPAL!I516+PRINCIPAL!J521</f>
        <v>0</v>
      </c>
      <c r="E32" s="313"/>
    </row>
    <row r="33" spans="1:5" s="334" customFormat="1" ht="24.95" customHeight="1" x14ac:dyDescent="0.3">
      <c r="A33" s="335"/>
      <c r="B33" s="336" t="s">
        <v>463</v>
      </c>
      <c r="C33" s="337"/>
      <c r="D33" s="338"/>
      <c r="E33" s="339"/>
    </row>
    <row r="34" spans="1:5" ht="17.25" x14ac:dyDescent="0.3">
      <c r="A34" s="314"/>
      <c r="B34" s="324" t="s">
        <v>257</v>
      </c>
      <c r="C34" s="305">
        <f>PRINCIPAL!K386</f>
        <v>0</v>
      </c>
      <c r="D34" s="301"/>
      <c r="E34" s="313"/>
    </row>
    <row r="35" spans="1:5" ht="17.25" x14ac:dyDescent="0.3">
      <c r="A35" s="314"/>
      <c r="B35" s="324" t="s">
        <v>258</v>
      </c>
      <c r="C35" s="305">
        <f>IF(PRINCIPAL!E188=PRINCIPAL!D310,INDEX(PRINCIPAL!$C$71:$I$77,2,PRINCIPAL!$D$385-1),PRINCIPAL!M524)</f>
        <v>1</v>
      </c>
      <c r="D35" s="301"/>
      <c r="E35" s="313"/>
    </row>
    <row r="36" spans="1:5" ht="17.25" x14ac:dyDescent="0.3">
      <c r="A36" s="314"/>
      <c r="B36" s="324" t="s">
        <v>259</v>
      </c>
      <c r="C36" s="305" t="str">
        <f>IF(PRINCIPAL!$E$188=PRINCIPAL!$D$310,INDEX(PRINCIPAL!$C$71:$I$77,3,PRINCIPAL!$D$385-1),PRINCIPAL!$E$216&amp;" (*)")</f>
        <v>ilimitadas</v>
      </c>
      <c r="D36" s="301"/>
      <c r="E36" s="313"/>
    </row>
    <row r="37" spans="1:5" ht="17.25" x14ac:dyDescent="0.3">
      <c r="A37" s="314"/>
      <c r="B37" s="324" t="s">
        <v>20</v>
      </c>
      <c r="C37" s="305" t="str">
        <f>IF(PRINCIPAL!$E$188=PRINCIPAL!$D$310,INDEX(PRINCIPAL!$C$71:$I$77,3,PRINCIPAL!$D$385-1),PRINCIPAL!$E$216&amp;" (*)")</f>
        <v>ilimitadas</v>
      </c>
      <c r="D37" s="301"/>
      <c r="E37" s="313"/>
    </row>
    <row r="38" spans="1:5" ht="17.25" x14ac:dyDescent="0.3">
      <c r="A38" s="314"/>
      <c r="B38" s="324" t="s">
        <v>236</v>
      </c>
      <c r="C38" s="305" t="str">
        <f>IF(PRINCIPAL!$E$188=PRINCIPAL!$D$310,INDEX(PRINCIPAL!$C$71:$I$77,3,PRINCIPAL!$D$385-1),PRINCIPAL!$E$216&amp;" (*)")</f>
        <v>ilimitadas</v>
      </c>
      <c r="D38" s="301"/>
      <c r="E38" s="313"/>
    </row>
    <row r="39" spans="1:5" ht="17.25" x14ac:dyDescent="0.3">
      <c r="A39" s="314"/>
      <c r="B39" s="302"/>
      <c r="C39" s="305"/>
      <c r="D39" s="301"/>
      <c r="E39" s="313"/>
    </row>
    <row r="40" spans="1:5" ht="17.25" x14ac:dyDescent="0.3">
      <c r="A40" s="314"/>
      <c r="B40" s="302"/>
      <c r="C40" s="305"/>
      <c r="D40" s="301"/>
      <c r="E40" s="313"/>
    </row>
    <row r="41" spans="1:5" ht="17.25" x14ac:dyDescent="0.3">
      <c r="A41" s="329"/>
      <c r="B41" s="340" t="s">
        <v>260</v>
      </c>
      <c r="C41" s="300">
        <f>PRINCIPAL!H517</f>
        <v>0</v>
      </c>
      <c r="D41" s="301">
        <f>(C41)*PRINCIPAL!G517</f>
        <v>0</v>
      </c>
      <c r="E41" s="313"/>
    </row>
    <row r="42" spans="1:5" ht="17.25" x14ac:dyDescent="0.3">
      <c r="A42" s="314"/>
      <c r="B42" s="324" t="s">
        <v>261</v>
      </c>
      <c r="C42" s="300" t="str">
        <f>IF(PRINCIPAL!H522&gt;0,"Incluida","No Incluida")</f>
        <v>No Incluida</v>
      </c>
      <c r="D42" s="301">
        <f>PRINCIPAL!I522</f>
        <v>0</v>
      </c>
      <c r="E42" s="313"/>
    </row>
    <row r="43" spans="1:5" ht="17.25" x14ac:dyDescent="0.3">
      <c r="A43" s="314"/>
      <c r="B43" s="324" t="s">
        <v>495</v>
      </c>
      <c r="C43" s="300" t="str">
        <f>IF(PRINCIPAL!E236=PRINCIPAL!$H$310,"Incluida","No Incluida")</f>
        <v>No Incluida</v>
      </c>
      <c r="D43" s="301">
        <f>PRINCIPAL!I523</f>
        <v>0</v>
      </c>
      <c r="E43" s="313"/>
    </row>
    <row r="44" spans="1:5" ht="17.25" x14ac:dyDescent="0.3">
      <c r="A44" s="314"/>
      <c r="B44" s="324" t="s">
        <v>22</v>
      </c>
      <c r="C44" s="306" t="str">
        <f>"Gratis"</f>
        <v>Gratis</v>
      </c>
      <c r="D44" s="301"/>
      <c r="E44" s="313"/>
    </row>
    <row r="45" spans="1:5" ht="17.25" x14ac:dyDescent="0.3">
      <c r="A45" s="314"/>
      <c r="B45" s="324" t="s">
        <v>464</v>
      </c>
      <c r="C45" s="306" t="str">
        <f>IF(PRINCIPAL!E188=PRINCIPAL!D310,INDEX(PRINCIPAL!$C$71:$I$77,7,PRINCIPAL!$D$385-1),IF(PRINCIPAL!E247=PRINCIPAL!B311,"Fibra 300Mb",PRINCIPAL!B310))</f>
        <v>No Incluída</v>
      </c>
      <c r="D45" s="301">
        <f>PRINCIPAL!I525</f>
        <v>0</v>
      </c>
      <c r="E45" s="313"/>
    </row>
    <row r="46" spans="1:5" ht="17.25" x14ac:dyDescent="0.3">
      <c r="A46" s="314"/>
      <c r="B46" s="324" t="s">
        <v>465</v>
      </c>
      <c r="C46" s="305">
        <f>PRINCIPAL!H526</f>
        <v>0</v>
      </c>
      <c r="D46" s="301">
        <f>PRINCIPAL!G526*C46</f>
        <v>0</v>
      </c>
      <c r="E46" s="313"/>
    </row>
    <row r="47" spans="1:5" ht="17.25" x14ac:dyDescent="0.3">
      <c r="A47" s="314"/>
      <c r="B47" s="324" t="s">
        <v>466</v>
      </c>
      <c r="C47" s="305">
        <f>PRINCIPAL!H527</f>
        <v>0</v>
      </c>
      <c r="D47" s="301">
        <f>PRINCIPAL!G527*C47</f>
        <v>0</v>
      </c>
      <c r="E47" s="313"/>
    </row>
    <row r="48" spans="1:5" ht="17.25" x14ac:dyDescent="0.3">
      <c r="A48" s="315"/>
      <c r="B48" s="341"/>
      <c r="C48" s="330"/>
      <c r="D48" s="316"/>
      <c r="E48" s="317"/>
    </row>
    <row r="49" spans="1:5" x14ac:dyDescent="0.3">
      <c r="A49" s="319" t="s">
        <v>470</v>
      </c>
      <c r="B49" s="320"/>
      <c r="C49" s="326">
        <f>IF(PRINCIPAL!E5&gt;0,1,0)</f>
        <v>0</v>
      </c>
      <c r="D49" s="327">
        <f>D50</f>
        <v>0</v>
      </c>
      <c r="E49" s="328">
        <f>D49*C49</f>
        <v>0</v>
      </c>
    </row>
    <row r="50" spans="1:5" ht="17.25" x14ac:dyDescent="0.3">
      <c r="A50" s="329"/>
      <c r="B50" s="307" t="s">
        <v>467</v>
      </c>
      <c r="C50" s="300">
        <f>PRINCIPAL!H535</f>
        <v>0</v>
      </c>
      <c r="D50" s="301">
        <f>PRINCIPAL!G535*C50</f>
        <v>0</v>
      </c>
      <c r="E50" s="313"/>
    </row>
    <row r="51" spans="1:5" ht="17.25" x14ac:dyDescent="0.3">
      <c r="A51" s="331"/>
      <c r="B51" s="332"/>
      <c r="C51" s="333"/>
      <c r="D51" s="316"/>
      <c r="E51" s="317"/>
    </row>
    <row r="52" spans="1:5" x14ac:dyDescent="0.3">
      <c r="C52" s="63"/>
      <c r="D52" s="63"/>
      <c r="E52" s="63"/>
    </row>
    <row r="53" spans="1:5" ht="18.75" x14ac:dyDescent="0.3">
      <c r="A53" s="424" t="s">
        <v>494</v>
      </c>
      <c r="B53" s="425"/>
      <c r="C53" s="422" t="str">
        <f>"Sub Total "&amp;PRINCIPAL!B5&amp;" Meses:"</f>
        <v>Sub Total 24 Meses:</v>
      </c>
      <c r="D53" s="423"/>
      <c r="E53" s="157">
        <f>SUM(E19:E52)</f>
        <v>0</v>
      </c>
    </row>
    <row r="54" spans="1:5" ht="17.25" thickBot="1" x14ac:dyDescent="0.35">
      <c r="A54" s="36" t="s">
        <v>218</v>
      </c>
      <c r="B54" s="37" t="s">
        <v>219</v>
      </c>
      <c r="C54" s="38" t="s">
        <v>220</v>
      </c>
      <c r="D54" s="55">
        <v>0.21</v>
      </c>
      <c r="E54" s="39">
        <f>E53*D54</f>
        <v>0</v>
      </c>
    </row>
    <row r="55" spans="1:5" ht="17.25" thickTop="1" x14ac:dyDescent="0.3">
      <c r="C55" s="63"/>
      <c r="D55" s="63"/>
      <c r="E55" s="63"/>
    </row>
    <row r="56" spans="1:5" ht="18.75" x14ac:dyDescent="0.3">
      <c r="A56" s="418"/>
      <c r="B56" s="419"/>
      <c r="C56" s="158" t="str">
        <f>"Total cuota "&amp;PRINCIPAL!B5&amp;" Meses:"</f>
        <v>Total cuota 24 Meses:</v>
      </c>
      <c r="D56" s="40"/>
      <c r="E56" s="41">
        <f>E53+E54</f>
        <v>0</v>
      </c>
    </row>
    <row r="57" spans="1:5" x14ac:dyDescent="0.3"/>
    <row r="58" spans="1:5" x14ac:dyDescent="0.3"/>
    <row r="59" spans="1:5" x14ac:dyDescent="0.3">
      <c r="A59" s="47" t="s">
        <v>262</v>
      </c>
      <c r="B59" s="57"/>
      <c r="C59" s="57"/>
      <c r="D59" s="57"/>
      <c r="E59" s="58"/>
    </row>
    <row r="60" spans="1:5" x14ac:dyDescent="0.3">
      <c r="A60" s="59"/>
      <c r="B60" s="3"/>
      <c r="C60" s="3"/>
      <c r="D60" s="3"/>
      <c r="E60" s="60"/>
    </row>
    <row r="61" spans="1:5" x14ac:dyDescent="0.3">
      <c r="A61" s="48"/>
      <c r="B61" s="2"/>
      <c r="C61" s="2"/>
      <c r="D61" s="2"/>
      <c r="E61" s="61"/>
    </row>
    <row r="62" spans="1:5" x14ac:dyDescent="0.3">
      <c r="A62" s="387" t="str">
        <f>IF(PRINCIPAL!$E$188=PRINCIPAL!$D$310,"",PRINCIPAL!$E$196&amp;" (*): Son el total de Minutos a REPARTIR entre todos los destinos Nacionales, Internacionales Zona 1 y Móviles Nacionales")</f>
        <v/>
      </c>
      <c r="B62" s="3"/>
      <c r="C62" s="3"/>
      <c r="D62" s="3"/>
      <c r="E62" s="60"/>
    </row>
    <row r="63" spans="1:5" x14ac:dyDescent="0.3">
      <c r="A63" s="59"/>
      <c r="B63" s="3"/>
      <c r="C63" s="3"/>
      <c r="D63" s="3"/>
      <c r="E63" s="60"/>
    </row>
    <row r="64" spans="1:5" x14ac:dyDescent="0.3">
      <c r="A64" s="48"/>
      <c r="B64" s="2"/>
      <c r="C64" s="2"/>
      <c r="D64" s="2"/>
      <c r="E64" s="61"/>
    </row>
    <row r="65" spans="1:6" x14ac:dyDescent="0.3"/>
    <row r="66" spans="1:6" ht="20.100000000000001" customHeight="1" x14ac:dyDescent="0.3">
      <c r="A66" s="420" t="s">
        <v>251</v>
      </c>
      <c r="B66" s="420"/>
      <c r="C66" s="420"/>
      <c r="D66" s="420"/>
      <c r="E66" s="420"/>
    </row>
    <row r="67" spans="1:6" ht="20.100000000000001" customHeight="1" x14ac:dyDescent="0.3">
      <c r="A67" s="420"/>
      <c r="B67" s="420"/>
      <c r="C67" s="420"/>
      <c r="D67" s="420"/>
      <c r="E67" s="420"/>
    </row>
    <row r="68" spans="1:6" ht="20.100000000000001" customHeight="1" x14ac:dyDescent="0.3">
      <c r="A68" s="420"/>
      <c r="B68" s="420"/>
      <c r="C68" s="420"/>
      <c r="D68" s="420"/>
      <c r="E68" s="420"/>
    </row>
    <row r="69" spans="1:6" ht="20.100000000000001" customHeight="1" x14ac:dyDescent="0.3">
      <c r="A69" s="421" t="s">
        <v>252</v>
      </c>
      <c r="B69" s="421"/>
      <c r="C69" s="421"/>
      <c r="D69" s="421"/>
      <c r="E69" s="421"/>
    </row>
    <row r="70" spans="1:6" ht="20.100000000000001" customHeight="1" x14ac:dyDescent="0.3">
      <c r="A70" s="421"/>
      <c r="B70" s="421"/>
      <c r="C70" s="421"/>
      <c r="D70" s="421"/>
      <c r="E70" s="421"/>
    </row>
    <row r="71" spans="1:6" ht="20.100000000000001" customHeight="1" x14ac:dyDescent="0.3">
      <c r="A71" s="421"/>
      <c r="B71" s="421"/>
      <c r="C71" s="421"/>
      <c r="D71" s="421"/>
      <c r="E71" s="421"/>
    </row>
    <row r="72" spans="1:6" x14ac:dyDescent="0.3"/>
    <row r="73" spans="1:6" ht="17.25" x14ac:dyDescent="0.3">
      <c r="A73" s="62" t="s">
        <v>264</v>
      </c>
      <c r="B73" s="53"/>
      <c r="C73" s="52"/>
      <c r="D73" s="52"/>
      <c r="E73" s="52"/>
      <c r="F73" s="52"/>
    </row>
    <row r="74" spans="1:6" x14ac:dyDescent="0.3">
      <c r="A74" s="49"/>
      <c r="B74" s="62" t="s">
        <v>265</v>
      </c>
      <c r="C74" s="52"/>
      <c r="D74" s="52"/>
      <c r="E74" s="52"/>
      <c r="F74" s="52"/>
    </row>
    <row r="75" spans="1:6" x14ac:dyDescent="0.3">
      <c r="A75" s="49"/>
      <c r="B75" s="62" t="s">
        <v>263</v>
      </c>
      <c r="C75" s="52"/>
      <c r="D75" s="52"/>
      <c r="E75" s="52"/>
      <c r="F75" s="52"/>
    </row>
    <row r="76" spans="1:6" x14ac:dyDescent="0.3">
      <c r="A76" s="49"/>
      <c r="B76" s="53"/>
      <c r="C76" s="52"/>
      <c r="D76" s="52"/>
      <c r="E76" s="52"/>
      <c r="F76" s="52"/>
    </row>
    <row r="77" spans="1:6" x14ac:dyDescent="0.3">
      <c r="A77" s="49"/>
      <c r="B77" s="53"/>
      <c r="C77" s="52"/>
      <c r="D77" s="52"/>
      <c r="E77" s="52"/>
      <c r="F77" s="52"/>
    </row>
    <row r="78" spans="1:6" hidden="1" x14ac:dyDescent="0.3"/>
    <row r="79" spans="1:6" hidden="1" x14ac:dyDescent="0.3"/>
    <row r="80" spans="1:6" hidden="1" x14ac:dyDescent="0.3"/>
    <row r="81" hidden="1" x14ac:dyDescent="0.3"/>
    <row r="82" hidden="1" x14ac:dyDescent="0.3"/>
    <row r="83" hidden="1" x14ac:dyDescent="0.3"/>
    <row r="84" x14ac:dyDescent="0.3"/>
    <row r="85" hidden="1" x14ac:dyDescent="0.3"/>
    <row r="86" hidden="1" x14ac:dyDescent="0.3"/>
    <row r="87" hidden="1" x14ac:dyDescent="0.3"/>
    <row r="88" hidden="1" x14ac:dyDescent="0.3"/>
  </sheetData>
  <sheetProtection algorithmName="SHA-512" hashValue="CLUs4OA8bHY2hmvY4ttLJlGe07BbVGXz07CfX7wH6IGd8QhMpPjKWVpTnhZG20SgnIuEoa93m/99N3LptXRD2A==" saltValue="xyO1gvrm/ya3YuCe2L88aQ==" spinCount="100000" sheet="1" objects="1" scenarios="1"/>
  <customSheetViews>
    <customSheetView guid="{78BCF711-36CD-4005-AB9C-5BA306474D9D}" scale="91" showGridLines="0" hiddenColumns="1">
      <pane ySplit="11" topLeftCell="A32" activePane="bottomLeft" state="frozen"/>
      <selection pane="bottomLeft" activeCell="A14" sqref="A14:E60"/>
      <pageMargins left="0.7" right="0.7" top="0.75" bottom="0.75" header="0.3" footer="0.3"/>
    </customSheetView>
  </customSheetViews>
  <mergeCells count="5">
    <mergeCell ref="A56:B56"/>
    <mergeCell ref="A66:E68"/>
    <mergeCell ref="A69:E71"/>
    <mergeCell ref="C53:D53"/>
    <mergeCell ref="A53:B53"/>
  </mergeCells>
  <conditionalFormatting sqref="D13">
    <cfRule type="expression" dxfId="47" priority="75" stopIfTrue="1">
      <formula>$N13=TRUE</formula>
    </cfRule>
  </conditionalFormatting>
  <conditionalFormatting sqref="D13">
    <cfRule type="expression" dxfId="46" priority="74" stopIfTrue="1">
      <formula>$N13=TRUE</formula>
    </cfRule>
  </conditionalFormatting>
  <conditionalFormatting sqref="D13">
    <cfRule type="expression" dxfId="45" priority="73" stopIfTrue="1">
      <formula>$N13=TRUE</formula>
    </cfRule>
  </conditionalFormatting>
  <conditionalFormatting sqref="D13">
    <cfRule type="expression" dxfId="44" priority="72" stopIfTrue="1">
      <formula>$N13=TRUE</formula>
    </cfRule>
  </conditionalFormatting>
  <conditionalFormatting sqref="D13">
    <cfRule type="expression" dxfId="43" priority="71" stopIfTrue="1">
      <formula>$N13=TRUE</formula>
    </cfRule>
  </conditionalFormatting>
  <conditionalFormatting sqref="D13">
    <cfRule type="expression" dxfId="42" priority="70" stopIfTrue="1">
      <formula>$N13=TRUE</formula>
    </cfRule>
  </conditionalFormatting>
  <conditionalFormatting sqref="D13">
    <cfRule type="expression" dxfId="41" priority="69" stopIfTrue="1">
      <formula>$N13=TRUE</formula>
    </cfRule>
  </conditionalFormatting>
  <conditionalFormatting sqref="D13">
    <cfRule type="expression" dxfId="40" priority="68" stopIfTrue="1">
      <formula>$N13=TRUE</formula>
    </cfRule>
  </conditionalFormatting>
  <conditionalFormatting sqref="D13">
    <cfRule type="expression" dxfId="39" priority="67" stopIfTrue="1">
      <formula>$N13=TRUE</formula>
    </cfRule>
  </conditionalFormatting>
  <conditionalFormatting sqref="D13">
    <cfRule type="expression" dxfId="38" priority="66" stopIfTrue="1">
      <formula>$N13=TRUE</formula>
    </cfRule>
  </conditionalFormatting>
  <conditionalFormatting sqref="D13">
    <cfRule type="expression" dxfId="37" priority="65" stopIfTrue="1">
      <formula>$N13=TRUE</formula>
    </cfRule>
  </conditionalFormatting>
  <conditionalFormatting sqref="D13">
    <cfRule type="expression" dxfId="36" priority="64" stopIfTrue="1">
      <formula>$N13=TRUE</formula>
    </cfRule>
  </conditionalFormatting>
  <conditionalFormatting sqref="D13">
    <cfRule type="expression" dxfId="35" priority="63" stopIfTrue="1">
      <formula>$N13=TRUE</formula>
    </cfRule>
  </conditionalFormatting>
  <conditionalFormatting sqref="D13">
    <cfRule type="expression" dxfId="34" priority="62" stopIfTrue="1">
      <formula>$N13=TRUE</formula>
    </cfRule>
  </conditionalFormatting>
  <conditionalFormatting sqref="D13">
    <cfRule type="expression" dxfId="33" priority="61" stopIfTrue="1">
      <formula>$N13=TRUE</formula>
    </cfRule>
  </conditionalFormatting>
  <conditionalFormatting sqref="D15">
    <cfRule type="expression" dxfId="32" priority="60" stopIfTrue="1">
      <formula>$N15=TRUE</formula>
    </cfRule>
  </conditionalFormatting>
  <conditionalFormatting sqref="D15">
    <cfRule type="expression" dxfId="31" priority="59" stopIfTrue="1">
      <formula>$N15=TRUE</formula>
    </cfRule>
  </conditionalFormatting>
  <conditionalFormatting sqref="D15">
    <cfRule type="expression" dxfId="30" priority="58" stopIfTrue="1">
      <formula>$N15=TRUE</formula>
    </cfRule>
  </conditionalFormatting>
  <conditionalFormatting sqref="D15">
    <cfRule type="expression" dxfId="29" priority="57" stopIfTrue="1">
      <formula>$N15=TRUE</formula>
    </cfRule>
  </conditionalFormatting>
  <conditionalFormatting sqref="D15">
    <cfRule type="expression" dxfId="28" priority="56" stopIfTrue="1">
      <formula>$N15=TRUE</formula>
    </cfRule>
  </conditionalFormatting>
  <conditionalFormatting sqref="D15">
    <cfRule type="expression" dxfId="27" priority="55" stopIfTrue="1">
      <formula>$N15=TRUE</formula>
    </cfRule>
  </conditionalFormatting>
  <conditionalFormatting sqref="D15">
    <cfRule type="expression" dxfId="26" priority="54" stopIfTrue="1">
      <formula>$N15=TRUE</formula>
    </cfRule>
  </conditionalFormatting>
  <conditionalFormatting sqref="D15">
    <cfRule type="expression" dxfId="25" priority="53" stopIfTrue="1">
      <formula>$N15=TRUE</formula>
    </cfRule>
  </conditionalFormatting>
  <conditionalFormatting sqref="D15">
    <cfRule type="expression" dxfId="24" priority="52" stopIfTrue="1">
      <formula>$N15=TRUE</formula>
    </cfRule>
  </conditionalFormatting>
  <conditionalFormatting sqref="D15">
    <cfRule type="expression" dxfId="23" priority="51" stopIfTrue="1">
      <formula>$N15=TRUE</formula>
    </cfRule>
  </conditionalFormatting>
  <conditionalFormatting sqref="D15">
    <cfRule type="expression" dxfId="22" priority="50" stopIfTrue="1">
      <formula>$N15=TRUE</formula>
    </cfRule>
  </conditionalFormatting>
  <conditionalFormatting sqref="D15">
    <cfRule type="expression" dxfId="21" priority="49" stopIfTrue="1">
      <formula>$N15=TRUE</formula>
    </cfRule>
  </conditionalFormatting>
  <conditionalFormatting sqref="D15">
    <cfRule type="expression" dxfId="20" priority="48" stopIfTrue="1">
      <formula>$N15=TRUE</formula>
    </cfRule>
  </conditionalFormatting>
  <conditionalFormatting sqref="D15">
    <cfRule type="expression" dxfId="19" priority="47" stopIfTrue="1">
      <formula>$N15=TRUE</formula>
    </cfRule>
  </conditionalFormatting>
  <conditionalFormatting sqref="D15">
    <cfRule type="expression" dxfId="18" priority="46" stopIfTrue="1">
      <formula>$N15=TRUE</formula>
    </cfRule>
  </conditionalFormatting>
  <conditionalFormatting sqref="A54">
    <cfRule type="expression" dxfId="17" priority="33" stopIfTrue="1">
      <formula>$P53=TRUE</formula>
    </cfRule>
  </conditionalFormatting>
  <conditionalFormatting sqref="A19 A45 A38:A43 A35">
    <cfRule type="expression" dxfId="16" priority="32" stopIfTrue="1">
      <formula>$P19=TRUE</formula>
    </cfRule>
  </conditionalFormatting>
  <conditionalFormatting sqref="A20">
    <cfRule type="expression" dxfId="15" priority="31" stopIfTrue="1">
      <formula>$P20=TRUE</formula>
    </cfRule>
  </conditionalFormatting>
  <conditionalFormatting sqref="A21">
    <cfRule type="expression" dxfId="14" priority="30" stopIfTrue="1">
      <formula>$P21=TRUE</formula>
    </cfRule>
  </conditionalFormatting>
  <conditionalFormatting sqref="A22">
    <cfRule type="expression" dxfId="13" priority="29" stopIfTrue="1">
      <formula>$P22=TRUE</formula>
    </cfRule>
  </conditionalFormatting>
  <conditionalFormatting sqref="A23:A24">
    <cfRule type="expression" dxfId="12" priority="28" stopIfTrue="1">
      <formula>$P23=TRUE</formula>
    </cfRule>
  </conditionalFormatting>
  <conditionalFormatting sqref="A25 A27 A29:A30">
    <cfRule type="expression" dxfId="11" priority="19" stopIfTrue="1">
      <formula>$P25=TRUE</formula>
    </cfRule>
  </conditionalFormatting>
  <conditionalFormatting sqref="A26 A28">
    <cfRule type="expression" dxfId="10" priority="18" stopIfTrue="1">
      <formula>$P26=TRUE</formula>
    </cfRule>
  </conditionalFormatting>
  <conditionalFormatting sqref="A31">
    <cfRule type="expression" dxfId="9" priority="17" stopIfTrue="1">
      <formula>$P31=TRUE</formula>
    </cfRule>
  </conditionalFormatting>
  <conditionalFormatting sqref="A32:A33">
    <cfRule type="expression" dxfId="8" priority="16" stopIfTrue="1">
      <formula>$P32=TRUE</formula>
    </cfRule>
  </conditionalFormatting>
  <conditionalFormatting sqref="A34">
    <cfRule type="expression" dxfId="7" priority="15" stopIfTrue="1">
      <formula>$P34=TRUE</formula>
    </cfRule>
  </conditionalFormatting>
  <conditionalFormatting sqref="A36">
    <cfRule type="expression" dxfId="6" priority="13" stopIfTrue="1">
      <formula>$P36=TRUE</formula>
    </cfRule>
  </conditionalFormatting>
  <conditionalFormatting sqref="A37">
    <cfRule type="expression" dxfId="5" priority="12" stopIfTrue="1">
      <formula>$P37=TRUE</formula>
    </cfRule>
  </conditionalFormatting>
  <conditionalFormatting sqref="A44">
    <cfRule type="expression" dxfId="4" priority="10" stopIfTrue="1">
      <formula>$P44=TRUE</formula>
    </cfRule>
  </conditionalFormatting>
  <conditionalFormatting sqref="A50:A51">
    <cfRule type="expression" dxfId="3" priority="4" stopIfTrue="1">
      <formula>$P50=TRUE</formula>
    </cfRule>
  </conditionalFormatting>
  <conditionalFormatting sqref="A49">
    <cfRule type="expression" dxfId="2" priority="3" stopIfTrue="1">
      <formula>$P49=TRUE</formula>
    </cfRule>
  </conditionalFormatting>
  <conditionalFormatting sqref="A47:A48">
    <cfRule type="expression" dxfId="1" priority="2" stopIfTrue="1">
      <formula>$P47=TRUE</formula>
    </cfRule>
  </conditionalFormatting>
  <conditionalFormatting sqref="A46">
    <cfRule type="expression" dxfId="0" priority="1" stopIfTrue="1">
      <formula>$P46=TRUE</formula>
    </cfRule>
  </conditionalFormatting>
  <hyperlinks>
    <hyperlink ref="B1" location="PRINCIPAL!D32" tooltip="ir a Financiación" display="Financiación" xr:uid="{1708B9DC-ED49-445E-B700-A8FDD479C260}"/>
    <hyperlink ref="C1" location="PRINCIPAL!D36" tooltip="ir a Equipos" display="iNimbusVoIP" xr:uid="{6662D0F8-F072-400B-9041-1B1C78A88F37}"/>
    <hyperlink ref="D1" location="PRINCIPAL!E171" tooltip="ir a Instalación" display="Instalación" xr:uid="{99E701EB-D996-4337-989D-8782B4930180}"/>
    <hyperlink ref="E1" location="PRINCIPAL!E188" tooltip="ir a Servicios de Operador" display="Servicios Operador" xr:uid="{AF38E084-2621-498B-B487-535452E18E46}"/>
  </hyperlinks>
  <pageMargins left="0.7" right="0.7" top="0.75" bottom="0.75" header="0.3" footer="0.3"/>
  <pageSetup paperSize="9" scale="6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6</vt:i4>
      </vt:variant>
    </vt:vector>
  </HeadingPairs>
  <TitlesOfParts>
    <vt:vector size="7" baseType="lpstr">
      <vt:lpstr>Inicio</vt:lpstr>
      <vt:lpstr>PROPUESTA!Área_de_impresión</vt:lpstr>
      <vt:lpstr>COHEFICIEN</vt:lpstr>
      <vt:lpstr>EXT_FINALE</vt:lpstr>
      <vt:lpstr>Renting_Coef</vt:lpstr>
      <vt:lpstr>Renting_REF</vt:lpstr>
      <vt:lpstr>PRINCIPAL!VALIDADOR_INIMBUSESP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del Rosal Tabares</dc:creator>
  <cp:lastModifiedBy>Alejandro del Rosal Tabares</cp:lastModifiedBy>
  <cp:lastPrinted>2019-11-14T14:25:52Z</cp:lastPrinted>
  <dcterms:created xsi:type="dcterms:W3CDTF">2019-04-26T10:39:15Z</dcterms:created>
  <dcterms:modified xsi:type="dcterms:W3CDTF">2020-03-20T10:14:56Z</dcterms:modified>
</cp:coreProperties>
</file>