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Model" sheetId="2" r:id="rId5"/>
    <sheet state="visible" name="Revenue Quarterly Graph" sheetId="3" r:id="rId6"/>
    <sheet state="visible" name="Revenue Yearly Graph" sheetId="4" r:id="rId7"/>
    <sheet state="visible" name="iPhon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Releases iPhone 12</t>
      </text>
    </comment>
    <comment authorId="0" ref="R1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iPhone 13 launch</t>
      </text>
    </comment>
    <comment authorId="0" ref="W1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2B installed base</t>
      </text>
    </comment>
    <comment authorId="0" ref="G1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Statista</t>
      </text>
    </comment>
    <comment authorId="0" ref="Y2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Same y/y performance as Q223</t>
      </text>
    </comment>
  </commentList>
</comments>
</file>

<file path=xl/sharedStrings.xml><?xml version="1.0" encoding="utf-8"?>
<sst xmlns="http://schemas.openxmlformats.org/spreadsheetml/2006/main" count="241" uniqueCount="169">
  <si>
    <t>Price</t>
  </si>
  <si>
    <t>Q32023</t>
  </si>
  <si>
    <t>Shares</t>
  </si>
  <si>
    <t>MC</t>
  </si>
  <si>
    <t>Cash</t>
  </si>
  <si>
    <t>Debt</t>
  </si>
  <si>
    <t>EV</t>
  </si>
  <si>
    <t>10-Q, Q3 2023</t>
  </si>
  <si>
    <t>https://d18rn0p25nwr6d.cloudfront.net/CIK-0000320193/f8aaeabb-7a2a-479d-bf72-9559ff51ea5d.pdf</t>
  </si>
  <si>
    <t>Main</t>
  </si>
  <si>
    <t>FQ118</t>
  </si>
  <si>
    <t>FQ218</t>
  </si>
  <si>
    <t>FQ318</t>
  </si>
  <si>
    <t>FQ418</t>
  </si>
  <si>
    <t>FQ119</t>
  </si>
  <si>
    <t>FQ219</t>
  </si>
  <si>
    <t>FQ319</t>
  </si>
  <si>
    <t>FQ419</t>
  </si>
  <si>
    <t>FQ120</t>
  </si>
  <si>
    <t>FQ220</t>
  </si>
  <si>
    <t>FQ320</t>
  </si>
  <si>
    <t>FQ420</t>
  </si>
  <si>
    <t>FQ121</t>
  </si>
  <si>
    <t>FQ221</t>
  </si>
  <si>
    <t>FQ321</t>
  </si>
  <si>
    <t>FQ421</t>
  </si>
  <si>
    <t>FQ122</t>
  </si>
  <si>
    <t>FQ222</t>
  </si>
  <si>
    <t>FQ322</t>
  </si>
  <si>
    <t>FQ422</t>
  </si>
  <si>
    <t>FQ123</t>
  </si>
  <si>
    <t>FQ223</t>
  </si>
  <si>
    <t>FQ323</t>
  </si>
  <si>
    <t>FQ423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</si>
  <si>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</si>
  <si>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</si>
  <si>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</si>
  <si>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</si>
  <si>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</si>
  <si>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</si>
  <si>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</si>
  <si>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</si>
  <si>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</si>
  <si>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</si>
  <si>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</si>
  <si>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</si>
  <si>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</si>
  <si>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</si>
  <si>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</si>
  <si>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</si>
  <si>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</si>
  <si>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</si>
  <si>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</si>
  <si>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</si>
  <si>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</si>
  <si>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</si>
  <si>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</si>
  <si>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</si>
  <si>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</si>
  <si>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</si>
  <si>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</si>
  <si>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</si>
  <si>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</si>
  <si>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</si>
  <si>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</si>
  <si>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</si>
  <si>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</si>
  <si>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</si>
  <si>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</si>
  <si>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</si>
  <si>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</si>
  <si>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</si>
  <si>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</si>
  <si>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</si>
  <si>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</si>
  <si>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</si>
  <si>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</si>
  <si>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Americas</t>
  </si>
  <si>
    <t>Europe</t>
  </si>
  <si>
    <t>China</t>
  </si>
  <si>
    <t>Japan</t>
  </si>
  <si>
    <t>APAC</t>
  </si>
  <si>
    <t>iPhone</t>
  </si>
  <si>
    <t xml:space="preserve">  Units</t>
  </si>
  <si>
    <t xml:space="preserve">  ASP</t>
  </si>
  <si>
    <t>Mac</t>
  </si>
  <si>
    <t>iPad</t>
  </si>
  <si>
    <t>Wearables</t>
  </si>
  <si>
    <t>Products</t>
  </si>
  <si>
    <t>Services</t>
  </si>
  <si>
    <t>Revenue</t>
  </si>
  <si>
    <t>COP</t>
  </si>
  <si>
    <t>COS</t>
  </si>
  <si>
    <t>COGS</t>
  </si>
  <si>
    <t>Gross Profit</t>
  </si>
  <si>
    <t>R&amp;D</t>
  </si>
  <si>
    <t>SG&amp;A</t>
  </si>
  <si>
    <t>OpEx</t>
  </si>
  <si>
    <t>OpInc</t>
  </si>
  <si>
    <t>Interest</t>
  </si>
  <si>
    <t>Pretax Income</t>
  </si>
  <si>
    <t>Taxes</t>
  </si>
  <si>
    <t>Net Income</t>
  </si>
  <si>
    <t>EPS</t>
  </si>
  <si>
    <t>Revenue y/y</t>
  </si>
  <si>
    <t>Discount</t>
  </si>
  <si>
    <t>iPhone y/y</t>
  </si>
  <si>
    <t>Terminal</t>
  </si>
  <si>
    <t>Services y/y</t>
  </si>
  <si>
    <t>NPV</t>
  </si>
  <si>
    <t>Gross Margin</t>
  </si>
  <si>
    <t>Share</t>
  </si>
  <si>
    <t>Services Margin</t>
  </si>
  <si>
    <t>-</t>
  </si>
  <si>
    <t>Upside</t>
  </si>
  <si>
    <t>Products Margin</t>
  </si>
  <si>
    <t>Operating Margin</t>
  </si>
  <si>
    <t>Tax Rate</t>
  </si>
  <si>
    <t>Employees</t>
  </si>
  <si>
    <t>Net Cash</t>
  </si>
  <si>
    <t>AR</t>
  </si>
  <si>
    <t>Inventories</t>
  </si>
  <si>
    <t>VTR</t>
  </si>
  <si>
    <t>OCA</t>
  </si>
  <si>
    <t>PP&amp;E</t>
  </si>
  <si>
    <t>ONCA</t>
  </si>
  <si>
    <t>Assets</t>
  </si>
  <si>
    <t>AP</t>
  </si>
  <si>
    <t>OCL</t>
  </si>
  <si>
    <t>DR</t>
  </si>
  <si>
    <t>ONCL</t>
  </si>
  <si>
    <t>SE</t>
  </si>
  <si>
    <t>L+SE</t>
  </si>
  <si>
    <t>Model NI</t>
  </si>
  <si>
    <t>Reported NI</t>
  </si>
  <si>
    <t>D&amp;A</t>
  </si>
  <si>
    <t>SBC</t>
  </si>
  <si>
    <t>Other</t>
  </si>
  <si>
    <t>WC</t>
  </si>
  <si>
    <t>CFFO</t>
  </si>
  <si>
    <t>Securities</t>
  </si>
  <si>
    <t>CapEx</t>
  </si>
  <si>
    <t>CFFI</t>
  </si>
  <si>
    <t>ESOP Tax</t>
  </si>
  <si>
    <t>Dividends</t>
  </si>
  <si>
    <t>Buybacks</t>
  </si>
  <si>
    <t>CFFF</t>
  </si>
  <si>
    <t>CIC</t>
  </si>
  <si>
    <t>Quarter</t>
  </si>
  <si>
    <t>Trend</t>
  </si>
  <si>
    <t>Q/Q Revenue growth</t>
  </si>
  <si>
    <t>Products Revenue</t>
  </si>
  <si>
    <t>Q/Q Products Revenue Growth</t>
  </si>
  <si>
    <t>Services Revenue</t>
  </si>
  <si>
    <t>Q/Q Services Growth</t>
  </si>
  <si>
    <t>iPhone Revenue</t>
  </si>
  <si>
    <t>Mac Revenue</t>
  </si>
  <si>
    <t>iPad Revenue</t>
  </si>
  <si>
    <t>Wearables Revenue</t>
  </si>
  <si>
    <t>AVG</t>
  </si>
  <si>
    <t>Year Int</t>
  </si>
  <si>
    <t>Year</t>
  </si>
  <si>
    <t>TREND</t>
  </si>
  <si>
    <t>IPhone Revenue</t>
  </si>
  <si>
    <t>IPad Revenue</t>
  </si>
  <si>
    <t>Brand</t>
  </si>
  <si>
    <t>Releases</t>
  </si>
  <si>
    <t>9/2021 - Releases iPhone 13, mini, Pro, Pro Max</t>
  </si>
  <si>
    <t>10/2020 - Releases iPhone 12, mini, Pro, Pro Max (5G)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</si>
</sst>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.0%"/>
  </numFmts>
  <fonts count="10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color theme="1"/>
      <name val="Arial"/>
      <scheme val="minor"/>
    </font>
    <font>
      <u/>
      <color rgb="FF0000FF"/>
    </font>
    <font>
      <u/>
      <sz val="10.0"/>
      <color theme="10"/>
      <name val="Arial"/>
    </font>
    <font>
      <u/>
      <sz val="10.0"/>
      <color theme="10"/>
      <name val="Arial"/>
    </font>
    <font>
      <i/>
      <sz val="10.0"/>
      <color theme="1"/>
      <name val="Arial"/>
    </font>
    <font>
      <b/>
      <sz val="10.0"/>
      <color theme="1"/>
      <name val="Arial"/>
    </font>
    <font>
      <b/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0" xfId="0" applyFont="1"/>
    <xf borderId="0" fillId="0" fontId="6" numFmtId="164" xfId="0" applyFont="1" applyNumberFormat="1"/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right"/>
    </xf>
    <xf borderId="0" fillId="0" fontId="2" numFmtId="3" xfId="0" applyAlignment="1" applyFont="1" applyNumberFormat="1">
      <alignment horizontal="right" readingOrder="0"/>
    </xf>
    <xf borderId="0" fillId="0" fontId="7" numFmtId="3" xfId="0" applyAlignment="1" applyFont="1" applyNumberFormat="1">
      <alignment horizontal="right"/>
    </xf>
    <xf borderId="0" fillId="0" fontId="8" numFmtId="3" xfId="0" applyFont="1" applyNumberFormat="1"/>
    <xf borderId="0" fillId="0" fontId="9" numFmtId="3" xfId="0" applyFont="1" applyNumberFormat="1"/>
    <xf borderId="0" fillId="0" fontId="8" numFmtId="0" xfId="0" applyFont="1"/>
    <xf borderId="0" fillId="0" fontId="8" numFmtId="4" xfId="0" applyFont="1" applyNumberFormat="1"/>
    <xf borderId="0" fillId="0" fontId="8" numFmtId="9" xfId="0" applyFont="1" applyNumberFormat="1"/>
    <xf borderId="0" fillId="0" fontId="8" numFmtId="165" xfId="0" applyAlignment="1" applyFont="1" applyNumberFormat="1">
      <alignment readingOrder="0"/>
    </xf>
    <xf borderId="0" fillId="0" fontId="8" numFmtId="165" xfId="0" applyFont="1" applyNumberFormat="1"/>
    <xf borderId="0" fillId="0" fontId="2" numFmtId="9" xfId="0" applyFont="1" applyNumberFormat="1"/>
    <xf borderId="0" fillId="0" fontId="2" numFmtId="4" xfId="0" applyFont="1" applyNumberFormat="1"/>
    <xf borderId="0" fillId="0" fontId="2" numFmtId="9" xfId="0" applyAlignment="1" applyFont="1" applyNumberFormat="1">
      <alignment horizontal="right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3" xfId="0" applyFont="1" applyNumberFormat="1"/>
    <xf borderId="3" fillId="0" fontId="1" numFmtId="0" xfId="0" applyBorder="1" applyFont="1"/>
    <xf borderId="3" fillId="0" fontId="1" numFmtId="10" xfId="0" applyBorder="1" applyFont="1" applyNumberFormat="1"/>
    <xf borderId="0" fillId="0" fontId="1" numFmtId="10" xfId="0" applyFont="1" applyNumberFormat="1"/>
    <xf borderId="4" fillId="0" fontId="1" numFmtId="0" xfId="0" applyAlignment="1" applyBorder="1" applyFont="1">
      <alignment readingOrder="0"/>
    </xf>
    <xf borderId="0" fillId="0" fontId="1" numFmtId="3" xfId="0" applyAlignment="1" applyFont="1" applyNumberFormat="1">
      <alignment readingOrder="0"/>
    </xf>
    <xf borderId="4" fillId="0" fontId="1" numFmtId="3" xfId="0" applyBorder="1" applyFont="1" applyNumberForma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'Revenue Quarterly Graph'!$C$1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'Revenue Quarterly Graph'!$A$2:$A$17</c:f>
            </c:strRef>
          </c:cat>
          <c:val>
            <c:numRef>
              <c:f>'Revenue Quarterly Graph'!$C$2:$C$17</c:f>
              <c:numCache/>
            </c:numRef>
          </c:val>
          <c:smooth val="0"/>
        </c:ser>
        <c:ser>
          <c:idx val="1"/>
          <c:order val="1"/>
          <c:tx>
            <c:strRef>
              <c:f>'Revenue Quarterly Graph'!$E$1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'Revenue Quarterly Graph'!$A$2:$A$17</c:f>
            </c:strRef>
          </c:cat>
          <c:val>
            <c:numRef>
              <c:f>'Revenue Quarterly Graph'!$E$2:$E$17</c:f>
              <c:numCache/>
            </c:numRef>
          </c:val>
          <c:smooth val="0"/>
        </c:ser>
        <c:ser>
          <c:idx val="2"/>
          <c:order val="2"/>
          <c:tx>
            <c:strRef>
              <c:f>'Revenue Quarterly Graph'!$G$1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'Revenue Quarterly Graph'!$A$2:$A$17</c:f>
            </c:strRef>
          </c:cat>
          <c:val>
            <c:numRef>
              <c:f>'Revenue Quarterly Graph'!$G$2:$G$17</c:f>
              <c:numCache/>
            </c:numRef>
          </c:val>
          <c:smooth val="0"/>
        </c:ser>
        <c:ser>
          <c:idx val="3"/>
          <c:order val="3"/>
          <c:tx>
            <c:strRef>
              <c:f>'Revenue Quarterly Graph'!$B$1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'Revenue Quarterly Graph'!$A$2:$A$17</c:f>
            </c:strRef>
          </c:cat>
          <c:val>
            <c:numRef>
              <c:f>'Revenue Quarterly Graph'!$B$2:$B$17</c:f>
              <c:numCache/>
            </c:numRef>
          </c:val>
          <c:smooth val="0"/>
        </c:ser>
        <c:axId val="888310841"/>
        <c:axId val="238674542"/>
      </c:lineChart>
      <c:catAx>
        <c:axId val="888310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674542"/>
      </c:catAx>
      <c:valAx>
        <c:axId val="238674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83108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'Revenue Quarterly Graph'!$I$1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'Revenue Quarterly Graph'!$A$2:$A$15</c:f>
            </c:strRef>
          </c:cat>
          <c:val>
            <c:numRef>
              <c:f>'Revenue Quarterly Graph'!$I$2:$I$15</c:f>
              <c:numCache/>
            </c:numRef>
          </c:val>
        </c:ser>
        <c:ser>
          <c:idx val="1"/>
          <c:order val="1"/>
          <c:tx>
            <c:strRef>
              <c:f>'Revenue Quarterly Graph'!$J$1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'Revenue Quarterly Graph'!$A$2:$A$15</c:f>
            </c:strRef>
          </c:cat>
          <c:val>
            <c:numRef>
              <c:f>'Revenue Quarterly Graph'!$J$2:$J$15</c:f>
              <c:numCache/>
            </c:numRef>
          </c:val>
        </c:ser>
        <c:ser>
          <c:idx val="2"/>
          <c:order val="2"/>
          <c:tx>
            <c:strRef>
              <c:f>'Revenue Quarterly Graph'!$K$1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'Revenue Quarterly Graph'!$A$2:$A$15</c:f>
            </c:strRef>
          </c:cat>
          <c:val>
            <c:numRef>
              <c:f>'Revenue Quarterly Graph'!$K$2:$K$15</c:f>
              <c:numCache/>
            </c:numRef>
          </c:val>
        </c:ser>
        <c:ser>
          <c:idx val="3"/>
          <c:order val="3"/>
          <c:tx>
            <c:strRef>
              <c:f>'Revenue Quarterly Graph'!$L$1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'Revenue Quarterly Graph'!$A$2:$A$15</c:f>
            </c:strRef>
          </c:cat>
          <c:val>
            <c:numRef>
              <c:f>'Revenue Quarterly Graph'!$L$2:$L$15</c:f>
              <c:numCache/>
            </c:numRef>
          </c:val>
        </c:ser>
        <c:axId val="1940133165"/>
        <c:axId val="1233625053"/>
      </c:barChart>
      <c:catAx>
        <c:axId val="1940133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3625053"/>
      </c:catAx>
      <c:valAx>
        <c:axId val="12336250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133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'Revenue Yearly Graph'!$C$1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'Revenue Yearly Graph'!$B$2:$B$42</c:f>
            </c:strRef>
          </c:cat>
          <c:val>
            <c:numRef>
              <c:f>'Revenue Yearly Graph'!$C$2:$C$42</c:f>
              <c:numCache/>
            </c:numRef>
          </c:val>
          <c:smooth val="0"/>
        </c:ser>
        <c:ser>
          <c:idx val="1"/>
          <c:order val="1"/>
          <c:tx>
            <c:strRef>
              <c:f>'Revenue Yearly Graph'!$E$1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'Revenue Yearly Graph'!$B$2:$B$42</c:f>
            </c:strRef>
          </c:cat>
          <c:val>
            <c:numRef>
              <c:f>'Revenue Yearly Graph'!$E$2:$E$42</c:f>
              <c:numCache/>
            </c:numRef>
          </c:val>
          <c:smooth val="0"/>
        </c:ser>
        <c:ser>
          <c:idx val="2"/>
          <c:order val="2"/>
          <c:tx>
            <c:strRef>
              <c:f>'Revenue Yearly Graph'!$F$1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'Revenue Yearly Graph'!$B$2:$B$42</c:f>
            </c:strRef>
          </c:cat>
          <c:val>
            <c:numRef>
              <c:f>'Revenue Yearly Graph'!$F$2:$F$42</c:f>
              <c:numCache/>
            </c:numRef>
          </c:val>
          <c:smooth val="0"/>
        </c:ser>
        <c:axId val="722148890"/>
        <c:axId val="1612771548"/>
      </c:lineChart>
      <c:catAx>
        <c:axId val="722148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2771548"/>
      </c:catAx>
      <c:valAx>
        <c:axId val="1612771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2148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'Revenue Yearly Graph'!$G$1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'Revenue Yearly Graph'!$B$2:$B$42</c:f>
            </c:strRef>
          </c:cat>
          <c:val>
            <c:numRef>
              <c:f>'Revenue Yearly Graph'!$G$2:$G$42</c:f>
              <c:numCache/>
            </c:numRef>
          </c:val>
          <c:smooth val="0"/>
        </c:ser>
        <c:ser>
          <c:idx val="1"/>
          <c:order val="1"/>
          <c:tx>
            <c:strRef>
              <c:f>'Revenue Yearly Graph'!$H$1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'Revenue Yearly Graph'!$B$2:$B$42</c:f>
            </c:strRef>
          </c:cat>
          <c:val>
            <c:numRef>
              <c:f>'Revenue Yearly Graph'!$H$2:$H$42</c:f>
              <c:numCache/>
            </c:numRef>
          </c:val>
          <c:smooth val="0"/>
        </c:ser>
        <c:ser>
          <c:idx val="2"/>
          <c:order val="2"/>
          <c:tx>
            <c:strRef>
              <c:f>'Revenue Yearly Graph'!$I$1</c:f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'Revenue Yearly Graph'!$B$2:$B$42</c:f>
            </c:strRef>
          </c:cat>
          <c:val>
            <c:numRef>
              <c:f>'Revenue Yearly Graph'!$I$2:$I$42</c:f>
              <c:numCache/>
            </c:numRef>
          </c:val>
          <c:smooth val="0"/>
        </c:ser>
        <c:ser>
          <c:idx val="3"/>
          <c:order val="3"/>
          <c:tx>
            <c:strRef>
              <c:f>'Revenue Yearly Graph'!$J$1</c:f>
            </c:strRef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'Revenue Yearly Graph'!$B$2:$B$42</c:f>
            </c:strRef>
          </c:cat>
          <c:val>
            <c:numRef>
              <c:f>'Revenue Yearly Graph'!$J$2:$J$42</c:f>
              <c:numCache/>
            </c:numRef>
          </c:val>
          <c:smooth val="0"/>
        </c:ser>
        <c:axId val="375765234"/>
        <c:axId val="308026333"/>
      </c:lineChart>
      <c:catAx>
        <c:axId val="3757652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8026333"/>
      </c:catAx>
      <c:valAx>
        <c:axId val="308026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57652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0</xdr:colOff>
      <xdr:row>0</xdr:row>
      <xdr:rowOff>0</xdr:rowOff>
    </xdr:from>
    <xdr:ext cx="38100" cy="17221200"/>
    <xdr:grpSp>
      <xdr:nvGrpSpPr>
        <xdr:cNvPr id="2" name="Shape 2"/>
        <xdr:cNvGrpSpPr/>
      </xdr:nvGrpSpPr>
      <xdr:grpSpPr>
        <a:xfrm>
          <a:off x="5346000" y="0"/>
          <a:ext cx="0" cy="7560000"/>
          <a:chOff x="5346000" y="0"/>
          <a:chExt cx="0" cy="7560000"/>
        </a:xfrm>
      </xdr:grpSpPr>
      <xdr:cxnSp>
        <xdr:nvCxnSpPr>
          <xdr:cNvPr id="3" name="Shape 3"/>
          <xdr:cNvCxnSpPr/>
        </xdr:nvCxnSpPr>
        <xdr:spPr>
          <a:xfrm>
            <a:off x="5346000" y="0"/>
            <a:ext cx="0" cy="7560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52</xdr:col>
      <xdr:colOff>28575</xdr:colOff>
      <xdr:row>0</xdr:row>
      <xdr:rowOff>0</xdr:rowOff>
    </xdr:from>
    <xdr:ext cx="38100" cy="7486650"/>
    <xdr:grpSp>
      <xdr:nvGrpSpPr>
        <xdr:cNvPr id="2" name="Shape 2"/>
        <xdr:cNvGrpSpPr/>
      </xdr:nvGrpSpPr>
      <xdr:grpSpPr>
        <a:xfrm>
          <a:off x="5346000" y="36675"/>
          <a:ext cx="0" cy="7486650"/>
          <a:chOff x="5346000" y="36675"/>
          <a:chExt cx="0" cy="7486650"/>
        </a:xfrm>
      </xdr:grpSpPr>
      <xdr:cxnSp>
        <xdr:nvCxnSpPr>
          <xdr:cNvPr id="4" name="Shape 4"/>
          <xdr:cNvCxnSpPr/>
        </xdr:nvCxnSpPr>
        <xdr:spPr>
          <a:xfrm>
            <a:off x="5346000" y="36675"/>
            <a:ext cx="0" cy="74866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1400175</xdr:colOff>
      <xdr:row>27</xdr:row>
      <xdr:rowOff>114300</xdr:rowOff>
    </xdr:from>
    <xdr:ext cx="8343900" cy="5162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161925</xdr:rowOff>
    </xdr:from>
    <xdr:ext cx="8982075" cy="55530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152400</xdr:colOff>
      <xdr:row>46</xdr:row>
      <xdr:rowOff>57150</xdr:rowOff>
    </xdr:from>
    <xdr:ext cx="9763125" cy="38766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46</xdr:row>
      <xdr:rowOff>95250</xdr:rowOff>
    </xdr:from>
    <xdr:ext cx="7905750" cy="48863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18rn0p25nwr6d.cloudfront.net/CIK-0000320193/f8aaeabb-7a2a-479d-bf72-9559ff51ea5d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63"/>
    <col customWidth="1" min="11" max="11" width="15.0"/>
    <col customWidth="1" min="12" max="12" width="76.63"/>
    <col customWidth="1" min="13" max="14" width="8.63"/>
    <col customWidth="1" min="15" max="15" width="9.88"/>
    <col customWidth="1" min="16" max="26" width="8.63"/>
  </cols>
  <sheetData>
    <row r="1" ht="12.75" customHeight="1"/>
    <row r="2" ht="12.75" customHeight="1"/>
    <row r="3" ht="12.75" customHeight="1">
      <c r="K3" s="1" t="s">
        <v>0</v>
      </c>
      <c r="L3" s="2">
        <v>178.0</v>
      </c>
      <c r="M3" s="3" t="s">
        <v>1</v>
      </c>
    </row>
    <row r="4" ht="12.75" customHeight="1">
      <c r="K4" s="1" t="s">
        <v>2</v>
      </c>
      <c r="L4" s="4">
        <v>15634.0</v>
      </c>
    </row>
    <row r="5" ht="12.75" customHeight="1">
      <c r="K5" s="1" t="s">
        <v>3</v>
      </c>
      <c r="L5" s="5">
        <f>+L3*L4</f>
        <v>2782852</v>
      </c>
      <c r="M5" s="3" t="s">
        <v>1</v>
      </c>
    </row>
    <row r="6" ht="12.75" customHeight="1">
      <c r="K6" s="1" t="s">
        <v>4</v>
      </c>
      <c r="L6" s="4">
        <v>28408.0</v>
      </c>
      <c r="M6" s="3" t="s">
        <v>1</v>
      </c>
    </row>
    <row r="7" ht="12.75" customHeight="1">
      <c r="K7" s="1" t="s">
        <v>5</v>
      </c>
      <c r="L7" s="5">
        <v>109615.0</v>
      </c>
    </row>
    <row r="8" ht="12.75" customHeight="1">
      <c r="K8" s="1" t="s">
        <v>6</v>
      </c>
      <c r="L8" s="5">
        <f>+L5-L6+L7</f>
        <v>2864059</v>
      </c>
    </row>
    <row r="9" ht="12.75" customHeight="1">
      <c r="K9" s="6" t="s">
        <v>7</v>
      </c>
      <c r="L9" s="7" t="s">
        <v>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L9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5.0"/>
    <col customWidth="1" min="2" max="2" width="15.88"/>
    <col customWidth="1" min="3" max="14" width="8.63"/>
    <col customWidth="1" min="15" max="15" width="9.13"/>
    <col customWidth="1" min="16" max="18" width="8.63"/>
    <col customWidth="1" min="19" max="19" width="9.13"/>
    <col customWidth="1" min="20" max="20" width="8.63"/>
    <col customWidth="1" min="21" max="21" width="9.13"/>
    <col customWidth="1" min="22" max="52" width="8.63"/>
    <col customWidth="1" min="53" max="53" width="9.88"/>
    <col customWidth="1" min="54" max="69" width="8.63"/>
    <col customWidth="1" min="70" max="70" width="9.63"/>
    <col customWidth="1" min="71" max="72" width="8.63"/>
    <col customWidth="1" min="73" max="73" width="10.88"/>
    <col customWidth="1" min="74" max="182" width="8.63"/>
  </cols>
  <sheetData>
    <row r="1" ht="12.75" customHeight="1">
      <c r="A1" s="8" t="s">
        <v>9</v>
      </c>
    </row>
    <row r="2" ht="12.75" customHeight="1">
      <c r="A2" s="9"/>
      <c r="B2" s="10"/>
      <c r="C2" s="10">
        <v>43099.0</v>
      </c>
      <c r="D2" s="10">
        <v>43190.0</v>
      </c>
      <c r="E2" s="10">
        <v>43281.0</v>
      </c>
      <c r="F2" s="10">
        <f t="shared" ref="F2:I2" si="1">+G2-91</f>
        <v>43373</v>
      </c>
      <c r="G2" s="10">
        <f t="shared" si="1"/>
        <v>43464</v>
      </c>
      <c r="H2" s="10">
        <f t="shared" si="1"/>
        <v>43555</v>
      </c>
      <c r="I2" s="10">
        <f t="shared" si="1"/>
        <v>43646</v>
      </c>
      <c r="J2" s="10">
        <f>+K2-90</f>
        <v>43737</v>
      </c>
      <c r="K2" s="10">
        <v>43827.0</v>
      </c>
      <c r="L2" s="10">
        <v>43918.0</v>
      </c>
      <c r="M2" s="10">
        <v>44009.0</v>
      </c>
      <c r="N2" s="10">
        <v>44100.0</v>
      </c>
      <c r="O2" s="10">
        <v>44191.0</v>
      </c>
      <c r="P2" s="10">
        <v>44282.0</v>
      </c>
      <c r="Q2" s="10">
        <v>44373.0</v>
      </c>
      <c r="R2" s="10">
        <v>44464.0</v>
      </c>
      <c r="S2" s="10">
        <v>44555.0</v>
      </c>
      <c r="T2" s="10">
        <v>44646.0</v>
      </c>
      <c r="U2" s="10">
        <v>44737.0</v>
      </c>
      <c r="V2" s="10">
        <f>+R2+365</f>
        <v>44829</v>
      </c>
      <c r="W2" s="10">
        <v>44926.0</v>
      </c>
      <c r="X2" s="10">
        <v>45017.0</v>
      </c>
      <c r="Y2" s="10">
        <f>X2+90</f>
        <v>45107</v>
      </c>
      <c r="Z2" s="10">
        <f>Y2+92</f>
        <v>45199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>
        <v>44464.0</v>
      </c>
      <c r="AZ2" s="10">
        <v>44828.0</v>
      </c>
      <c r="BA2" s="10">
        <f>Z2</f>
        <v>45199</v>
      </c>
      <c r="BB2" s="10">
        <f>BA2+366</f>
        <v>45565</v>
      </c>
      <c r="BC2" s="10">
        <f t="shared" ref="BC2:BE2" si="2">BB2+365</f>
        <v>45930</v>
      </c>
      <c r="BD2" s="10">
        <f t="shared" si="2"/>
        <v>46295</v>
      </c>
      <c r="BE2" s="10">
        <f t="shared" si="2"/>
        <v>46660</v>
      </c>
      <c r="BF2" s="10">
        <f>BE2+366</f>
        <v>47026</v>
      </c>
      <c r="BG2" s="10">
        <f t="shared" ref="BG2:BI2" si="3">BF2+365</f>
        <v>47391</v>
      </c>
      <c r="BH2" s="10">
        <f t="shared" si="3"/>
        <v>47756</v>
      </c>
      <c r="BI2" s="10">
        <f t="shared" si="3"/>
        <v>48121</v>
      </c>
      <c r="BJ2" s="10">
        <f>BI2+366</f>
        <v>48487</v>
      </c>
      <c r="BK2" s="10">
        <f t="shared" ref="BK2:BM2" si="4">BJ2+365</f>
        <v>48852</v>
      </c>
      <c r="BL2" s="10">
        <f t="shared" si="4"/>
        <v>49217</v>
      </c>
      <c r="BM2" s="10">
        <f t="shared" si="4"/>
        <v>49582</v>
      </c>
      <c r="BN2" s="10">
        <f>BM2+366</f>
        <v>49948</v>
      </c>
      <c r="BO2" s="10">
        <f t="shared" ref="BO2:BQ2" si="5">BN2+365</f>
        <v>50313</v>
      </c>
      <c r="BP2" s="10">
        <f t="shared" si="5"/>
        <v>50678</v>
      </c>
      <c r="BQ2" s="10">
        <f t="shared" si="5"/>
        <v>51043</v>
      </c>
      <c r="BR2" s="10">
        <f>BQ2+366</f>
        <v>51409</v>
      </c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</row>
    <row r="3" ht="12.75" customHeight="1">
      <c r="A3" s="11"/>
      <c r="B3" s="11"/>
      <c r="C3" s="11" t="s">
        <v>10</v>
      </c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22</v>
      </c>
      <c r="P3" s="11" t="s">
        <v>23</v>
      </c>
      <c r="Q3" s="11" t="s">
        <v>24</v>
      </c>
      <c r="R3" s="11" t="s">
        <v>25</v>
      </c>
      <c r="S3" s="11" t="s">
        <v>26</v>
      </c>
      <c r="T3" s="11" t="s">
        <v>27</v>
      </c>
      <c r="U3" s="11" t="s">
        <v>28</v>
      </c>
      <c r="V3" s="11" t="s">
        <v>29</v>
      </c>
      <c r="W3" s="11" t="s">
        <v>30</v>
      </c>
      <c r="X3" s="11" t="s">
        <v>31</v>
      </c>
      <c r="Y3" s="11" t="s">
        <v>32</v>
      </c>
      <c r="Z3" s="11" t="s">
        <v>33</v>
      </c>
      <c r="AA3" s="11"/>
      <c r="AB3" s="11" t="s">
        <v>34</v>
      </c>
      <c r="AC3" s="11" t="s">
        <v>35</v>
      </c>
      <c r="AD3" s="11" t="s">
        <v>36</v>
      </c>
      <c r="AE3" s="11" t="s">
        <v>37</v>
      </c>
      <c r="AF3" s="11" t="s">
        <v>38</v>
      </c>
      <c r="AG3" s="11" t="s">
        <v>39</v>
      </c>
      <c r="AH3" s="11" t="s">
        <v>40</v>
      </c>
      <c r="AI3" s="11" t="s">
        <v>41</v>
      </c>
      <c r="AJ3" s="11" t="s">
        <v>42</v>
      </c>
      <c r="AK3" s="11" t="s">
        <v>43</v>
      </c>
      <c r="AL3" s="11" t="s">
        <v>44</v>
      </c>
      <c r="AM3" s="11" t="s">
        <v>45</v>
      </c>
      <c r="AN3" s="11" t="s">
        <v>46</v>
      </c>
      <c r="AO3" s="11" t="s">
        <v>47</v>
      </c>
      <c r="AP3" s="11" t="s">
        <v>48</v>
      </c>
      <c r="AQ3" s="11" t="s">
        <v>49</v>
      </c>
      <c r="AR3" s="11" t="s">
        <v>50</v>
      </c>
      <c r="AS3" s="11" t="s">
        <v>51</v>
      </c>
      <c r="AT3" s="11" t="s">
        <v>52</v>
      </c>
      <c r="AU3" s="11" t="s">
        <v>53</v>
      </c>
      <c r="AV3" s="11" t="s">
        <v>54</v>
      </c>
      <c r="AW3" s="11" t="s">
        <v>55</v>
      </c>
      <c r="AX3" s="11" t="s">
        <v>56</v>
      </c>
      <c r="AY3" s="11" t="s">
        <v>57</v>
      </c>
      <c r="AZ3" s="11" t="s">
        <v>58</v>
      </c>
      <c r="BA3" s="11" t="s">
        <v>59</v>
      </c>
      <c r="BB3" s="11" t="s">
        <v>60</v>
      </c>
      <c r="BC3" s="11" t="s">
        <v>61</v>
      </c>
      <c r="BD3" s="11" t="s">
        <v>62</v>
      </c>
      <c r="BE3" s="11" t="s">
        <v>63</v>
      </c>
      <c r="BF3" s="11" t="s">
        <v>64</v>
      </c>
      <c r="BG3" s="11" t="s">
        <v>65</v>
      </c>
      <c r="BH3" s="11" t="s">
        <v>66</v>
      </c>
      <c r="BI3" s="11" t="s">
        <v>67</v>
      </c>
      <c r="BJ3" s="11" t="s">
        <v>68</v>
      </c>
      <c r="BK3" s="11" t="s">
        <v>69</v>
      </c>
      <c r="BL3" s="11" t="s">
        <v>70</v>
      </c>
      <c r="BM3" s="11" t="s">
        <v>71</v>
      </c>
      <c r="BN3" s="11" t="s">
        <v>72</v>
      </c>
      <c r="BO3" s="11" t="s">
        <v>73</v>
      </c>
      <c r="BP3" s="11" t="s">
        <v>74</v>
      </c>
      <c r="BQ3" s="11" t="s">
        <v>75</v>
      </c>
      <c r="BR3" s="11" t="s">
        <v>76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</row>
    <row r="4" ht="12.75" customHeight="1">
      <c r="A4" s="11"/>
      <c r="B4" s="12" t="s">
        <v>77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3">
        <v>40882.0</v>
      </c>
      <c r="U4" s="13"/>
      <c r="V4" s="13"/>
      <c r="W4" s="13"/>
      <c r="X4" s="13">
        <v>37784.0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</row>
    <row r="5" ht="12.75" customHeight="1">
      <c r="A5" s="11"/>
      <c r="B5" s="12" t="s">
        <v>78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3">
        <v>23287.0</v>
      </c>
      <c r="U5" s="13"/>
      <c r="V5" s="13"/>
      <c r="W5" s="13"/>
      <c r="X5" s="13">
        <v>23945.0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</row>
    <row r="6" ht="12.75" customHeight="1">
      <c r="A6" s="11"/>
      <c r="B6" s="12" t="s">
        <v>79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3">
        <v>18343.0</v>
      </c>
      <c r="U6" s="13"/>
      <c r="V6" s="13"/>
      <c r="W6" s="13"/>
      <c r="X6" s="13">
        <v>17812.0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</row>
    <row r="7" ht="12.75" customHeight="1">
      <c r="A7" s="11"/>
      <c r="B7" s="12" t="s">
        <v>80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3">
        <v>7724.0</v>
      </c>
      <c r="U7" s="13"/>
      <c r="V7" s="13"/>
      <c r="W7" s="13"/>
      <c r="X7" s="13">
        <v>7176.0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</row>
    <row r="8" ht="12.75" customHeight="1">
      <c r="A8" s="11"/>
      <c r="B8" s="12" t="s">
        <v>81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>
        <v>7042.0</v>
      </c>
      <c r="U8" s="13"/>
      <c r="V8" s="13"/>
      <c r="W8" s="13"/>
      <c r="X8" s="13">
        <v>8119.0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</row>
    <row r="10" ht="12.75" customHeight="1">
      <c r="A10" s="13"/>
      <c r="B10" s="5" t="s">
        <v>82</v>
      </c>
      <c r="C10" s="13">
        <v>61576.0</v>
      </c>
      <c r="D10" s="13">
        <v>38032.0</v>
      </c>
      <c r="E10" s="13">
        <v>29906.0</v>
      </c>
      <c r="F10" s="13">
        <f>166699-E10-D10-C10</f>
        <v>37185</v>
      </c>
      <c r="G10" s="13"/>
      <c r="H10" s="13"/>
      <c r="I10" s="13"/>
      <c r="J10" s="13"/>
      <c r="K10" s="13">
        <v>55957.0</v>
      </c>
      <c r="L10" s="13">
        <v>28962.0</v>
      </c>
      <c r="M10" s="13">
        <v>26418.0</v>
      </c>
      <c r="N10" s="13">
        <v>26444.0</v>
      </c>
      <c r="O10" s="13">
        <v>65597.0</v>
      </c>
      <c r="P10" s="13">
        <v>47938.0</v>
      </c>
      <c r="Q10" s="13">
        <v>39570.0</v>
      </c>
      <c r="R10" s="13">
        <v>38868.0</v>
      </c>
      <c r="S10" s="13">
        <v>71628.0</v>
      </c>
      <c r="T10" s="13">
        <v>50570.0</v>
      </c>
      <c r="U10" s="13">
        <v>40665.0</v>
      </c>
      <c r="V10" s="13">
        <v>42626.0</v>
      </c>
      <c r="W10" s="13">
        <v>65775.0</v>
      </c>
      <c r="X10" s="13">
        <v>51334.0</v>
      </c>
      <c r="Y10" s="13"/>
      <c r="Z10" s="13"/>
      <c r="AA10" s="13"/>
      <c r="AB10" s="13"/>
      <c r="AC10" s="13"/>
      <c r="AD10" s="14">
        <v>0.0</v>
      </c>
      <c r="AE10" s="13">
        <v>0.0</v>
      </c>
      <c r="AF10" s="13">
        <v>0.0</v>
      </c>
      <c r="AG10" s="13">
        <v>0.0</v>
      </c>
      <c r="AH10" s="13">
        <v>0.0</v>
      </c>
      <c r="AI10" s="13">
        <v>0.0</v>
      </c>
      <c r="AJ10" s="13">
        <v>0.0</v>
      </c>
      <c r="AK10" s="13">
        <v>123.0</v>
      </c>
      <c r="AL10" s="13">
        <v>6742.0</v>
      </c>
      <c r="AM10" s="13">
        <v>13033.0</v>
      </c>
      <c r="AN10" s="13">
        <v>25179.0</v>
      </c>
      <c r="AO10" s="13">
        <v>45998.0</v>
      </c>
      <c r="AP10" s="13">
        <v>78692.0</v>
      </c>
      <c r="AQ10" s="13">
        <v>91279.0</v>
      </c>
      <c r="AR10" s="13">
        <v>101991.0</v>
      </c>
      <c r="AS10" s="13">
        <v>155041.0</v>
      </c>
      <c r="AT10" s="13">
        <v>136700.0</v>
      </c>
      <c r="AU10" s="13">
        <v>141319.0</v>
      </c>
      <c r="AV10" s="13">
        <v>164888.0</v>
      </c>
      <c r="AW10" s="13">
        <v>142381.0</v>
      </c>
      <c r="AX10" s="13">
        <f t="shared" ref="AX10:AX11" si="7">SUM(K10:N10)</f>
        <v>137781</v>
      </c>
      <c r="AY10" s="13">
        <f t="shared" ref="AY10:AY11" si="8">SUM(O10:R10)</f>
        <v>191973</v>
      </c>
      <c r="AZ10" s="13">
        <f t="shared" ref="AZ10:AZ11" si="9">SUM(S10:V10)</f>
        <v>205489</v>
      </c>
      <c r="BA10" s="13">
        <f t="shared" ref="BA10:BR10" si="6">+BA11*BA12/1000</f>
        <v>209619.3289</v>
      </c>
      <c r="BB10" s="13">
        <f t="shared" si="6"/>
        <v>213832.6774</v>
      </c>
      <c r="BC10" s="13">
        <f t="shared" si="6"/>
        <v>228116.7003</v>
      </c>
      <c r="BD10" s="13">
        <f t="shared" si="6"/>
        <v>241037.2302</v>
      </c>
      <c r="BE10" s="13">
        <f t="shared" si="6"/>
        <v>254689.5789</v>
      </c>
      <c r="BF10" s="13">
        <f t="shared" si="6"/>
        <v>269115.1966</v>
      </c>
      <c r="BG10" s="13">
        <f t="shared" si="6"/>
        <v>284357.8814</v>
      </c>
      <c r="BH10" s="13">
        <f t="shared" si="6"/>
        <v>297574.8357</v>
      </c>
      <c r="BI10" s="13">
        <f t="shared" si="6"/>
        <v>311406.1141</v>
      </c>
      <c r="BJ10" s="13">
        <f t="shared" si="6"/>
        <v>325880.2702</v>
      </c>
      <c r="BK10" s="13">
        <f t="shared" si="6"/>
        <v>341027.1852</v>
      </c>
      <c r="BL10" s="13">
        <f t="shared" si="6"/>
        <v>353413.2926</v>
      </c>
      <c r="BM10" s="13">
        <f t="shared" si="6"/>
        <v>366249.2633</v>
      </c>
      <c r="BN10" s="13">
        <f t="shared" si="6"/>
        <v>379551.4366</v>
      </c>
      <c r="BO10" s="13">
        <f t="shared" si="6"/>
        <v>393336.7448</v>
      </c>
      <c r="BP10" s="13">
        <f t="shared" si="6"/>
        <v>407622.7353</v>
      </c>
      <c r="BQ10" s="13">
        <f t="shared" si="6"/>
        <v>422427.5931</v>
      </c>
      <c r="BR10" s="13">
        <f t="shared" si="6"/>
        <v>437770.1633</v>
      </c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</row>
    <row r="11" ht="12.75" customHeight="1">
      <c r="A11" s="13"/>
      <c r="B11" s="5" t="s">
        <v>83</v>
      </c>
      <c r="C11" s="13">
        <v>77316.0</v>
      </c>
      <c r="D11" s="13">
        <v>52217.0</v>
      </c>
      <c r="E11" s="13">
        <v>41300.0</v>
      </c>
      <c r="F11" s="13">
        <f>217722-E11-D11-C11</f>
        <v>46889</v>
      </c>
      <c r="G11" s="13">
        <v>68400.0</v>
      </c>
      <c r="H11" s="13">
        <v>36400.0</v>
      </c>
      <c r="I11" s="13">
        <v>33800.0</v>
      </c>
      <c r="J11" s="13">
        <v>46600.0</v>
      </c>
      <c r="K11" s="13">
        <v>73800.0</v>
      </c>
      <c r="L11" s="13">
        <v>36700.0</v>
      </c>
      <c r="M11" s="13">
        <v>37600.0</v>
      </c>
      <c r="N11" s="13">
        <v>41700.0</v>
      </c>
      <c r="O11" s="13">
        <v>90100.0</v>
      </c>
      <c r="P11" s="13">
        <v>55200.0</v>
      </c>
      <c r="Q11" s="13">
        <v>44200.0</v>
      </c>
      <c r="R11" s="13">
        <v>50400.0</v>
      </c>
      <c r="S11" s="13">
        <v>84100.0</v>
      </c>
      <c r="T11" s="13">
        <v>56500.0</v>
      </c>
      <c r="U11" s="13">
        <f>+U10/U12*1000</f>
        <v>43260.11769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20731.0</v>
      </c>
      <c r="AN11" s="13">
        <v>39989.0</v>
      </c>
      <c r="AO11" s="13">
        <v>72293.0</v>
      </c>
      <c r="AP11" s="13">
        <v>125046.0</v>
      </c>
      <c r="AQ11" s="13">
        <v>150257.0</v>
      </c>
      <c r="AR11" s="13">
        <v>169219.0</v>
      </c>
      <c r="AS11" s="13">
        <v>231218.0</v>
      </c>
      <c r="AT11" s="13">
        <v>211884.0</v>
      </c>
      <c r="AU11" s="13">
        <v>216756.0</v>
      </c>
      <c r="AV11" s="13">
        <f>SUM(C11:F11)</f>
        <v>217722</v>
      </c>
      <c r="AW11" s="13">
        <f>SUM(G11:J11)</f>
        <v>185200</v>
      </c>
      <c r="AX11" s="13">
        <f t="shared" si="7"/>
        <v>189800</v>
      </c>
      <c r="AY11" s="13">
        <f t="shared" si="8"/>
        <v>239900</v>
      </c>
      <c r="AZ11" s="13">
        <f t="shared" si="9"/>
        <v>183860.1177</v>
      </c>
      <c r="BA11" s="13">
        <f t="shared" ref="BA11:BB11" si="10">+AZ11*1.01</f>
        <v>185698.7189</v>
      </c>
      <c r="BB11" s="13">
        <f t="shared" si="10"/>
        <v>187555.7061</v>
      </c>
      <c r="BC11" s="13">
        <f t="shared" ref="BC11:BR11" si="11">+BB11*1.016</f>
        <v>190556.5974</v>
      </c>
      <c r="BD11" s="13">
        <f t="shared" si="11"/>
        <v>193605.5029</v>
      </c>
      <c r="BE11" s="13">
        <f t="shared" si="11"/>
        <v>196703.191</v>
      </c>
      <c r="BF11" s="13">
        <f t="shared" si="11"/>
        <v>199850.442</v>
      </c>
      <c r="BG11" s="13">
        <f t="shared" si="11"/>
        <v>203048.0491</v>
      </c>
      <c r="BH11" s="13">
        <f t="shared" si="11"/>
        <v>206296.8179</v>
      </c>
      <c r="BI11" s="13">
        <f t="shared" si="11"/>
        <v>209597.567</v>
      </c>
      <c r="BJ11" s="13">
        <f t="shared" si="11"/>
        <v>212951.128</v>
      </c>
      <c r="BK11" s="13">
        <f t="shared" si="11"/>
        <v>216358.3461</v>
      </c>
      <c r="BL11" s="13">
        <f t="shared" si="11"/>
        <v>219820.0796</v>
      </c>
      <c r="BM11" s="13">
        <f t="shared" si="11"/>
        <v>223337.2009</v>
      </c>
      <c r="BN11" s="13">
        <f t="shared" si="11"/>
        <v>226910.5961</v>
      </c>
      <c r="BO11" s="13">
        <f t="shared" si="11"/>
        <v>230541.1656</v>
      </c>
      <c r="BP11" s="13">
        <f t="shared" si="11"/>
        <v>234229.8243</v>
      </c>
      <c r="BQ11" s="13">
        <f t="shared" si="11"/>
        <v>237977.5015</v>
      </c>
      <c r="BR11" s="13">
        <f t="shared" si="11"/>
        <v>241785.1415</v>
      </c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</row>
    <row r="12" ht="12.75" customHeight="1">
      <c r="A12" s="13"/>
      <c r="B12" s="5" t="s">
        <v>84</v>
      </c>
      <c r="C12" s="13">
        <f t="shared" ref="C12:F12" si="12">+C10*1000/C11</f>
        <v>796.4198872</v>
      </c>
      <c r="D12" s="13">
        <f t="shared" si="12"/>
        <v>728.3451749</v>
      </c>
      <c r="E12" s="13">
        <f t="shared" si="12"/>
        <v>724.1162228</v>
      </c>
      <c r="F12" s="13">
        <f t="shared" si="12"/>
        <v>793.0431444</v>
      </c>
      <c r="G12" s="13"/>
      <c r="H12" s="13"/>
      <c r="I12" s="13"/>
      <c r="J12" s="13"/>
      <c r="K12" s="13">
        <f t="shared" ref="K12:T12" si="13">+K10*1000/K11</f>
        <v>758.2249322</v>
      </c>
      <c r="L12" s="13">
        <f t="shared" si="13"/>
        <v>789.1553134</v>
      </c>
      <c r="M12" s="13">
        <f t="shared" si="13"/>
        <v>702.606383</v>
      </c>
      <c r="N12" s="13">
        <f t="shared" si="13"/>
        <v>634.1486811</v>
      </c>
      <c r="O12" s="13">
        <f t="shared" si="13"/>
        <v>728.0466149</v>
      </c>
      <c r="P12" s="13">
        <f t="shared" si="13"/>
        <v>868.442029</v>
      </c>
      <c r="Q12" s="13">
        <f t="shared" si="13"/>
        <v>895.2488688</v>
      </c>
      <c r="R12" s="13">
        <f t="shared" si="13"/>
        <v>771.1904762</v>
      </c>
      <c r="S12" s="13">
        <f t="shared" si="13"/>
        <v>851.7003567</v>
      </c>
      <c r="T12" s="13">
        <f t="shared" si="13"/>
        <v>895.0442478</v>
      </c>
      <c r="U12" s="15">
        <f>+Q12*1.05</f>
        <v>940.0113122</v>
      </c>
      <c r="V12" s="15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f t="shared" ref="AM12:AZ12" si="14">+AM10*1000/AM11</f>
        <v>628.672037</v>
      </c>
      <c r="AN12" s="13">
        <f t="shared" si="14"/>
        <v>629.6481532</v>
      </c>
      <c r="AO12" s="13">
        <f t="shared" si="14"/>
        <v>636.2718382</v>
      </c>
      <c r="AP12" s="13">
        <f t="shared" si="14"/>
        <v>629.304416</v>
      </c>
      <c r="AQ12" s="13">
        <f t="shared" si="14"/>
        <v>607.4858409</v>
      </c>
      <c r="AR12" s="13">
        <f t="shared" si="14"/>
        <v>602.7160071</v>
      </c>
      <c r="AS12" s="13">
        <f t="shared" si="14"/>
        <v>670.5403559</v>
      </c>
      <c r="AT12" s="13">
        <f t="shared" si="14"/>
        <v>645.1643352</v>
      </c>
      <c r="AU12" s="13">
        <f t="shared" si="14"/>
        <v>651.9727251</v>
      </c>
      <c r="AV12" s="13">
        <f t="shared" si="14"/>
        <v>757.3327454</v>
      </c>
      <c r="AW12" s="13">
        <f t="shared" si="14"/>
        <v>768.7958963</v>
      </c>
      <c r="AX12" s="13">
        <f t="shared" si="14"/>
        <v>725.9272919</v>
      </c>
      <c r="AY12" s="13">
        <f t="shared" si="14"/>
        <v>800.2209254</v>
      </c>
      <c r="AZ12" s="13">
        <f t="shared" si="14"/>
        <v>1117.637705</v>
      </c>
      <c r="BA12" s="13">
        <f t="shared" ref="BA12:BB12" si="15">+AZ12*1.01</f>
        <v>1128.814082</v>
      </c>
      <c r="BB12" s="13">
        <f t="shared" si="15"/>
        <v>1140.102223</v>
      </c>
      <c r="BC12" s="13">
        <f>+BB12*1.05</f>
        <v>1197.107334</v>
      </c>
      <c r="BD12" s="13">
        <f t="shared" ref="BD12:BG12" si="16">+BC12*1.04</f>
        <v>1244.991627</v>
      </c>
      <c r="BE12" s="13">
        <f t="shared" si="16"/>
        <v>1294.791293</v>
      </c>
      <c r="BF12" s="13">
        <f t="shared" si="16"/>
        <v>1346.582944</v>
      </c>
      <c r="BG12" s="13">
        <f t="shared" si="16"/>
        <v>1400.446262</v>
      </c>
      <c r="BH12" s="13">
        <f t="shared" ref="BH12:BK12" si="17">+BG12*1.03</f>
        <v>1442.45965</v>
      </c>
      <c r="BI12" s="13">
        <f t="shared" si="17"/>
        <v>1485.733439</v>
      </c>
      <c r="BJ12" s="13">
        <f t="shared" si="17"/>
        <v>1530.305443</v>
      </c>
      <c r="BK12" s="13">
        <f t="shared" si="17"/>
        <v>1576.214606</v>
      </c>
      <c r="BL12" s="13">
        <f t="shared" ref="BL12:BR12" si="18">+BK12*1.02</f>
        <v>1607.738898</v>
      </c>
      <c r="BM12" s="13">
        <f t="shared" si="18"/>
        <v>1639.893676</v>
      </c>
      <c r="BN12" s="13">
        <f t="shared" si="18"/>
        <v>1672.691549</v>
      </c>
      <c r="BO12" s="13">
        <f t="shared" si="18"/>
        <v>1706.14538</v>
      </c>
      <c r="BP12" s="13">
        <f t="shared" si="18"/>
        <v>1740.268288</v>
      </c>
      <c r="BQ12" s="13">
        <f t="shared" si="18"/>
        <v>1775.073654</v>
      </c>
      <c r="BR12" s="13">
        <f t="shared" si="18"/>
        <v>1810.575127</v>
      </c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</row>
    <row r="13" ht="12.75" customHeight="1">
      <c r="A13" s="13"/>
      <c r="B13" s="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</row>
    <row r="14" ht="12.75" customHeight="1">
      <c r="A14" s="13"/>
      <c r="B14" s="5" t="s">
        <v>85</v>
      </c>
      <c r="C14" s="13">
        <v>6895.0</v>
      </c>
      <c r="D14" s="13">
        <v>5848.0</v>
      </c>
      <c r="E14" s="13">
        <v>5330.0</v>
      </c>
      <c r="F14" s="13">
        <f>25484-E14-D14-C14</f>
        <v>7411</v>
      </c>
      <c r="G14" s="13"/>
      <c r="H14" s="13"/>
      <c r="I14" s="13"/>
      <c r="J14" s="13"/>
      <c r="K14" s="13">
        <v>7160.0</v>
      </c>
      <c r="L14" s="13">
        <v>5351.0</v>
      </c>
      <c r="M14" s="13">
        <v>7079.0</v>
      </c>
      <c r="N14" s="13">
        <v>9032.0</v>
      </c>
      <c r="O14" s="13">
        <v>8675.0</v>
      </c>
      <c r="P14" s="13">
        <v>9102.0</v>
      </c>
      <c r="Q14" s="13">
        <v>8235.0</v>
      </c>
      <c r="R14" s="13">
        <v>9178.0</v>
      </c>
      <c r="S14" s="13">
        <v>10852.0</v>
      </c>
      <c r="T14" s="13">
        <v>10435.0</v>
      </c>
      <c r="U14" s="13">
        <v>7382.0</v>
      </c>
      <c r="V14" s="13">
        <v>11508.0</v>
      </c>
      <c r="W14" s="13">
        <v>7735.0</v>
      </c>
      <c r="X14" s="13">
        <v>7168.0</v>
      </c>
      <c r="Y14" s="13"/>
      <c r="Z14" s="13"/>
      <c r="AA14" s="13"/>
      <c r="AB14" s="13"/>
      <c r="AC14" s="13"/>
      <c r="AD14" s="13">
        <f>2747+948+2381</f>
        <v>6076</v>
      </c>
      <c r="AE14" s="13">
        <v>4403.0</v>
      </c>
      <c r="AF14" s="13">
        <v>4534.0</v>
      </c>
      <c r="AG14" s="13">
        <v>4491.0</v>
      </c>
      <c r="AH14" s="13">
        <v>4923.0</v>
      </c>
      <c r="AI14" s="13">
        <v>6275.0</v>
      </c>
      <c r="AJ14" s="13">
        <v>7375.0</v>
      </c>
      <c r="AK14" s="13">
        <v>10314.0</v>
      </c>
      <c r="AL14" s="13">
        <v>14354.0</v>
      </c>
      <c r="AM14" s="13">
        <v>13859.0</v>
      </c>
      <c r="AN14" s="13">
        <v>17479.0</v>
      </c>
      <c r="AO14" s="13">
        <v>21783.0</v>
      </c>
      <c r="AP14" s="13">
        <v>23221.0</v>
      </c>
      <c r="AQ14" s="13">
        <v>21483.0</v>
      </c>
      <c r="AR14" s="13">
        <v>24079.0</v>
      </c>
      <c r="AS14" s="13">
        <v>25471.0</v>
      </c>
      <c r="AT14" s="13">
        <v>22831.0</v>
      </c>
      <c r="AU14" s="13">
        <v>25850.0</v>
      </c>
      <c r="AV14" s="13">
        <v>25198.0</v>
      </c>
      <c r="AW14" s="13">
        <v>25740.0</v>
      </c>
      <c r="AX14" s="13">
        <f t="shared" ref="AX14:AX16" si="23">SUM(K14:N14)</f>
        <v>28622</v>
      </c>
      <c r="AY14" s="13">
        <f t="shared" ref="AY14:AY16" si="24">SUM(O14:R14)</f>
        <v>35190</v>
      </c>
      <c r="AZ14" s="13">
        <f t="shared" ref="AZ14:AZ16" si="25">SUM(S14:V14)</f>
        <v>40177</v>
      </c>
      <c r="BA14" s="13">
        <f t="shared" ref="BA14:BB14" si="19">+AZ14*1.03</f>
        <v>41382.31</v>
      </c>
      <c r="BB14" s="13">
        <f t="shared" si="19"/>
        <v>42623.7793</v>
      </c>
      <c r="BC14" s="13">
        <f t="shared" ref="BC14:BG14" si="20">+BB14*1.07</f>
        <v>45607.44385</v>
      </c>
      <c r="BD14" s="13">
        <f t="shared" si="20"/>
        <v>48799.96492</v>
      </c>
      <c r="BE14" s="13">
        <f t="shared" si="20"/>
        <v>52215.96247</v>
      </c>
      <c r="BF14" s="13">
        <f t="shared" si="20"/>
        <v>55871.07984</v>
      </c>
      <c r="BG14" s="13">
        <f t="shared" si="20"/>
        <v>59782.05543</v>
      </c>
      <c r="BH14" s="13">
        <f t="shared" ref="BH14:BL14" si="21">+BG14*1.06</f>
        <v>63368.97875</v>
      </c>
      <c r="BI14" s="13">
        <f t="shared" si="21"/>
        <v>67171.11748</v>
      </c>
      <c r="BJ14" s="13">
        <f t="shared" si="21"/>
        <v>71201.38453</v>
      </c>
      <c r="BK14" s="13">
        <f t="shared" si="21"/>
        <v>75473.4676</v>
      </c>
      <c r="BL14" s="13">
        <f t="shared" si="21"/>
        <v>80001.87565</v>
      </c>
      <c r="BM14" s="13">
        <f t="shared" ref="BM14:BR14" si="22">+BL14*1.05</f>
        <v>84001.96944</v>
      </c>
      <c r="BN14" s="13">
        <f t="shared" si="22"/>
        <v>88202.06791</v>
      </c>
      <c r="BO14" s="13">
        <f t="shared" si="22"/>
        <v>92612.1713</v>
      </c>
      <c r="BP14" s="13">
        <f t="shared" si="22"/>
        <v>97242.77987</v>
      </c>
      <c r="BQ14" s="13">
        <f t="shared" si="22"/>
        <v>102104.9189</v>
      </c>
      <c r="BR14" s="13">
        <f t="shared" si="22"/>
        <v>107210.1648</v>
      </c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</row>
    <row r="15" ht="12.75" customHeight="1">
      <c r="A15" s="13"/>
      <c r="B15" s="5" t="s">
        <v>86</v>
      </c>
      <c r="C15" s="13">
        <v>5862.0</v>
      </c>
      <c r="D15" s="13">
        <v>4113.0</v>
      </c>
      <c r="E15" s="13">
        <v>4741.0</v>
      </c>
      <c r="F15" s="13">
        <f>18805-E15-D15-C15</f>
        <v>4089</v>
      </c>
      <c r="G15" s="13"/>
      <c r="H15" s="13"/>
      <c r="I15" s="13"/>
      <c r="J15" s="13"/>
      <c r="K15" s="13">
        <v>5977.0</v>
      </c>
      <c r="L15" s="13">
        <v>4368.0</v>
      </c>
      <c r="M15" s="13">
        <v>6582.0</v>
      </c>
      <c r="N15" s="13">
        <v>6797.0</v>
      </c>
      <c r="O15" s="13">
        <v>8435.0</v>
      </c>
      <c r="P15" s="13">
        <v>7807.0</v>
      </c>
      <c r="Q15" s="13">
        <v>7368.0</v>
      </c>
      <c r="R15" s="13">
        <v>8252.0</v>
      </c>
      <c r="S15" s="13">
        <v>7248.0</v>
      </c>
      <c r="T15" s="13">
        <v>7646.0</v>
      </c>
      <c r="U15" s="13">
        <v>7224.0</v>
      </c>
      <c r="V15" s="13">
        <v>7174.0</v>
      </c>
      <c r="W15" s="13">
        <v>9396.0</v>
      </c>
      <c r="X15" s="13">
        <v>6670.0</v>
      </c>
      <c r="Y15" s="13"/>
      <c r="Z15" s="13"/>
      <c r="AA15" s="13"/>
      <c r="AB15" s="13"/>
      <c r="AC15" s="13"/>
      <c r="AD15" s="13">
        <v>0.0</v>
      </c>
      <c r="AE15" s="13">
        <v>0.0</v>
      </c>
      <c r="AF15" s="13">
        <v>0.0</v>
      </c>
      <c r="AG15" s="13">
        <v>0.0</v>
      </c>
      <c r="AH15" s="13">
        <v>0.0</v>
      </c>
      <c r="AI15" s="13">
        <v>0.0</v>
      </c>
      <c r="AJ15" s="13">
        <v>0.0</v>
      </c>
      <c r="AK15" s="13">
        <v>0.0</v>
      </c>
      <c r="AL15" s="13">
        <v>0.0</v>
      </c>
      <c r="AM15" s="13">
        <v>0.0</v>
      </c>
      <c r="AN15" s="13">
        <v>4958.0</v>
      </c>
      <c r="AO15" s="13">
        <v>19168.0</v>
      </c>
      <c r="AP15" s="13">
        <v>30945.0</v>
      </c>
      <c r="AQ15" s="13">
        <v>31980.0</v>
      </c>
      <c r="AR15" s="13">
        <v>30283.0</v>
      </c>
      <c r="AS15" s="13">
        <v>23227.0</v>
      </c>
      <c r="AT15" s="13">
        <v>20628.0</v>
      </c>
      <c r="AU15" s="13">
        <v>19222.0</v>
      </c>
      <c r="AV15" s="13">
        <v>18380.0</v>
      </c>
      <c r="AW15" s="13">
        <v>21280.0</v>
      </c>
      <c r="AX15" s="13">
        <f t="shared" si="23"/>
        <v>23724</v>
      </c>
      <c r="AY15" s="13">
        <f t="shared" si="24"/>
        <v>31862</v>
      </c>
      <c r="AZ15" s="13">
        <f t="shared" si="25"/>
        <v>29292</v>
      </c>
      <c r="BA15" s="13">
        <f t="shared" ref="BA15:BB15" si="26">+AZ15*1.03</f>
        <v>30170.76</v>
      </c>
      <c r="BB15" s="13">
        <f t="shared" si="26"/>
        <v>31075.8828</v>
      </c>
      <c r="BC15" s="13">
        <f t="shared" ref="BC15:BR15" si="27">+BB15*1.04</f>
        <v>32318.91811</v>
      </c>
      <c r="BD15" s="13">
        <f t="shared" si="27"/>
        <v>33611.67484</v>
      </c>
      <c r="BE15" s="13">
        <f t="shared" si="27"/>
        <v>34956.14183</v>
      </c>
      <c r="BF15" s="13">
        <f t="shared" si="27"/>
        <v>36354.3875</v>
      </c>
      <c r="BG15" s="13">
        <f t="shared" si="27"/>
        <v>37808.563</v>
      </c>
      <c r="BH15" s="13">
        <f t="shared" si="27"/>
        <v>39320.90552</v>
      </c>
      <c r="BI15" s="13">
        <f t="shared" si="27"/>
        <v>40893.74174</v>
      </c>
      <c r="BJ15" s="13">
        <f t="shared" si="27"/>
        <v>42529.49141</v>
      </c>
      <c r="BK15" s="13">
        <f t="shared" si="27"/>
        <v>44230.67107</v>
      </c>
      <c r="BL15" s="13">
        <f t="shared" si="27"/>
        <v>45999.89791</v>
      </c>
      <c r="BM15" s="13">
        <f t="shared" si="27"/>
        <v>47839.89383</v>
      </c>
      <c r="BN15" s="13">
        <f t="shared" si="27"/>
        <v>49753.48958</v>
      </c>
      <c r="BO15" s="13">
        <f t="shared" si="27"/>
        <v>51743.62917</v>
      </c>
      <c r="BP15" s="13">
        <f t="shared" si="27"/>
        <v>53813.37433</v>
      </c>
      <c r="BQ15" s="13">
        <f t="shared" si="27"/>
        <v>55965.90931</v>
      </c>
      <c r="BR15" s="13">
        <f t="shared" si="27"/>
        <v>58204.54568</v>
      </c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</row>
    <row r="16" ht="12.75" customHeight="1">
      <c r="A16" s="13"/>
      <c r="B16" s="5" t="s">
        <v>87</v>
      </c>
      <c r="C16" s="13">
        <v>5489.0</v>
      </c>
      <c r="D16" s="13">
        <v>3954.0</v>
      </c>
      <c r="E16" s="13">
        <v>3740.0</v>
      </c>
      <c r="F16" s="13">
        <f>17417-E16-D16-C16</f>
        <v>4234</v>
      </c>
      <c r="G16" s="13"/>
      <c r="H16" s="13"/>
      <c r="I16" s="13"/>
      <c r="J16" s="13"/>
      <c r="K16" s="13">
        <v>10010.0</v>
      </c>
      <c r="L16" s="13">
        <v>6284.0</v>
      </c>
      <c r="M16" s="13">
        <v>6450.0</v>
      </c>
      <c r="N16" s="13">
        <v>7876.0</v>
      </c>
      <c r="O16" s="13">
        <v>12971.0</v>
      </c>
      <c r="P16" s="13">
        <v>7836.0</v>
      </c>
      <c r="Q16" s="13">
        <v>8775.0</v>
      </c>
      <c r="R16" s="13">
        <v>8785.0</v>
      </c>
      <c r="S16" s="13">
        <v>14701.0</v>
      </c>
      <c r="T16" s="13">
        <v>8806.0</v>
      </c>
      <c r="U16" s="13">
        <v>8084.0</v>
      </c>
      <c r="V16" s="13">
        <v>9650.0</v>
      </c>
      <c r="W16" s="13">
        <v>13482.0</v>
      </c>
      <c r="X16" s="13">
        <v>8757.0</v>
      </c>
      <c r="Y16" s="13"/>
      <c r="Z16" s="13"/>
      <c r="AA16" s="13"/>
      <c r="AB16" s="13"/>
      <c r="AC16" s="13"/>
      <c r="AD16" s="13">
        <v>809.0</v>
      </c>
      <c r="AE16" s="13">
        <v>387.0</v>
      </c>
      <c r="AF16" s="13">
        <f>143+4+527</f>
        <v>674</v>
      </c>
      <c r="AG16" s="13">
        <f>345+691</f>
        <v>1036</v>
      </c>
      <c r="AH16" s="13">
        <f>1306+951</f>
        <v>2257</v>
      </c>
      <c r="AI16" s="13">
        <f>4540+1126</f>
        <v>5666</v>
      </c>
      <c r="AJ16" s="13">
        <f>7676+1100</f>
        <v>8776</v>
      </c>
      <c r="AK16" s="13">
        <f>8305+1260</f>
        <v>9565</v>
      </c>
      <c r="AL16" s="13">
        <f>9153+1694</f>
        <v>10847</v>
      </c>
      <c r="AM16" s="13">
        <f>1475+8091</f>
        <v>9566</v>
      </c>
      <c r="AN16" s="13">
        <f>1814+8274</f>
        <v>10088</v>
      </c>
      <c r="AO16" s="13">
        <f>7453+4474</f>
        <v>11927</v>
      </c>
      <c r="AP16" s="13">
        <f>5145+5615</f>
        <v>10760</v>
      </c>
      <c r="AQ16" s="13">
        <f>4411+5706</f>
        <v>10117</v>
      </c>
      <c r="AR16" s="13">
        <f>6093+2286</f>
        <v>8379</v>
      </c>
      <c r="AS16" s="13">
        <v>10067.0</v>
      </c>
      <c r="AT16" s="13">
        <v>11132.0</v>
      </c>
      <c r="AU16" s="13">
        <v>12863.0</v>
      </c>
      <c r="AV16" s="13">
        <v>17381.0</v>
      </c>
      <c r="AW16" s="13">
        <v>24482.0</v>
      </c>
      <c r="AX16" s="13">
        <f t="shared" si="23"/>
        <v>30620</v>
      </c>
      <c r="AY16" s="13">
        <f t="shared" si="24"/>
        <v>38367</v>
      </c>
      <c r="AZ16" s="13">
        <f t="shared" si="25"/>
        <v>41241</v>
      </c>
      <c r="BA16" s="13">
        <f t="shared" ref="BA16:BB16" si="28">+AZ16*1.03</f>
        <v>42478.23</v>
      </c>
      <c r="BB16" s="13">
        <f t="shared" si="28"/>
        <v>43752.5769</v>
      </c>
      <c r="BC16" s="13">
        <f t="shared" ref="BC16:BR16" si="29">+BB16*1.04</f>
        <v>45502.67998</v>
      </c>
      <c r="BD16" s="13">
        <f t="shared" si="29"/>
        <v>47322.78718</v>
      </c>
      <c r="BE16" s="13">
        <f t="shared" si="29"/>
        <v>49215.69866</v>
      </c>
      <c r="BF16" s="13">
        <f t="shared" si="29"/>
        <v>51184.32661</v>
      </c>
      <c r="BG16" s="13">
        <f t="shared" si="29"/>
        <v>53231.69967</v>
      </c>
      <c r="BH16" s="13">
        <f t="shared" si="29"/>
        <v>55360.96766</v>
      </c>
      <c r="BI16" s="13">
        <f t="shared" si="29"/>
        <v>57575.40637</v>
      </c>
      <c r="BJ16" s="13">
        <f t="shared" si="29"/>
        <v>59878.42262</v>
      </c>
      <c r="BK16" s="13">
        <f t="shared" si="29"/>
        <v>62273.55953</v>
      </c>
      <c r="BL16" s="13">
        <f t="shared" si="29"/>
        <v>64764.50191</v>
      </c>
      <c r="BM16" s="13">
        <f t="shared" si="29"/>
        <v>67355.08198</v>
      </c>
      <c r="BN16" s="13">
        <f t="shared" si="29"/>
        <v>70049.28526</v>
      </c>
      <c r="BO16" s="13">
        <f t="shared" si="29"/>
        <v>72851.25667</v>
      </c>
      <c r="BP16" s="13">
        <f t="shared" si="29"/>
        <v>75765.30694</v>
      </c>
      <c r="BQ16" s="13">
        <f t="shared" si="29"/>
        <v>78795.91922</v>
      </c>
      <c r="BR16" s="13">
        <f t="shared" si="29"/>
        <v>81947.75599</v>
      </c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</row>
    <row r="17" ht="12.75" customHeight="1">
      <c r="A17" s="13"/>
      <c r="B17" s="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</row>
    <row r="18" ht="12.75" customHeight="1">
      <c r="A18" s="5"/>
      <c r="B18" s="5" t="s">
        <v>88</v>
      </c>
      <c r="C18" s="5">
        <f t="shared" ref="C18:F18" si="30">SUM(C14:C16)+C10</f>
        <v>79822</v>
      </c>
      <c r="D18" s="5">
        <f t="shared" si="30"/>
        <v>51947</v>
      </c>
      <c r="E18" s="5">
        <f t="shared" si="30"/>
        <v>43717</v>
      </c>
      <c r="F18" s="5">
        <f t="shared" si="30"/>
        <v>52919</v>
      </c>
      <c r="G18" s="5"/>
      <c r="H18" s="5"/>
      <c r="I18" s="5"/>
      <c r="J18" s="5"/>
      <c r="K18" s="5">
        <f t="shared" ref="K18:V18" si="31">SUM(K14:K16)+K10</f>
        <v>79104</v>
      </c>
      <c r="L18" s="5">
        <f t="shared" si="31"/>
        <v>44965</v>
      </c>
      <c r="M18" s="5">
        <f t="shared" si="31"/>
        <v>46529</v>
      </c>
      <c r="N18" s="5">
        <f t="shared" si="31"/>
        <v>50149</v>
      </c>
      <c r="O18" s="5">
        <f t="shared" si="31"/>
        <v>95678</v>
      </c>
      <c r="P18" s="5">
        <f t="shared" si="31"/>
        <v>72683</v>
      </c>
      <c r="Q18" s="5">
        <f t="shared" si="31"/>
        <v>63948</v>
      </c>
      <c r="R18" s="5">
        <f t="shared" si="31"/>
        <v>65083</v>
      </c>
      <c r="S18" s="5">
        <f t="shared" si="31"/>
        <v>104429</v>
      </c>
      <c r="T18" s="5">
        <f t="shared" si="31"/>
        <v>77457</v>
      </c>
      <c r="U18" s="5">
        <f t="shared" si="31"/>
        <v>63355</v>
      </c>
      <c r="V18" s="5">
        <f t="shared" si="31"/>
        <v>70958</v>
      </c>
      <c r="W18" s="5">
        <v>96388.0</v>
      </c>
      <c r="X18" s="5">
        <v>73929.0</v>
      </c>
      <c r="Y18" s="5">
        <f>U18*0.97</f>
        <v>61454.35</v>
      </c>
      <c r="Z18" s="5">
        <f>V18*1.01</f>
        <v>71667.58</v>
      </c>
      <c r="AA18" s="5"/>
      <c r="AB18" s="5"/>
      <c r="AC18" s="5"/>
      <c r="AD18" s="5">
        <f t="shared" ref="AD18:AZ18" si="32">SUM(AD14:AD16)+AD10</f>
        <v>6885</v>
      </c>
      <c r="AE18" s="5">
        <f t="shared" si="32"/>
        <v>4790</v>
      </c>
      <c r="AF18" s="5">
        <f t="shared" si="32"/>
        <v>5208</v>
      </c>
      <c r="AG18" s="5">
        <f t="shared" si="32"/>
        <v>5527</v>
      </c>
      <c r="AH18" s="5">
        <f t="shared" si="32"/>
        <v>7180</v>
      </c>
      <c r="AI18" s="5">
        <f t="shared" si="32"/>
        <v>11941</v>
      </c>
      <c r="AJ18" s="5">
        <f t="shared" si="32"/>
        <v>16151</v>
      </c>
      <c r="AK18" s="5">
        <f t="shared" si="32"/>
        <v>20002</v>
      </c>
      <c r="AL18" s="5">
        <f t="shared" si="32"/>
        <v>31943</v>
      </c>
      <c r="AM18" s="5">
        <f t="shared" si="32"/>
        <v>36458</v>
      </c>
      <c r="AN18" s="5">
        <f t="shared" si="32"/>
        <v>57704</v>
      </c>
      <c r="AO18" s="5">
        <f t="shared" si="32"/>
        <v>98876</v>
      </c>
      <c r="AP18" s="5">
        <f t="shared" si="32"/>
        <v>143618</v>
      </c>
      <c r="AQ18" s="5">
        <f t="shared" si="32"/>
        <v>154859</v>
      </c>
      <c r="AR18" s="5">
        <f t="shared" si="32"/>
        <v>164732</v>
      </c>
      <c r="AS18" s="5">
        <f t="shared" si="32"/>
        <v>213806</v>
      </c>
      <c r="AT18" s="5">
        <f t="shared" si="32"/>
        <v>191291</v>
      </c>
      <c r="AU18" s="5">
        <f t="shared" si="32"/>
        <v>199254</v>
      </c>
      <c r="AV18" s="5">
        <f t="shared" si="32"/>
        <v>225847</v>
      </c>
      <c r="AW18" s="5">
        <f t="shared" si="32"/>
        <v>213883</v>
      </c>
      <c r="AX18" s="5">
        <f t="shared" si="32"/>
        <v>220747</v>
      </c>
      <c r="AY18" s="5">
        <f t="shared" si="32"/>
        <v>297392</v>
      </c>
      <c r="AZ18" s="5">
        <f t="shared" si="32"/>
        <v>316199</v>
      </c>
      <c r="BA18" s="5">
        <f t="shared" ref="BA18:BA19" si="34">SUM(W18:Z18)</f>
        <v>303438.93</v>
      </c>
      <c r="BB18" s="5">
        <f t="shared" ref="BB18:BR18" si="33">SUM(BB14:BB16)+BB10</f>
        <v>331284.9164</v>
      </c>
      <c r="BC18" s="5">
        <f t="shared" si="33"/>
        <v>351545.7422</v>
      </c>
      <c r="BD18" s="5">
        <f t="shared" si="33"/>
        <v>370771.6571</v>
      </c>
      <c r="BE18" s="5">
        <f t="shared" si="33"/>
        <v>391077.3818</v>
      </c>
      <c r="BF18" s="5">
        <f t="shared" si="33"/>
        <v>412524.9906</v>
      </c>
      <c r="BG18" s="5">
        <f t="shared" si="33"/>
        <v>435180.1995</v>
      </c>
      <c r="BH18" s="5">
        <f t="shared" si="33"/>
        <v>455625.6876</v>
      </c>
      <c r="BI18" s="5">
        <f t="shared" si="33"/>
        <v>477046.3796</v>
      </c>
      <c r="BJ18" s="5">
        <f t="shared" si="33"/>
        <v>499489.5688</v>
      </c>
      <c r="BK18" s="5">
        <f t="shared" si="33"/>
        <v>523004.8834</v>
      </c>
      <c r="BL18" s="5">
        <f t="shared" si="33"/>
        <v>544179.568</v>
      </c>
      <c r="BM18" s="5">
        <f t="shared" si="33"/>
        <v>565446.2086</v>
      </c>
      <c r="BN18" s="5">
        <f t="shared" si="33"/>
        <v>587556.2793</v>
      </c>
      <c r="BO18" s="5">
        <f t="shared" si="33"/>
        <v>610543.8019</v>
      </c>
      <c r="BP18" s="5">
        <f t="shared" si="33"/>
        <v>634444.1965</v>
      </c>
      <c r="BQ18" s="5">
        <f t="shared" si="33"/>
        <v>659294.3405</v>
      </c>
      <c r="BR18" s="5">
        <f t="shared" si="33"/>
        <v>685132.6297</v>
      </c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</row>
    <row r="19" ht="12.75" customHeight="1">
      <c r="A19" s="5"/>
      <c r="B19" s="5" t="s">
        <v>89</v>
      </c>
      <c r="C19" s="5">
        <v>8471.0</v>
      </c>
      <c r="D19" s="5">
        <v>9190.0</v>
      </c>
      <c r="E19" s="5">
        <v>9548.0</v>
      </c>
      <c r="F19" s="5">
        <f>37190-E19-D19-C19</f>
        <v>9981</v>
      </c>
      <c r="G19" s="5"/>
      <c r="H19" s="5"/>
      <c r="I19" s="5"/>
      <c r="J19" s="5"/>
      <c r="K19" s="5">
        <v>12715.0</v>
      </c>
      <c r="L19" s="5">
        <v>13348.0</v>
      </c>
      <c r="M19" s="5">
        <v>13156.0</v>
      </c>
      <c r="N19" s="5">
        <v>14549.0</v>
      </c>
      <c r="O19" s="5">
        <v>15761.0</v>
      </c>
      <c r="P19" s="5">
        <v>16901.0</v>
      </c>
      <c r="Q19" s="5">
        <v>17486.0</v>
      </c>
      <c r="R19" s="5">
        <v>18277.0</v>
      </c>
      <c r="S19" s="5">
        <v>19516.0</v>
      </c>
      <c r="T19" s="5">
        <v>19821.0</v>
      </c>
      <c r="U19" s="5">
        <v>19604.0</v>
      </c>
      <c r="V19" s="5">
        <v>19188.0</v>
      </c>
      <c r="W19" s="5">
        <v>20766.0</v>
      </c>
      <c r="X19" s="5">
        <v>20907.0</v>
      </c>
      <c r="Y19" s="5">
        <f>U19*1.05</f>
        <v>20584.2</v>
      </c>
      <c r="Z19" s="5">
        <v>20907.0</v>
      </c>
      <c r="AA19" s="5"/>
      <c r="AB19" s="5"/>
      <c r="AC19" s="5"/>
      <c r="AD19" s="5">
        <v>1098.0</v>
      </c>
      <c r="AE19" s="5">
        <f>343+230</f>
        <v>573</v>
      </c>
      <c r="AF19" s="5">
        <f>307+227</f>
        <v>534</v>
      </c>
      <c r="AG19" s="5">
        <f>644+36</f>
        <v>680</v>
      </c>
      <c r="AH19" s="5">
        <f>821+278</f>
        <v>1099</v>
      </c>
      <c r="AI19" s="5">
        <f>899+1091</f>
        <v>1990</v>
      </c>
      <c r="AJ19" s="5">
        <f>1885+1279</f>
        <v>3164</v>
      </c>
      <c r="AK19" s="5">
        <f>2496+1508</f>
        <v>4004</v>
      </c>
      <c r="AL19" s="5">
        <f>2208+3340</f>
        <v>5548</v>
      </c>
      <c r="AM19" s="5">
        <f>2411+4036</f>
        <v>6447</v>
      </c>
      <c r="AN19" s="5">
        <f>2573+4948</f>
        <v>7521</v>
      </c>
      <c r="AO19" s="5">
        <v>9373.0</v>
      </c>
      <c r="AP19" s="5">
        <v>12890.0</v>
      </c>
      <c r="AQ19" s="5">
        <v>16051.0</v>
      </c>
      <c r="AR19" s="5">
        <v>18063.0</v>
      </c>
      <c r="AS19" s="5">
        <v>19909.0</v>
      </c>
      <c r="AT19" s="5">
        <v>24348.0</v>
      </c>
      <c r="AU19" s="5">
        <v>29980.0</v>
      </c>
      <c r="AV19" s="13">
        <v>39748.0</v>
      </c>
      <c r="AW19" s="13">
        <v>46291.0</v>
      </c>
      <c r="AX19" s="13">
        <f>SUM(K19:N19)</f>
        <v>53768</v>
      </c>
      <c r="AY19" s="13">
        <f>SUM(O19:R19)</f>
        <v>68425</v>
      </c>
      <c r="AZ19" s="13">
        <f>SUM(S19:V19)</f>
        <v>78129</v>
      </c>
      <c r="BA19" s="5">
        <f t="shared" si="34"/>
        <v>83164.2</v>
      </c>
      <c r="BB19" s="13">
        <f t="shared" ref="BB19:BC19" si="35">+BA19*1.15</f>
        <v>95638.83</v>
      </c>
      <c r="BC19" s="13">
        <f t="shared" si="35"/>
        <v>109984.6545</v>
      </c>
      <c r="BD19" s="13">
        <f t="shared" ref="BD19:BF19" si="36">+BC19*1.1</f>
        <v>120983.12</v>
      </c>
      <c r="BE19" s="13">
        <f t="shared" si="36"/>
        <v>133081.4319</v>
      </c>
      <c r="BF19" s="13">
        <f t="shared" si="36"/>
        <v>146389.5751</v>
      </c>
      <c r="BG19" s="13">
        <f t="shared" ref="BG19:BR19" si="37">+BF19*1.05</f>
        <v>153709.0539</v>
      </c>
      <c r="BH19" s="13">
        <f t="shared" si="37"/>
        <v>161394.5066</v>
      </c>
      <c r="BI19" s="13">
        <f t="shared" si="37"/>
        <v>169464.2319</v>
      </c>
      <c r="BJ19" s="13">
        <f t="shared" si="37"/>
        <v>177937.4435</v>
      </c>
      <c r="BK19" s="13">
        <f t="shared" si="37"/>
        <v>186834.3157</v>
      </c>
      <c r="BL19" s="13">
        <f t="shared" si="37"/>
        <v>196176.0315</v>
      </c>
      <c r="BM19" s="13">
        <f t="shared" si="37"/>
        <v>205984.8331</v>
      </c>
      <c r="BN19" s="13">
        <f t="shared" si="37"/>
        <v>216284.0747</v>
      </c>
      <c r="BO19" s="13">
        <f t="shared" si="37"/>
        <v>227098.2784</v>
      </c>
      <c r="BP19" s="13">
        <f t="shared" si="37"/>
        <v>238453.1924</v>
      </c>
      <c r="BQ19" s="13">
        <f t="shared" si="37"/>
        <v>250375.852</v>
      </c>
      <c r="BR19" s="13">
        <f t="shared" si="37"/>
        <v>262894.6446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</row>
    <row r="20" ht="12.75" customHeight="1">
      <c r="A20" s="16"/>
      <c r="B20" s="16" t="s">
        <v>90</v>
      </c>
      <c r="C20" s="16">
        <f t="shared" ref="C20:F20" si="38">+C18+C19</f>
        <v>88293</v>
      </c>
      <c r="D20" s="16">
        <f t="shared" si="38"/>
        <v>61137</v>
      </c>
      <c r="E20" s="16">
        <f t="shared" si="38"/>
        <v>53265</v>
      </c>
      <c r="F20" s="16">
        <f t="shared" si="38"/>
        <v>62900</v>
      </c>
      <c r="G20" s="16"/>
      <c r="H20" s="16"/>
      <c r="I20" s="16"/>
      <c r="J20" s="16"/>
      <c r="K20" s="16">
        <f t="shared" ref="K20:V20" si="39">+K18+K19</f>
        <v>91819</v>
      </c>
      <c r="L20" s="16">
        <f t="shared" si="39"/>
        <v>58313</v>
      </c>
      <c r="M20" s="16">
        <f t="shared" si="39"/>
        <v>59685</v>
      </c>
      <c r="N20" s="16">
        <f t="shared" si="39"/>
        <v>64698</v>
      </c>
      <c r="O20" s="16">
        <f t="shared" si="39"/>
        <v>111439</v>
      </c>
      <c r="P20" s="16">
        <f t="shared" si="39"/>
        <v>89584</v>
      </c>
      <c r="Q20" s="16">
        <f t="shared" si="39"/>
        <v>81434</v>
      </c>
      <c r="R20" s="16">
        <f t="shared" si="39"/>
        <v>83360</v>
      </c>
      <c r="S20" s="16">
        <f t="shared" si="39"/>
        <v>123945</v>
      </c>
      <c r="T20" s="16">
        <f t="shared" si="39"/>
        <v>97278</v>
      </c>
      <c r="U20" s="16">
        <f t="shared" si="39"/>
        <v>82959</v>
      </c>
      <c r="V20" s="16">
        <f t="shared" si="39"/>
        <v>90146</v>
      </c>
      <c r="W20" s="16">
        <f t="shared" ref="W20:Z20" si="40">+W19+W18</f>
        <v>117154</v>
      </c>
      <c r="X20" s="16">
        <f t="shared" si="40"/>
        <v>94836</v>
      </c>
      <c r="Y20" s="16">
        <f t="shared" si="40"/>
        <v>82038.55</v>
      </c>
      <c r="Z20" s="16">
        <f t="shared" si="40"/>
        <v>92574.58</v>
      </c>
      <c r="AA20" s="16"/>
      <c r="AB20" s="16">
        <v>5941.0</v>
      </c>
      <c r="AC20" s="16">
        <v>6134.0</v>
      </c>
      <c r="AD20" s="16">
        <f t="shared" ref="AD20:BR20" si="41">+AD18+AD19</f>
        <v>7983</v>
      </c>
      <c r="AE20" s="16">
        <f t="shared" si="41"/>
        <v>5363</v>
      </c>
      <c r="AF20" s="16">
        <f t="shared" si="41"/>
        <v>5742</v>
      </c>
      <c r="AG20" s="16">
        <f t="shared" si="41"/>
        <v>6207</v>
      </c>
      <c r="AH20" s="16">
        <f t="shared" si="41"/>
        <v>8279</v>
      </c>
      <c r="AI20" s="16">
        <f t="shared" si="41"/>
        <v>13931</v>
      </c>
      <c r="AJ20" s="16">
        <f t="shared" si="41"/>
        <v>19315</v>
      </c>
      <c r="AK20" s="17">
        <f t="shared" si="41"/>
        <v>24006</v>
      </c>
      <c r="AL20" s="16">
        <f t="shared" si="41"/>
        <v>37491</v>
      </c>
      <c r="AM20" s="16">
        <f t="shared" si="41"/>
        <v>42905</v>
      </c>
      <c r="AN20" s="16">
        <f t="shared" si="41"/>
        <v>65225</v>
      </c>
      <c r="AO20" s="16">
        <f t="shared" si="41"/>
        <v>108249</v>
      </c>
      <c r="AP20" s="16">
        <f t="shared" si="41"/>
        <v>156508</v>
      </c>
      <c r="AQ20" s="16">
        <f t="shared" si="41"/>
        <v>170910</v>
      </c>
      <c r="AR20" s="16">
        <f t="shared" si="41"/>
        <v>182795</v>
      </c>
      <c r="AS20" s="16">
        <f t="shared" si="41"/>
        <v>233715</v>
      </c>
      <c r="AT20" s="16">
        <f t="shared" si="41"/>
        <v>215639</v>
      </c>
      <c r="AU20" s="16">
        <f t="shared" si="41"/>
        <v>229234</v>
      </c>
      <c r="AV20" s="16">
        <f t="shared" si="41"/>
        <v>265595</v>
      </c>
      <c r="AW20" s="16">
        <f t="shared" si="41"/>
        <v>260174</v>
      </c>
      <c r="AX20" s="16">
        <f t="shared" si="41"/>
        <v>274515</v>
      </c>
      <c r="AY20" s="16">
        <f t="shared" si="41"/>
        <v>365817</v>
      </c>
      <c r="AZ20" s="16">
        <f t="shared" si="41"/>
        <v>394328</v>
      </c>
      <c r="BA20" s="16">
        <f t="shared" si="41"/>
        <v>386603.13</v>
      </c>
      <c r="BB20" s="16">
        <f t="shared" si="41"/>
        <v>426923.7464</v>
      </c>
      <c r="BC20" s="16">
        <f t="shared" si="41"/>
        <v>461530.3967</v>
      </c>
      <c r="BD20" s="16">
        <f t="shared" si="41"/>
        <v>491754.777</v>
      </c>
      <c r="BE20" s="16">
        <f t="shared" si="41"/>
        <v>524158.8138</v>
      </c>
      <c r="BF20" s="16">
        <f t="shared" si="41"/>
        <v>558914.5657</v>
      </c>
      <c r="BG20" s="16">
        <f t="shared" si="41"/>
        <v>588889.2534</v>
      </c>
      <c r="BH20" s="16">
        <f t="shared" si="41"/>
        <v>617020.1942</v>
      </c>
      <c r="BI20" s="16">
        <f t="shared" si="41"/>
        <v>646510.6116</v>
      </c>
      <c r="BJ20" s="16">
        <f t="shared" si="41"/>
        <v>677427.0123</v>
      </c>
      <c r="BK20" s="16">
        <f t="shared" si="41"/>
        <v>709839.1991</v>
      </c>
      <c r="BL20" s="16">
        <f t="shared" si="41"/>
        <v>740355.5995</v>
      </c>
      <c r="BM20" s="16">
        <f t="shared" si="41"/>
        <v>771431.0416</v>
      </c>
      <c r="BN20" s="16">
        <f t="shared" si="41"/>
        <v>803840.3541</v>
      </c>
      <c r="BO20" s="16">
        <f t="shared" si="41"/>
        <v>837642.0804</v>
      </c>
      <c r="BP20" s="16">
        <f t="shared" si="41"/>
        <v>872897.3888</v>
      </c>
      <c r="BQ20" s="16">
        <f t="shared" si="41"/>
        <v>909670.1925</v>
      </c>
      <c r="BR20" s="16">
        <f t="shared" si="41"/>
        <v>948027.2743</v>
      </c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</row>
    <row r="21" ht="12.75" customHeight="1">
      <c r="A21" s="5"/>
      <c r="B21" s="5" t="s">
        <v>91</v>
      </c>
      <c r="C21" s="5"/>
      <c r="D21" s="5"/>
      <c r="E21" s="5"/>
      <c r="F21" s="5"/>
      <c r="G21" s="5"/>
      <c r="H21" s="5"/>
      <c r="I21" s="5"/>
      <c r="J21" s="5"/>
      <c r="K21" s="5">
        <v>52075.0</v>
      </c>
      <c r="L21" s="5">
        <v>31321.0</v>
      </c>
      <c r="M21" s="5">
        <v>32693.0</v>
      </c>
      <c r="N21" s="5">
        <v>35197.0</v>
      </c>
      <c r="O21" s="5">
        <v>62130.0</v>
      </c>
      <c r="P21" s="5">
        <v>46447.0</v>
      </c>
      <c r="Q21" s="5">
        <v>40899.0</v>
      </c>
      <c r="R21" s="5">
        <v>42790.0</v>
      </c>
      <c r="S21" s="5">
        <v>64309.0</v>
      </c>
      <c r="T21" s="5">
        <v>49290.0</v>
      </c>
      <c r="U21" s="5">
        <v>41485.0</v>
      </c>
      <c r="V21" s="5">
        <v>46387.0</v>
      </c>
      <c r="W21" s="5">
        <v>60765.0</v>
      </c>
      <c r="X21" s="5">
        <v>46795.0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13">
        <v>148164.0</v>
      </c>
      <c r="AW21" s="13">
        <v>144996.0</v>
      </c>
      <c r="AX21" s="13">
        <f t="shared" ref="AX21:AX22" si="43">SUM(K21:N21)</f>
        <v>151286</v>
      </c>
      <c r="AY21" s="13">
        <f t="shared" ref="AY21:AY22" si="44">SUM(O21:R21)</f>
        <v>192266</v>
      </c>
      <c r="AZ21" s="13">
        <f t="shared" ref="AZ21:AZ22" si="45">SUM(S21:V21)</f>
        <v>201471</v>
      </c>
      <c r="BA21" s="5">
        <f t="shared" ref="BA21:BR21" si="42">+BA18*0.64</f>
        <v>194200.9152</v>
      </c>
      <c r="BB21" s="5">
        <f t="shared" si="42"/>
        <v>212022.3465</v>
      </c>
      <c r="BC21" s="5">
        <f t="shared" si="42"/>
        <v>224989.275</v>
      </c>
      <c r="BD21" s="5">
        <f t="shared" si="42"/>
        <v>237293.8605</v>
      </c>
      <c r="BE21" s="5">
        <f t="shared" si="42"/>
        <v>250289.5244</v>
      </c>
      <c r="BF21" s="5">
        <f t="shared" si="42"/>
        <v>264015.994</v>
      </c>
      <c r="BG21" s="5">
        <f t="shared" si="42"/>
        <v>278515.3277</v>
      </c>
      <c r="BH21" s="5">
        <f t="shared" si="42"/>
        <v>291600.4401</v>
      </c>
      <c r="BI21" s="5">
        <f t="shared" si="42"/>
        <v>305309.683</v>
      </c>
      <c r="BJ21" s="5">
        <f t="shared" si="42"/>
        <v>319673.324</v>
      </c>
      <c r="BK21" s="5">
        <f t="shared" si="42"/>
        <v>334723.1254</v>
      </c>
      <c r="BL21" s="5">
        <f t="shared" si="42"/>
        <v>348274.9235</v>
      </c>
      <c r="BM21" s="5">
        <f t="shared" si="42"/>
        <v>361885.5735</v>
      </c>
      <c r="BN21" s="5">
        <f t="shared" si="42"/>
        <v>376036.0188</v>
      </c>
      <c r="BO21" s="5">
        <f t="shared" si="42"/>
        <v>390748.0332</v>
      </c>
      <c r="BP21" s="5">
        <f t="shared" si="42"/>
        <v>406044.2857</v>
      </c>
      <c r="BQ21" s="5">
        <f t="shared" si="42"/>
        <v>421948.3779</v>
      </c>
      <c r="BR21" s="5">
        <f t="shared" si="42"/>
        <v>438484.883</v>
      </c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</row>
    <row r="22" ht="12.75" customHeight="1">
      <c r="A22" s="5"/>
      <c r="B22" s="5" t="s">
        <v>92</v>
      </c>
      <c r="C22" s="5"/>
      <c r="D22" s="5"/>
      <c r="E22" s="5"/>
      <c r="F22" s="5"/>
      <c r="G22" s="5"/>
      <c r="H22" s="5"/>
      <c r="I22" s="5"/>
      <c r="J22" s="5"/>
      <c r="K22" s="5">
        <v>4527.0</v>
      </c>
      <c r="L22" s="5">
        <v>4622.0</v>
      </c>
      <c r="M22" s="5">
        <v>4312.0</v>
      </c>
      <c r="N22" s="5">
        <v>4812.0</v>
      </c>
      <c r="O22" s="5">
        <v>4981.0</v>
      </c>
      <c r="P22" s="5">
        <v>5058.0</v>
      </c>
      <c r="Q22" s="5">
        <v>5280.0</v>
      </c>
      <c r="R22" s="5">
        <v>5396.0</v>
      </c>
      <c r="S22" s="5">
        <v>5393.0</v>
      </c>
      <c r="T22" s="5">
        <v>5429.0</v>
      </c>
      <c r="U22" s="5">
        <v>5589.0</v>
      </c>
      <c r="V22" s="5">
        <v>5664.0</v>
      </c>
      <c r="W22" s="5">
        <v>6057.0</v>
      </c>
      <c r="X22" s="5">
        <v>6065.0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13">
        <v>15592.0</v>
      </c>
      <c r="AW22" s="13">
        <v>16786.0</v>
      </c>
      <c r="AX22" s="13">
        <f t="shared" si="43"/>
        <v>18273</v>
      </c>
      <c r="AY22" s="13">
        <f t="shared" si="44"/>
        <v>20715</v>
      </c>
      <c r="AZ22" s="13">
        <f t="shared" si="45"/>
        <v>22075</v>
      </c>
      <c r="BA22" s="5">
        <f t="shared" ref="BA22:BR22" si="46">+BA19*0.27</f>
        <v>22454.334</v>
      </c>
      <c r="BB22" s="5">
        <f t="shared" si="46"/>
        <v>25822.4841</v>
      </c>
      <c r="BC22" s="5">
        <f t="shared" si="46"/>
        <v>29695.85672</v>
      </c>
      <c r="BD22" s="5">
        <f t="shared" si="46"/>
        <v>32665.44239</v>
      </c>
      <c r="BE22" s="5">
        <f t="shared" si="46"/>
        <v>35931.98663</v>
      </c>
      <c r="BF22" s="5">
        <f t="shared" si="46"/>
        <v>39525.18529</v>
      </c>
      <c r="BG22" s="5">
        <f t="shared" si="46"/>
        <v>41501.44455</v>
      </c>
      <c r="BH22" s="5">
        <f t="shared" si="46"/>
        <v>43576.51678</v>
      </c>
      <c r="BI22" s="5">
        <f t="shared" si="46"/>
        <v>45755.34262</v>
      </c>
      <c r="BJ22" s="5">
        <f t="shared" si="46"/>
        <v>48043.10975</v>
      </c>
      <c r="BK22" s="5">
        <f t="shared" si="46"/>
        <v>50445.26524</v>
      </c>
      <c r="BL22" s="5">
        <f t="shared" si="46"/>
        <v>52967.5285</v>
      </c>
      <c r="BM22" s="5">
        <f t="shared" si="46"/>
        <v>55615.90492</v>
      </c>
      <c r="BN22" s="5">
        <f t="shared" si="46"/>
        <v>58396.70017</v>
      </c>
      <c r="BO22" s="5">
        <f t="shared" si="46"/>
        <v>61316.53518</v>
      </c>
      <c r="BP22" s="5">
        <f t="shared" si="46"/>
        <v>64382.36194</v>
      </c>
      <c r="BQ22" s="5">
        <f t="shared" si="46"/>
        <v>67601.48003</v>
      </c>
      <c r="BR22" s="5">
        <f t="shared" si="46"/>
        <v>70981.55404</v>
      </c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</row>
    <row r="23" ht="12.75" customHeight="1">
      <c r="A23" s="5"/>
      <c r="B23" s="5" t="s">
        <v>93</v>
      </c>
      <c r="C23" s="5">
        <v>54381.0</v>
      </c>
      <c r="D23" s="5">
        <v>37715.0</v>
      </c>
      <c r="E23" s="5">
        <v>32844.0</v>
      </c>
      <c r="F23" s="5">
        <f>163756-E23-D23-C23</f>
        <v>38816</v>
      </c>
      <c r="G23" s="5"/>
      <c r="H23" s="5"/>
      <c r="I23" s="5"/>
      <c r="J23" s="5"/>
      <c r="K23" s="5">
        <f t="shared" ref="K23:Z23" si="47">+K21+K22</f>
        <v>56602</v>
      </c>
      <c r="L23" s="5">
        <f t="shared" si="47"/>
        <v>35943</v>
      </c>
      <c r="M23" s="5">
        <f t="shared" si="47"/>
        <v>37005</v>
      </c>
      <c r="N23" s="5">
        <f t="shared" si="47"/>
        <v>40009</v>
      </c>
      <c r="O23" s="5">
        <f t="shared" si="47"/>
        <v>67111</v>
      </c>
      <c r="P23" s="5">
        <f t="shared" si="47"/>
        <v>51505</v>
      </c>
      <c r="Q23" s="5">
        <f t="shared" si="47"/>
        <v>46179</v>
      </c>
      <c r="R23" s="5">
        <f t="shared" si="47"/>
        <v>48186</v>
      </c>
      <c r="S23" s="5">
        <f t="shared" si="47"/>
        <v>69702</v>
      </c>
      <c r="T23" s="5">
        <f t="shared" si="47"/>
        <v>54719</v>
      </c>
      <c r="U23" s="5">
        <f t="shared" si="47"/>
        <v>47074</v>
      </c>
      <c r="V23" s="5">
        <f t="shared" si="47"/>
        <v>52051</v>
      </c>
      <c r="W23" s="5">
        <f t="shared" si="47"/>
        <v>66822</v>
      </c>
      <c r="X23" s="5">
        <f t="shared" si="47"/>
        <v>52860</v>
      </c>
      <c r="Y23" s="5">
        <f t="shared" si="47"/>
        <v>0</v>
      </c>
      <c r="Z23" s="5">
        <f t="shared" si="47"/>
        <v>0</v>
      </c>
      <c r="AA23" s="5"/>
      <c r="AB23" s="5"/>
      <c r="AC23" s="5"/>
      <c r="AD23" s="5">
        <v>5817.0</v>
      </c>
      <c r="AE23" s="5">
        <v>4128.0</v>
      </c>
      <c r="AF23" s="5">
        <v>4139.0</v>
      </c>
      <c r="AG23" s="5">
        <v>4499.0</v>
      </c>
      <c r="AH23" s="5">
        <v>6020.0</v>
      </c>
      <c r="AI23" s="5">
        <v>9888.0</v>
      </c>
      <c r="AJ23" s="5">
        <v>13717.0</v>
      </c>
      <c r="AK23" s="5">
        <v>15852.0</v>
      </c>
      <c r="AL23" s="5">
        <v>24294.0</v>
      </c>
      <c r="AM23" s="5">
        <v>25683.0</v>
      </c>
      <c r="AN23" s="5">
        <v>39541.0</v>
      </c>
      <c r="AO23" s="5">
        <v>64431.0</v>
      </c>
      <c r="AP23" s="5">
        <v>87846.0</v>
      </c>
      <c r="AQ23" s="5">
        <v>106606.0</v>
      </c>
      <c r="AR23" s="5">
        <v>112258.0</v>
      </c>
      <c r="AS23" s="5">
        <v>140089.0</v>
      </c>
      <c r="AT23" s="5">
        <v>131376.0</v>
      </c>
      <c r="AU23" s="5">
        <v>141048.0</v>
      </c>
      <c r="AV23" s="5">
        <f t="shared" ref="AV23:BR23" si="48">+AV21+AV22</f>
        <v>163756</v>
      </c>
      <c r="AW23" s="5">
        <f t="shared" si="48"/>
        <v>161782</v>
      </c>
      <c r="AX23" s="5">
        <f t="shared" si="48"/>
        <v>169559</v>
      </c>
      <c r="AY23" s="5">
        <f t="shared" si="48"/>
        <v>212981</v>
      </c>
      <c r="AZ23" s="5">
        <f t="shared" si="48"/>
        <v>223546</v>
      </c>
      <c r="BA23" s="5">
        <f t="shared" si="48"/>
        <v>216655.2492</v>
      </c>
      <c r="BB23" s="5">
        <f t="shared" si="48"/>
        <v>237844.8306</v>
      </c>
      <c r="BC23" s="5">
        <f t="shared" si="48"/>
        <v>254685.1317</v>
      </c>
      <c r="BD23" s="5">
        <f t="shared" si="48"/>
        <v>269959.3029</v>
      </c>
      <c r="BE23" s="5">
        <f t="shared" si="48"/>
        <v>286221.511</v>
      </c>
      <c r="BF23" s="5">
        <f t="shared" si="48"/>
        <v>303541.1793</v>
      </c>
      <c r="BG23" s="5">
        <f t="shared" si="48"/>
        <v>320016.7722</v>
      </c>
      <c r="BH23" s="5">
        <f t="shared" si="48"/>
        <v>335176.9569</v>
      </c>
      <c r="BI23" s="5">
        <f t="shared" si="48"/>
        <v>351065.0256</v>
      </c>
      <c r="BJ23" s="5">
        <f t="shared" si="48"/>
        <v>367716.4338</v>
      </c>
      <c r="BK23" s="5">
        <f t="shared" si="48"/>
        <v>385168.3906</v>
      </c>
      <c r="BL23" s="5">
        <f t="shared" si="48"/>
        <v>401242.452</v>
      </c>
      <c r="BM23" s="5">
        <f t="shared" si="48"/>
        <v>417501.4784</v>
      </c>
      <c r="BN23" s="5">
        <f t="shared" si="48"/>
        <v>434432.719</v>
      </c>
      <c r="BO23" s="5">
        <f t="shared" si="48"/>
        <v>452064.5684</v>
      </c>
      <c r="BP23" s="5">
        <f t="shared" si="48"/>
        <v>470426.6477</v>
      </c>
      <c r="BQ23" s="5">
        <f t="shared" si="48"/>
        <v>489549.8579</v>
      </c>
      <c r="BR23" s="5">
        <f t="shared" si="48"/>
        <v>509466.4371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</row>
    <row r="24" ht="12.75" customHeight="1">
      <c r="A24" s="5"/>
      <c r="B24" s="5" t="s">
        <v>94</v>
      </c>
      <c r="C24" s="5">
        <f t="shared" ref="C24:F24" si="49">+C20-C23</f>
        <v>33912</v>
      </c>
      <c r="D24" s="5">
        <f t="shared" si="49"/>
        <v>23422</v>
      </c>
      <c r="E24" s="5">
        <f t="shared" si="49"/>
        <v>20421</v>
      </c>
      <c r="F24" s="5">
        <f t="shared" si="49"/>
        <v>24084</v>
      </c>
      <c r="G24" s="5"/>
      <c r="H24" s="5"/>
      <c r="I24" s="5"/>
      <c r="J24" s="5"/>
      <c r="K24" s="5">
        <f t="shared" ref="K24:X24" si="50">+K20-K23</f>
        <v>35217</v>
      </c>
      <c r="L24" s="5">
        <f t="shared" si="50"/>
        <v>22370</v>
      </c>
      <c r="M24" s="5">
        <f t="shared" si="50"/>
        <v>22680</v>
      </c>
      <c r="N24" s="5">
        <f t="shared" si="50"/>
        <v>24689</v>
      </c>
      <c r="O24" s="5">
        <f t="shared" si="50"/>
        <v>44328</v>
      </c>
      <c r="P24" s="5">
        <f t="shared" si="50"/>
        <v>38079</v>
      </c>
      <c r="Q24" s="5">
        <f t="shared" si="50"/>
        <v>35255</v>
      </c>
      <c r="R24" s="5">
        <f t="shared" si="50"/>
        <v>35174</v>
      </c>
      <c r="S24" s="5">
        <f t="shared" si="50"/>
        <v>54243</v>
      </c>
      <c r="T24" s="5">
        <f t="shared" si="50"/>
        <v>42559</v>
      </c>
      <c r="U24" s="5">
        <f t="shared" si="50"/>
        <v>35885</v>
      </c>
      <c r="V24" s="5">
        <f t="shared" si="50"/>
        <v>38095</v>
      </c>
      <c r="W24" s="5">
        <f t="shared" si="50"/>
        <v>50332</v>
      </c>
      <c r="X24" s="5">
        <f t="shared" si="50"/>
        <v>41976</v>
      </c>
      <c r="Y24" s="5">
        <f t="shared" ref="Y24:Z24" si="51">Y20*0.44</f>
        <v>36096.962</v>
      </c>
      <c r="Z24" s="5">
        <f t="shared" si="51"/>
        <v>40732.8152</v>
      </c>
      <c r="AA24" s="5"/>
      <c r="AB24" s="5"/>
      <c r="AC24" s="5"/>
      <c r="AD24" s="5">
        <f t="shared" ref="AD24:BR24" si="52">+AD20-AD23</f>
        <v>2166</v>
      </c>
      <c r="AE24" s="5">
        <f t="shared" si="52"/>
        <v>1235</v>
      </c>
      <c r="AF24" s="5">
        <f t="shared" si="52"/>
        <v>1603</v>
      </c>
      <c r="AG24" s="5">
        <f t="shared" si="52"/>
        <v>1708</v>
      </c>
      <c r="AH24" s="5">
        <f t="shared" si="52"/>
        <v>2259</v>
      </c>
      <c r="AI24" s="5">
        <f t="shared" si="52"/>
        <v>4043</v>
      </c>
      <c r="AJ24" s="5">
        <f t="shared" si="52"/>
        <v>5598</v>
      </c>
      <c r="AK24" s="5">
        <f t="shared" si="52"/>
        <v>8154</v>
      </c>
      <c r="AL24" s="5">
        <f t="shared" si="52"/>
        <v>13197</v>
      </c>
      <c r="AM24" s="5">
        <f t="shared" si="52"/>
        <v>17222</v>
      </c>
      <c r="AN24" s="5">
        <f t="shared" si="52"/>
        <v>25684</v>
      </c>
      <c r="AO24" s="5">
        <f t="shared" si="52"/>
        <v>43818</v>
      </c>
      <c r="AP24" s="5">
        <f t="shared" si="52"/>
        <v>68662</v>
      </c>
      <c r="AQ24" s="5">
        <f t="shared" si="52"/>
        <v>64304</v>
      </c>
      <c r="AR24" s="5">
        <f t="shared" si="52"/>
        <v>70537</v>
      </c>
      <c r="AS24" s="5">
        <f t="shared" si="52"/>
        <v>93626</v>
      </c>
      <c r="AT24" s="5">
        <f t="shared" si="52"/>
        <v>84263</v>
      </c>
      <c r="AU24" s="5">
        <f t="shared" si="52"/>
        <v>88186</v>
      </c>
      <c r="AV24" s="5">
        <f t="shared" si="52"/>
        <v>101839</v>
      </c>
      <c r="AW24" s="5">
        <f t="shared" si="52"/>
        <v>98392</v>
      </c>
      <c r="AX24" s="5">
        <f t="shared" si="52"/>
        <v>104956</v>
      </c>
      <c r="AY24" s="5">
        <f t="shared" si="52"/>
        <v>152836</v>
      </c>
      <c r="AZ24" s="5">
        <f t="shared" si="52"/>
        <v>170782</v>
      </c>
      <c r="BA24" s="5">
        <f t="shared" si="52"/>
        <v>169947.8808</v>
      </c>
      <c r="BB24" s="5">
        <f t="shared" si="52"/>
        <v>189078.9158</v>
      </c>
      <c r="BC24" s="5">
        <f t="shared" si="52"/>
        <v>206845.265</v>
      </c>
      <c r="BD24" s="5">
        <f t="shared" si="52"/>
        <v>221795.4741</v>
      </c>
      <c r="BE24" s="5">
        <f t="shared" si="52"/>
        <v>237937.3028</v>
      </c>
      <c r="BF24" s="5">
        <f t="shared" si="52"/>
        <v>255373.3865</v>
      </c>
      <c r="BG24" s="5">
        <f t="shared" si="52"/>
        <v>268872.4812</v>
      </c>
      <c r="BH24" s="5">
        <f t="shared" si="52"/>
        <v>281843.2374</v>
      </c>
      <c r="BI24" s="5">
        <f t="shared" si="52"/>
        <v>295445.586</v>
      </c>
      <c r="BJ24" s="5">
        <f t="shared" si="52"/>
        <v>309710.5785</v>
      </c>
      <c r="BK24" s="5">
        <f t="shared" si="52"/>
        <v>324670.8085</v>
      </c>
      <c r="BL24" s="5">
        <f t="shared" si="52"/>
        <v>339113.1475</v>
      </c>
      <c r="BM24" s="5">
        <f t="shared" si="52"/>
        <v>353929.5632</v>
      </c>
      <c r="BN24" s="5">
        <f t="shared" si="52"/>
        <v>369407.6351</v>
      </c>
      <c r="BO24" s="5">
        <f t="shared" si="52"/>
        <v>385577.5119</v>
      </c>
      <c r="BP24" s="5">
        <f t="shared" si="52"/>
        <v>402470.7412</v>
      </c>
      <c r="BQ24" s="5">
        <f t="shared" si="52"/>
        <v>420120.3345</v>
      </c>
      <c r="BR24" s="5">
        <f t="shared" si="52"/>
        <v>438560.8372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</row>
    <row r="25" ht="12.75" customHeight="1">
      <c r="A25" s="5"/>
      <c r="B25" s="5" t="s">
        <v>95</v>
      </c>
      <c r="C25" s="5">
        <v>3407.0</v>
      </c>
      <c r="D25" s="5">
        <v>3378.0</v>
      </c>
      <c r="E25" s="5">
        <v>3701.0</v>
      </c>
      <c r="F25" s="5">
        <f>14236-E25-D25-C25</f>
        <v>3750</v>
      </c>
      <c r="G25" s="5"/>
      <c r="H25" s="5"/>
      <c r="I25" s="5"/>
      <c r="J25" s="5"/>
      <c r="K25" s="5">
        <v>4451.0</v>
      </c>
      <c r="L25" s="5">
        <v>4565.0</v>
      </c>
      <c r="M25" s="5">
        <v>4758.0</v>
      </c>
      <c r="N25" s="5">
        <v>4978.0</v>
      </c>
      <c r="O25" s="5">
        <v>5163.0</v>
      </c>
      <c r="P25" s="5">
        <v>5262.0</v>
      </c>
      <c r="Q25" s="5">
        <v>5717.0</v>
      </c>
      <c r="R25" s="5">
        <v>5772.0</v>
      </c>
      <c r="S25" s="5">
        <v>6306.0</v>
      </c>
      <c r="T25" s="5">
        <v>6387.0</v>
      </c>
      <c r="U25" s="5">
        <v>6797.0</v>
      </c>
      <c r="V25" s="5">
        <v>6761.0</v>
      </c>
      <c r="W25" s="5">
        <v>7709.0</v>
      </c>
      <c r="X25" s="5">
        <v>7457.0</v>
      </c>
      <c r="Y25" s="5">
        <f t="shared" ref="Y25:Z25" si="53">U25*1.01</f>
        <v>6864.97</v>
      </c>
      <c r="Z25" s="5">
        <f t="shared" si="53"/>
        <v>6828.61</v>
      </c>
      <c r="AA25" s="5"/>
      <c r="AB25" s="5"/>
      <c r="AC25" s="5"/>
      <c r="AD25" s="5">
        <v>380.0</v>
      </c>
      <c r="AE25" s="5">
        <v>430.0</v>
      </c>
      <c r="AF25" s="5">
        <v>446.0</v>
      </c>
      <c r="AG25" s="5">
        <v>471.0</v>
      </c>
      <c r="AH25" s="5">
        <v>489.0</v>
      </c>
      <c r="AI25" s="5">
        <v>534.0</v>
      </c>
      <c r="AJ25" s="5">
        <v>712.0</v>
      </c>
      <c r="AK25" s="5">
        <v>782.0</v>
      </c>
      <c r="AL25" s="5">
        <v>1109.0</v>
      </c>
      <c r="AM25" s="5">
        <v>1333.0</v>
      </c>
      <c r="AN25" s="5">
        <v>1782.0</v>
      </c>
      <c r="AO25" s="5">
        <v>2429.0</v>
      </c>
      <c r="AP25" s="5">
        <v>3381.0</v>
      </c>
      <c r="AQ25" s="5">
        <v>4475.0</v>
      </c>
      <c r="AR25" s="5">
        <v>6041.0</v>
      </c>
      <c r="AS25" s="5">
        <v>8067.0</v>
      </c>
      <c r="AT25" s="5">
        <v>10045.0</v>
      </c>
      <c r="AU25" s="5">
        <v>11581.0</v>
      </c>
      <c r="AV25" s="13">
        <v>14236.0</v>
      </c>
      <c r="AW25" s="13">
        <v>16217.0</v>
      </c>
      <c r="AX25" s="13">
        <f t="shared" ref="AX25:AX26" si="55">SUM(K25:N25)</f>
        <v>18752</v>
      </c>
      <c r="AY25" s="13">
        <f t="shared" ref="AY25:AY26" si="56">SUM(O25:R25)</f>
        <v>21914</v>
      </c>
      <c r="AZ25" s="13">
        <f t="shared" ref="AZ25:AZ26" si="57">SUM(S25:V25)</f>
        <v>26251</v>
      </c>
      <c r="BA25" s="5">
        <f t="shared" ref="BA25:BR25" si="54">+AZ25*1.03</f>
        <v>27038.53</v>
      </c>
      <c r="BB25" s="5">
        <f t="shared" si="54"/>
        <v>27849.6859</v>
      </c>
      <c r="BC25" s="5">
        <f t="shared" si="54"/>
        <v>28685.17648</v>
      </c>
      <c r="BD25" s="5">
        <f t="shared" si="54"/>
        <v>29545.73177</v>
      </c>
      <c r="BE25" s="5">
        <f t="shared" si="54"/>
        <v>30432.10372</v>
      </c>
      <c r="BF25" s="5">
        <f t="shared" si="54"/>
        <v>31345.06684</v>
      </c>
      <c r="BG25" s="5">
        <f t="shared" si="54"/>
        <v>32285.41884</v>
      </c>
      <c r="BH25" s="5">
        <f t="shared" si="54"/>
        <v>33253.98141</v>
      </c>
      <c r="BI25" s="5">
        <f t="shared" si="54"/>
        <v>34251.60085</v>
      </c>
      <c r="BJ25" s="5">
        <f t="shared" si="54"/>
        <v>35279.14887</v>
      </c>
      <c r="BK25" s="5">
        <f t="shared" si="54"/>
        <v>36337.52334</v>
      </c>
      <c r="BL25" s="5">
        <f t="shared" si="54"/>
        <v>37427.64904</v>
      </c>
      <c r="BM25" s="5">
        <f t="shared" si="54"/>
        <v>38550.47851</v>
      </c>
      <c r="BN25" s="5">
        <f t="shared" si="54"/>
        <v>39706.99287</v>
      </c>
      <c r="BO25" s="5">
        <f t="shared" si="54"/>
        <v>40898.20265</v>
      </c>
      <c r="BP25" s="5">
        <f t="shared" si="54"/>
        <v>42125.14873</v>
      </c>
      <c r="BQ25" s="5">
        <f t="shared" si="54"/>
        <v>43388.90319</v>
      </c>
      <c r="BR25" s="5">
        <f t="shared" si="54"/>
        <v>44690.57029</v>
      </c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</row>
    <row r="26" ht="12.75" customHeight="1">
      <c r="A26" s="5"/>
      <c r="B26" s="5" t="s">
        <v>96</v>
      </c>
      <c r="C26" s="5">
        <v>4231.0</v>
      </c>
      <c r="D26" s="5">
        <v>4150.0</v>
      </c>
      <c r="E26" s="5">
        <v>4108.0</v>
      </c>
      <c r="F26" s="5">
        <f>16705-E26-D26-C26</f>
        <v>4216</v>
      </c>
      <c r="G26" s="5"/>
      <c r="H26" s="5"/>
      <c r="I26" s="5"/>
      <c r="J26" s="5"/>
      <c r="K26" s="5">
        <v>5197.0</v>
      </c>
      <c r="L26" s="5">
        <v>4952.0</v>
      </c>
      <c r="M26" s="5">
        <v>4831.0</v>
      </c>
      <c r="N26" s="5">
        <v>4936.0</v>
      </c>
      <c r="O26" s="5">
        <v>5631.0</v>
      </c>
      <c r="P26" s="5">
        <v>5314.0</v>
      </c>
      <c r="Q26" s="5">
        <v>5412.0</v>
      </c>
      <c r="R26" s="5">
        <v>5616.0</v>
      </c>
      <c r="S26" s="5">
        <v>6449.0</v>
      </c>
      <c r="T26" s="5">
        <v>6193.0</v>
      </c>
      <c r="U26" s="5">
        <v>6012.0</v>
      </c>
      <c r="V26" s="5">
        <v>6440.0</v>
      </c>
      <c r="W26" s="5">
        <v>6607.0</v>
      </c>
      <c r="X26" s="5">
        <v>6201.0</v>
      </c>
      <c r="Y26" s="5">
        <v>6201.0</v>
      </c>
      <c r="Z26" s="5">
        <v>6201.0</v>
      </c>
      <c r="AA26" s="5"/>
      <c r="AB26" s="5"/>
      <c r="AC26" s="5"/>
      <c r="AD26" s="5">
        <v>1166.0</v>
      </c>
      <c r="AE26" s="5">
        <v>1138.0</v>
      </c>
      <c r="AF26" s="5">
        <v>1109.0</v>
      </c>
      <c r="AG26" s="5">
        <v>1212.0</v>
      </c>
      <c r="AH26" s="5">
        <v>1421.0</v>
      </c>
      <c r="AI26" s="5">
        <v>1859.0</v>
      </c>
      <c r="AJ26" s="5">
        <v>2433.0</v>
      </c>
      <c r="AK26" s="5">
        <v>2963.0</v>
      </c>
      <c r="AL26" s="5">
        <v>3761.0</v>
      </c>
      <c r="AM26" s="5">
        <v>4149.0</v>
      </c>
      <c r="AN26" s="5">
        <v>5517.0</v>
      </c>
      <c r="AO26" s="5">
        <v>7599.0</v>
      </c>
      <c r="AP26" s="5">
        <v>10040.0</v>
      </c>
      <c r="AQ26" s="5">
        <v>10830.0</v>
      </c>
      <c r="AR26" s="5">
        <v>11993.0</v>
      </c>
      <c r="AS26" s="5">
        <v>14329.0</v>
      </c>
      <c r="AT26" s="5">
        <v>14194.0</v>
      </c>
      <c r="AU26" s="5">
        <v>15261.0</v>
      </c>
      <c r="AV26" s="13">
        <v>16705.0</v>
      </c>
      <c r="AW26" s="13">
        <v>18245.0</v>
      </c>
      <c r="AX26" s="13">
        <f t="shared" si="55"/>
        <v>19916</v>
      </c>
      <c r="AY26" s="13">
        <f t="shared" si="56"/>
        <v>21973</v>
      </c>
      <c r="AZ26" s="13">
        <f t="shared" si="57"/>
        <v>25094</v>
      </c>
      <c r="BA26" s="5">
        <f t="shared" ref="BA26:BR26" si="58">+AZ26*1.03</f>
        <v>25846.82</v>
      </c>
      <c r="BB26" s="5">
        <f t="shared" si="58"/>
        <v>26622.2246</v>
      </c>
      <c r="BC26" s="5">
        <f t="shared" si="58"/>
        <v>27420.89134</v>
      </c>
      <c r="BD26" s="5">
        <f t="shared" si="58"/>
        <v>28243.51808</v>
      </c>
      <c r="BE26" s="5">
        <f t="shared" si="58"/>
        <v>29090.82362</v>
      </c>
      <c r="BF26" s="5">
        <f t="shared" si="58"/>
        <v>29963.54833</v>
      </c>
      <c r="BG26" s="5">
        <f t="shared" si="58"/>
        <v>30862.45478</v>
      </c>
      <c r="BH26" s="5">
        <f t="shared" si="58"/>
        <v>31788.32842</v>
      </c>
      <c r="BI26" s="5">
        <f t="shared" si="58"/>
        <v>32741.97828</v>
      </c>
      <c r="BJ26" s="5">
        <f t="shared" si="58"/>
        <v>33724.23762</v>
      </c>
      <c r="BK26" s="5">
        <f t="shared" si="58"/>
        <v>34735.96475</v>
      </c>
      <c r="BL26" s="5">
        <f t="shared" si="58"/>
        <v>35778.04369</v>
      </c>
      <c r="BM26" s="5">
        <f t="shared" si="58"/>
        <v>36851.38501</v>
      </c>
      <c r="BN26" s="5">
        <f t="shared" si="58"/>
        <v>37956.92656</v>
      </c>
      <c r="BO26" s="5">
        <f t="shared" si="58"/>
        <v>39095.63435</v>
      </c>
      <c r="BP26" s="5">
        <f t="shared" si="58"/>
        <v>40268.50338</v>
      </c>
      <c r="BQ26" s="5">
        <f t="shared" si="58"/>
        <v>41476.55848</v>
      </c>
      <c r="BR26" s="5">
        <f t="shared" si="58"/>
        <v>42720.85524</v>
      </c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</row>
    <row r="27" ht="12.75" customHeight="1">
      <c r="A27" s="5"/>
      <c r="B27" s="5" t="s">
        <v>97</v>
      </c>
      <c r="C27" s="5">
        <f t="shared" ref="C27:F27" si="59">+C25+C26</f>
        <v>7638</v>
      </c>
      <c r="D27" s="5">
        <f t="shared" si="59"/>
        <v>7528</v>
      </c>
      <c r="E27" s="5">
        <f t="shared" si="59"/>
        <v>7809</v>
      </c>
      <c r="F27" s="5">
        <f t="shared" si="59"/>
        <v>7966</v>
      </c>
      <c r="G27" s="5"/>
      <c r="H27" s="5"/>
      <c r="I27" s="5"/>
      <c r="J27" s="5"/>
      <c r="K27" s="5">
        <f t="shared" ref="K27:Z27" si="60">+K25+K26</f>
        <v>9648</v>
      </c>
      <c r="L27" s="5">
        <f t="shared" si="60"/>
        <v>9517</v>
      </c>
      <c r="M27" s="5">
        <f t="shared" si="60"/>
        <v>9589</v>
      </c>
      <c r="N27" s="5">
        <f t="shared" si="60"/>
        <v>9914</v>
      </c>
      <c r="O27" s="5">
        <f t="shared" si="60"/>
        <v>10794</v>
      </c>
      <c r="P27" s="5">
        <f t="shared" si="60"/>
        <v>10576</v>
      </c>
      <c r="Q27" s="5">
        <f t="shared" si="60"/>
        <v>11129</v>
      </c>
      <c r="R27" s="5">
        <f t="shared" si="60"/>
        <v>11388</v>
      </c>
      <c r="S27" s="5">
        <f t="shared" si="60"/>
        <v>12755</v>
      </c>
      <c r="T27" s="5">
        <f t="shared" si="60"/>
        <v>12580</v>
      </c>
      <c r="U27" s="5">
        <f t="shared" si="60"/>
        <v>12809</v>
      </c>
      <c r="V27" s="5">
        <f t="shared" si="60"/>
        <v>13201</v>
      </c>
      <c r="W27" s="5">
        <f t="shared" si="60"/>
        <v>14316</v>
      </c>
      <c r="X27" s="5">
        <f t="shared" si="60"/>
        <v>13658</v>
      </c>
      <c r="Y27" s="5">
        <f t="shared" si="60"/>
        <v>13065.97</v>
      </c>
      <c r="Z27" s="5">
        <f t="shared" si="60"/>
        <v>13029.61</v>
      </c>
      <c r="AA27" s="5"/>
      <c r="AB27" s="5"/>
      <c r="AC27" s="5"/>
      <c r="AD27" s="5">
        <f t="shared" ref="AD27:BR27" si="61">+AD25+AD26</f>
        <v>1546</v>
      </c>
      <c r="AE27" s="5">
        <f t="shared" si="61"/>
        <v>1568</v>
      </c>
      <c r="AF27" s="5">
        <f t="shared" si="61"/>
        <v>1555</v>
      </c>
      <c r="AG27" s="5">
        <f t="shared" si="61"/>
        <v>1683</v>
      </c>
      <c r="AH27" s="5">
        <f t="shared" si="61"/>
        <v>1910</v>
      </c>
      <c r="AI27" s="5">
        <f t="shared" si="61"/>
        <v>2393</v>
      </c>
      <c r="AJ27" s="5">
        <f t="shared" si="61"/>
        <v>3145</v>
      </c>
      <c r="AK27" s="5">
        <f t="shared" si="61"/>
        <v>3745</v>
      </c>
      <c r="AL27" s="5">
        <f t="shared" si="61"/>
        <v>4870</v>
      </c>
      <c r="AM27" s="5">
        <f t="shared" si="61"/>
        <v>5482</v>
      </c>
      <c r="AN27" s="5">
        <f t="shared" si="61"/>
        <v>7299</v>
      </c>
      <c r="AO27" s="5">
        <f t="shared" si="61"/>
        <v>10028</v>
      </c>
      <c r="AP27" s="5">
        <f t="shared" si="61"/>
        <v>13421</v>
      </c>
      <c r="AQ27" s="5">
        <f t="shared" si="61"/>
        <v>15305</v>
      </c>
      <c r="AR27" s="5">
        <f t="shared" si="61"/>
        <v>18034</v>
      </c>
      <c r="AS27" s="5">
        <f t="shared" si="61"/>
        <v>22396</v>
      </c>
      <c r="AT27" s="5">
        <f t="shared" si="61"/>
        <v>24239</v>
      </c>
      <c r="AU27" s="5">
        <f t="shared" si="61"/>
        <v>26842</v>
      </c>
      <c r="AV27" s="5">
        <f t="shared" si="61"/>
        <v>30941</v>
      </c>
      <c r="AW27" s="5">
        <f t="shared" si="61"/>
        <v>34462</v>
      </c>
      <c r="AX27" s="5">
        <f t="shared" si="61"/>
        <v>38668</v>
      </c>
      <c r="AY27" s="5">
        <f t="shared" si="61"/>
        <v>43887</v>
      </c>
      <c r="AZ27" s="5">
        <f t="shared" si="61"/>
        <v>51345</v>
      </c>
      <c r="BA27" s="5">
        <f t="shared" si="61"/>
        <v>52885.35</v>
      </c>
      <c r="BB27" s="5">
        <f t="shared" si="61"/>
        <v>54471.9105</v>
      </c>
      <c r="BC27" s="5">
        <f t="shared" si="61"/>
        <v>56106.06782</v>
      </c>
      <c r="BD27" s="5">
        <f t="shared" si="61"/>
        <v>57789.24985</v>
      </c>
      <c r="BE27" s="5">
        <f t="shared" si="61"/>
        <v>59522.92734</v>
      </c>
      <c r="BF27" s="5">
        <f t="shared" si="61"/>
        <v>61308.61517</v>
      </c>
      <c r="BG27" s="5">
        <f t="shared" si="61"/>
        <v>63147.87362</v>
      </c>
      <c r="BH27" s="5">
        <f t="shared" si="61"/>
        <v>65042.30983</v>
      </c>
      <c r="BI27" s="5">
        <f t="shared" si="61"/>
        <v>66993.57912</v>
      </c>
      <c r="BJ27" s="5">
        <f t="shared" si="61"/>
        <v>69003.3865</v>
      </c>
      <c r="BK27" s="5">
        <f t="shared" si="61"/>
        <v>71073.48809</v>
      </c>
      <c r="BL27" s="5">
        <f t="shared" si="61"/>
        <v>73205.69274</v>
      </c>
      <c r="BM27" s="5">
        <f t="shared" si="61"/>
        <v>75401.86352</v>
      </c>
      <c r="BN27" s="5">
        <f t="shared" si="61"/>
        <v>77663.91942</v>
      </c>
      <c r="BO27" s="5">
        <f t="shared" si="61"/>
        <v>79993.83701</v>
      </c>
      <c r="BP27" s="5">
        <f t="shared" si="61"/>
        <v>82393.65212</v>
      </c>
      <c r="BQ27" s="5">
        <f t="shared" si="61"/>
        <v>84865.46168</v>
      </c>
      <c r="BR27" s="5">
        <f t="shared" si="61"/>
        <v>87411.42553</v>
      </c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</row>
    <row r="28" ht="12.75" customHeight="1">
      <c r="A28" s="5"/>
      <c r="B28" s="5" t="s">
        <v>98</v>
      </c>
      <c r="C28" s="5">
        <f t="shared" ref="C28:F28" si="62">+C24-C27</f>
        <v>26274</v>
      </c>
      <c r="D28" s="5">
        <f t="shared" si="62"/>
        <v>15894</v>
      </c>
      <c r="E28" s="5">
        <f t="shared" si="62"/>
        <v>12612</v>
      </c>
      <c r="F28" s="5">
        <f t="shared" si="62"/>
        <v>16118</v>
      </c>
      <c r="G28" s="5"/>
      <c r="H28" s="5"/>
      <c r="I28" s="5"/>
      <c r="J28" s="5"/>
      <c r="K28" s="5">
        <f t="shared" ref="K28:Z28" si="63">+K24-K27</f>
        <v>25569</v>
      </c>
      <c r="L28" s="5">
        <f t="shared" si="63"/>
        <v>12853</v>
      </c>
      <c r="M28" s="5">
        <f t="shared" si="63"/>
        <v>13091</v>
      </c>
      <c r="N28" s="5">
        <f t="shared" si="63"/>
        <v>14775</v>
      </c>
      <c r="O28" s="5">
        <f t="shared" si="63"/>
        <v>33534</v>
      </c>
      <c r="P28" s="5">
        <f t="shared" si="63"/>
        <v>27503</v>
      </c>
      <c r="Q28" s="5">
        <f t="shared" si="63"/>
        <v>24126</v>
      </c>
      <c r="R28" s="5">
        <f t="shared" si="63"/>
        <v>23786</v>
      </c>
      <c r="S28" s="5">
        <f t="shared" si="63"/>
        <v>41488</v>
      </c>
      <c r="T28" s="5">
        <f t="shared" si="63"/>
        <v>29979</v>
      </c>
      <c r="U28" s="5">
        <f t="shared" si="63"/>
        <v>23076</v>
      </c>
      <c r="V28" s="5">
        <f t="shared" si="63"/>
        <v>24894</v>
      </c>
      <c r="W28" s="5">
        <f t="shared" si="63"/>
        <v>36016</v>
      </c>
      <c r="X28" s="5">
        <f t="shared" si="63"/>
        <v>28318</v>
      </c>
      <c r="Y28" s="5">
        <f t="shared" si="63"/>
        <v>23030.992</v>
      </c>
      <c r="Z28" s="5">
        <f t="shared" si="63"/>
        <v>27703.2052</v>
      </c>
      <c r="AA28" s="5"/>
      <c r="AB28" s="5"/>
      <c r="AC28" s="5"/>
      <c r="AD28" s="5">
        <f t="shared" ref="AD28:BR28" si="64">+AD24-AD27</f>
        <v>620</v>
      </c>
      <c r="AE28" s="5">
        <f t="shared" si="64"/>
        <v>-333</v>
      </c>
      <c r="AF28" s="5">
        <f t="shared" si="64"/>
        <v>48</v>
      </c>
      <c r="AG28" s="5">
        <f t="shared" si="64"/>
        <v>25</v>
      </c>
      <c r="AH28" s="5">
        <f t="shared" si="64"/>
        <v>349</v>
      </c>
      <c r="AI28" s="5">
        <f t="shared" si="64"/>
        <v>1650</v>
      </c>
      <c r="AJ28" s="5">
        <f t="shared" si="64"/>
        <v>2453</v>
      </c>
      <c r="AK28" s="5">
        <f t="shared" si="64"/>
        <v>4409</v>
      </c>
      <c r="AL28" s="5">
        <f t="shared" si="64"/>
        <v>8327</v>
      </c>
      <c r="AM28" s="5">
        <f t="shared" si="64"/>
        <v>11740</v>
      </c>
      <c r="AN28" s="5">
        <f t="shared" si="64"/>
        <v>18385</v>
      </c>
      <c r="AO28" s="5">
        <f t="shared" si="64"/>
        <v>33790</v>
      </c>
      <c r="AP28" s="5">
        <f t="shared" si="64"/>
        <v>55241</v>
      </c>
      <c r="AQ28" s="5">
        <f t="shared" si="64"/>
        <v>48999</v>
      </c>
      <c r="AR28" s="5">
        <f t="shared" si="64"/>
        <v>52503</v>
      </c>
      <c r="AS28" s="5">
        <f t="shared" si="64"/>
        <v>71230</v>
      </c>
      <c r="AT28" s="5">
        <f t="shared" si="64"/>
        <v>60024</v>
      </c>
      <c r="AU28" s="5">
        <f t="shared" si="64"/>
        <v>61344</v>
      </c>
      <c r="AV28" s="5">
        <f t="shared" si="64"/>
        <v>70898</v>
      </c>
      <c r="AW28" s="5">
        <f t="shared" si="64"/>
        <v>63930</v>
      </c>
      <c r="AX28" s="5">
        <f t="shared" si="64"/>
        <v>66288</v>
      </c>
      <c r="AY28" s="5">
        <f t="shared" si="64"/>
        <v>108949</v>
      </c>
      <c r="AZ28" s="5">
        <f t="shared" si="64"/>
        <v>119437</v>
      </c>
      <c r="BA28" s="5">
        <f t="shared" si="64"/>
        <v>117062.5308</v>
      </c>
      <c r="BB28" s="5">
        <f t="shared" si="64"/>
        <v>134607.0053</v>
      </c>
      <c r="BC28" s="5">
        <f t="shared" si="64"/>
        <v>150739.1972</v>
      </c>
      <c r="BD28" s="5">
        <f t="shared" si="64"/>
        <v>164006.2243</v>
      </c>
      <c r="BE28" s="5">
        <f t="shared" si="64"/>
        <v>178414.3754</v>
      </c>
      <c r="BF28" s="5">
        <f t="shared" si="64"/>
        <v>194064.7713</v>
      </c>
      <c r="BG28" s="5">
        <f t="shared" si="64"/>
        <v>205724.6075</v>
      </c>
      <c r="BH28" s="5">
        <f t="shared" si="64"/>
        <v>216800.9275</v>
      </c>
      <c r="BI28" s="5">
        <f t="shared" si="64"/>
        <v>228452.0068</v>
      </c>
      <c r="BJ28" s="5">
        <f t="shared" si="64"/>
        <v>240707.192</v>
      </c>
      <c r="BK28" s="5">
        <f t="shared" si="64"/>
        <v>253597.3204</v>
      </c>
      <c r="BL28" s="5">
        <f t="shared" si="64"/>
        <v>265907.4547</v>
      </c>
      <c r="BM28" s="5">
        <f t="shared" si="64"/>
        <v>278527.6997</v>
      </c>
      <c r="BN28" s="5">
        <f t="shared" si="64"/>
        <v>291743.7157</v>
      </c>
      <c r="BO28" s="5">
        <f t="shared" si="64"/>
        <v>305583.6749</v>
      </c>
      <c r="BP28" s="5">
        <f t="shared" si="64"/>
        <v>320077.089</v>
      </c>
      <c r="BQ28" s="5">
        <f t="shared" si="64"/>
        <v>335254.8728</v>
      </c>
      <c r="BR28" s="5">
        <f t="shared" si="64"/>
        <v>351149.4117</v>
      </c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</row>
    <row r="29" ht="12.75" customHeight="1">
      <c r="A29" s="5"/>
      <c r="B29" s="5" t="s">
        <v>99</v>
      </c>
      <c r="C29" s="5">
        <v>756.0</v>
      </c>
      <c r="D29" s="5">
        <v>274.0</v>
      </c>
      <c r="E29" s="5">
        <v>672.0</v>
      </c>
      <c r="F29" s="5">
        <f>2005-E29-D29-C29</f>
        <v>303</v>
      </c>
      <c r="G29" s="5"/>
      <c r="H29" s="5"/>
      <c r="I29" s="5"/>
      <c r="J29" s="5"/>
      <c r="K29" s="5">
        <v>349.0</v>
      </c>
      <c r="L29" s="5">
        <v>282.0</v>
      </c>
      <c r="M29" s="5">
        <v>46.0</v>
      </c>
      <c r="N29" s="5">
        <v>126.0</v>
      </c>
      <c r="O29" s="5">
        <v>45.0</v>
      </c>
      <c r="P29" s="5">
        <v>508.0</v>
      </c>
      <c r="Q29" s="5">
        <v>243.0</v>
      </c>
      <c r="R29" s="5">
        <v>-538.0</v>
      </c>
      <c r="S29" s="5">
        <v>-247.0</v>
      </c>
      <c r="T29" s="5">
        <v>160.0</v>
      </c>
      <c r="U29" s="5">
        <v>-10.0</v>
      </c>
      <c r="V29" s="5">
        <v>-237.0</v>
      </c>
      <c r="W29" s="5">
        <v>-393.0</v>
      </c>
      <c r="X29" s="5">
        <v>64.0</v>
      </c>
      <c r="Y29" s="5">
        <f t="shared" ref="Y29:Z29" si="65">AVERAGE(U29:X29)</f>
        <v>-144</v>
      </c>
      <c r="Z29" s="5">
        <f t="shared" si="65"/>
        <v>-177.5</v>
      </c>
      <c r="AA29" s="5"/>
      <c r="AB29" s="5"/>
      <c r="AC29" s="5"/>
      <c r="AD29" s="5">
        <v>203.0</v>
      </c>
      <c r="AE29" s="5">
        <v>217.0</v>
      </c>
      <c r="AF29" s="5">
        <v>70.0</v>
      </c>
      <c r="AG29" s="5">
        <v>93.0</v>
      </c>
      <c r="AH29" s="5">
        <v>57.0</v>
      </c>
      <c r="AI29" s="5">
        <v>165.0</v>
      </c>
      <c r="AJ29" s="5">
        <v>365.0</v>
      </c>
      <c r="AK29" s="5">
        <v>599.0</v>
      </c>
      <c r="AL29" s="5">
        <v>620.0</v>
      </c>
      <c r="AM29" s="5">
        <v>326.0</v>
      </c>
      <c r="AN29" s="5">
        <v>155.0</v>
      </c>
      <c r="AO29" s="5">
        <v>415.0</v>
      </c>
      <c r="AP29" s="5">
        <v>522.0</v>
      </c>
      <c r="AQ29" s="5">
        <v>1156.0</v>
      </c>
      <c r="AR29" s="5">
        <v>980.0</v>
      </c>
      <c r="AS29" s="5">
        <v>1285.0</v>
      </c>
      <c r="AT29" s="5">
        <v>1348.0</v>
      </c>
      <c r="AU29" s="5">
        <v>2745.0</v>
      </c>
      <c r="AV29" s="13">
        <v>2005.0</v>
      </c>
      <c r="AW29" s="13">
        <v>1807.0</v>
      </c>
      <c r="AX29" s="13">
        <f>SUM(K29:N29)</f>
        <v>803</v>
      </c>
      <c r="AY29" s="13">
        <f>SUM(O29:R29)</f>
        <v>258</v>
      </c>
      <c r="AZ29" s="13">
        <f>SUM(S29:V29)</f>
        <v>-334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</row>
    <row r="30" ht="12.75" customHeight="1">
      <c r="A30" s="5"/>
      <c r="B30" s="5" t="s">
        <v>100</v>
      </c>
      <c r="C30" s="5">
        <f t="shared" ref="C30:F30" si="66">+C28+C29</f>
        <v>27030</v>
      </c>
      <c r="D30" s="5">
        <f t="shared" si="66"/>
        <v>16168</v>
      </c>
      <c r="E30" s="5">
        <f t="shared" si="66"/>
        <v>13284</v>
      </c>
      <c r="F30" s="5">
        <f t="shared" si="66"/>
        <v>16421</v>
      </c>
      <c r="G30" s="5"/>
      <c r="H30" s="5"/>
      <c r="I30" s="5"/>
      <c r="J30" s="5"/>
      <c r="K30" s="5">
        <f t="shared" ref="K30:Z30" si="67">+K28+K29</f>
        <v>25918</v>
      </c>
      <c r="L30" s="5">
        <f t="shared" si="67"/>
        <v>13135</v>
      </c>
      <c r="M30" s="5">
        <f t="shared" si="67"/>
        <v>13137</v>
      </c>
      <c r="N30" s="5">
        <f t="shared" si="67"/>
        <v>14901</v>
      </c>
      <c r="O30" s="5">
        <f t="shared" si="67"/>
        <v>33579</v>
      </c>
      <c r="P30" s="5">
        <f t="shared" si="67"/>
        <v>28011</v>
      </c>
      <c r="Q30" s="5">
        <f t="shared" si="67"/>
        <v>24369</v>
      </c>
      <c r="R30" s="5">
        <f t="shared" si="67"/>
        <v>23248</v>
      </c>
      <c r="S30" s="5">
        <f t="shared" si="67"/>
        <v>41241</v>
      </c>
      <c r="T30" s="5">
        <f t="shared" si="67"/>
        <v>30139</v>
      </c>
      <c r="U30" s="5">
        <f t="shared" si="67"/>
        <v>23066</v>
      </c>
      <c r="V30" s="5">
        <f t="shared" si="67"/>
        <v>24657</v>
      </c>
      <c r="W30" s="5">
        <f t="shared" si="67"/>
        <v>35623</v>
      </c>
      <c r="X30" s="5">
        <f t="shared" si="67"/>
        <v>28382</v>
      </c>
      <c r="Y30" s="5">
        <f t="shared" si="67"/>
        <v>22886.992</v>
      </c>
      <c r="Z30" s="5">
        <f t="shared" si="67"/>
        <v>27525.7052</v>
      </c>
      <c r="AA30" s="5"/>
      <c r="AB30" s="5"/>
      <c r="AC30" s="5"/>
      <c r="AD30" s="5">
        <f t="shared" ref="AD30:BR30" si="68">+AD28+AD29</f>
        <v>823</v>
      </c>
      <c r="AE30" s="5">
        <f t="shared" si="68"/>
        <v>-116</v>
      </c>
      <c r="AF30" s="5">
        <f t="shared" si="68"/>
        <v>118</v>
      </c>
      <c r="AG30" s="5">
        <f t="shared" si="68"/>
        <v>118</v>
      </c>
      <c r="AH30" s="5">
        <f t="shared" si="68"/>
        <v>406</v>
      </c>
      <c r="AI30" s="5">
        <f t="shared" si="68"/>
        <v>1815</v>
      </c>
      <c r="AJ30" s="5">
        <f t="shared" si="68"/>
        <v>2818</v>
      </c>
      <c r="AK30" s="5">
        <f t="shared" si="68"/>
        <v>5008</v>
      </c>
      <c r="AL30" s="5">
        <f t="shared" si="68"/>
        <v>8947</v>
      </c>
      <c r="AM30" s="5">
        <f t="shared" si="68"/>
        <v>12066</v>
      </c>
      <c r="AN30" s="5">
        <f t="shared" si="68"/>
        <v>18540</v>
      </c>
      <c r="AO30" s="5">
        <f t="shared" si="68"/>
        <v>34205</v>
      </c>
      <c r="AP30" s="5">
        <f t="shared" si="68"/>
        <v>55763</v>
      </c>
      <c r="AQ30" s="5">
        <f t="shared" si="68"/>
        <v>50155</v>
      </c>
      <c r="AR30" s="5">
        <f t="shared" si="68"/>
        <v>53483</v>
      </c>
      <c r="AS30" s="5">
        <f t="shared" si="68"/>
        <v>72515</v>
      </c>
      <c r="AT30" s="5">
        <f t="shared" si="68"/>
        <v>61372</v>
      </c>
      <c r="AU30" s="5">
        <f t="shared" si="68"/>
        <v>64089</v>
      </c>
      <c r="AV30" s="5">
        <f t="shared" si="68"/>
        <v>72903</v>
      </c>
      <c r="AW30" s="5">
        <f t="shared" si="68"/>
        <v>65737</v>
      </c>
      <c r="AX30" s="5">
        <f t="shared" si="68"/>
        <v>67091</v>
      </c>
      <c r="AY30" s="5">
        <f t="shared" si="68"/>
        <v>109207</v>
      </c>
      <c r="AZ30" s="5">
        <f t="shared" si="68"/>
        <v>119103</v>
      </c>
      <c r="BA30" s="5">
        <f t="shared" si="68"/>
        <v>117062.5308</v>
      </c>
      <c r="BB30" s="5">
        <f t="shared" si="68"/>
        <v>134607.0053</v>
      </c>
      <c r="BC30" s="5">
        <f t="shared" si="68"/>
        <v>150739.1972</v>
      </c>
      <c r="BD30" s="5">
        <f t="shared" si="68"/>
        <v>164006.2243</v>
      </c>
      <c r="BE30" s="5">
        <f t="shared" si="68"/>
        <v>178414.3754</v>
      </c>
      <c r="BF30" s="5">
        <f t="shared" si="68"/>
        <v>194064.7713</v>
      </c>
      <c r="BG30" s="5">
        <f t="shared" si="68"/>
        <v>205724.6075</v>
      </c>
      <c r="BH30" s="5">
        <f t="shared" si="68"/>
        <v>216800.9275</v>
      </c>
      <c r="BI30" s="5">
        <f t="shared" si="68"/>
        <v>228452.0068</v>
      </c>
      <c r="BJ30" s="5">
        <f t="shared" si="68"/>
        <v>240707.192</v>
      </c>
      <c r="BK30" s="5">
        <f t="shared" si="68"/>
        <v>253597.3204</v>
      </c>
      <c r="BL30" s="5">
        <f t="shared" si="68"/>
        <v>265907.4547</v>
      </c>
      <c r="BM30" s="5">
        <f t="shared" si="68"/>
        <v>278527.6997</v>
      </c>
      <c r="BN30" s="5">
        <f t="shared" si="68"/>
        <v>291743.7157</v>
      </c>
      <c r="BO30" s="5">
        <f t="shared" si="68"/>
        <v>305583.6749</v>
      </c>
      <c r="BP30" s="5">
        <f t="shared" si="68"/>
        <v>320077.089</v>
      </c>
      <c r="BQ30" s="5">
        <f t="shared" si="68"/>
        <v>335254.8728</v>
      </c>
      <c r="BR30" s="5">
        <f t="shared" si="68"/>
        <v>351149.4117</v>
      </c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</row>
    <row r="31" ht="12.75" customHeight="1">
      <c r="A31" s="5"/>
      <c r="B31" s="5" t="s">
        <v>101</v>
      </c>
      <c r="C31" s="5">
        <v>6965.0</v>
      </c>
      <c r="D31" s="5">
        <v>2346.0</v>
      </c>
      <c r="E31" s="5">
        <v>1765.0</v>
      </c>
      <c r="F31" s="5">
        <f>13372-E31-D31-C31</f>
        <v>2296</v>
      </c>
      <c r="G31" s="5"/>
      <c r="H31" s="5"/>
      <c r="I31" s="5"/>
      <c r="J31" s="5"/>
      <c r="K31" s="5">
        <v>3682.0</v>
      </c>
      <c r="L31" s="5">
        <v>1886.0</v>
      </c>
      <c r="M31" s="5">
        <v>1884.0</v>
      </c>
      <c r="N31" s="5">
        <v>2228.0</v>
      </c>
      <c r="O31" s="5">
        <v>4824.0</v>
      </c>
      <c r="P31" s="5">
        <v>4381.0</v>
      </c>
      <c r="Q31" s="5">
        <v>2625.0</v>
      </c>
      <c r="R31" s="5">
        <v>2697.0</v>
      </c>
      <c r="S31" s="5">
        <v>6611.0</v>
      </c>
      <c r="T31" s="5">
        <v>5129.0</v>
      </c>
      <c r="U31" s="5">
        <v>3624.0</v>
      </c>
      <c r="V31" s="5">
        <v>3936.0</v>
      </c>
      <c r="W31" s="5">
        <v>5625.0</v>
      </c>
      <c r="X31" s="5">
        <v>4222.0</v>
      </c>
      <c r="Y31" s="5">
        <f t="shared" ref="Y31:Z31" si="69">Y30*0.16</f>
        <v>3661.91872</v>
      </c>
      <c r="Z31" s="5">
        <f t="shared" si="69"/>
        <v>4404.112832</v>
      </c>
      <c r="AA31" s="5"/>
      <c r="AB31" s="5"/>
      <c r="AC31" s="5"/>
      <c r="AD31" s="5">
        <v>306.0</v>
      </c>
      <c r="AE31" s="5">
        <v>0.0</v>
      </c>
      <c r="AF31" s="5">
        <v>22.0</v>
      </c>
      <c r="AG31" s="5">
        <v>24.0</v>
      </c>
      <c r="AH31" s="5">
        <v>107.0</v>
      </c>
      <c r="AI31" s="5">
        <v>480.0</v>
      </c>
      <c r="AJ31" s="5">
        <v>829.0</v>
      </c>
      <c r="AK31" s="5">
        <v>1512.0</v>
      </c>
      <c r="AL31" s="5">
        <v>2828.0</v>
      </c>
      <c r="AM31" s="5">
        <v>3831.0</v>
      </c>
      <c r="AN31" s="5">
        <v>4527.0</v>
      </c>
      <c r="AO31" s="5">
        <v>8283.0</v>
      </c>
      <c r="AP31" s="5">
        <v>14030.0</v>
      </c>
      <c r="AQ31" s="5">
        <v>13118.0</v>
      </c>
      <c r="AR31" s="5">
        <v>13973.0</v>
      </c>
      <c r="AS31" s="5">
        <v>19121.0</v>
      </c>
      <c r="AT31" s="5">
        <v>15685.0</v>
      </c>
      <c r="AU31" s="5">
        <v>15738.0</v>
      </c>
      <c r="AV31" s="13">
        <v>13372.0</v>
      </c>
      <c r="AW31" s="13">
        <v>10481.0</v>
      </c>
      <c r="AX31" s="13">
        <f>SUM(K31:N31)</f>
        <v>9680</v>
      </c>
      <c r="AY31" s="13">
        <f>SUM(O31:R31)</f>
        <v>14527</v>
      </c>
      <c r="AZ31" s="13">
        <f>SUM(S31:V31)</f>
        <v>19300</v>
      </c>
      <c r="BA31" s="5">
        <f t="shared" ref="BA31:BR31" si="70">+BA30*0.2</f>
        <v>23412.50616</v>
      </c>
      <c r="BB31" s="5">
        <f t="shared" si="70"/>
        <v>26921.40106</v>
      </c>
      <c r="BC31" s="5">
        <f t="shared" si="70"/>
        <v>30147.83943</v>
      </c>
      <c r="BD31" s="5">
        <f t="shared" si="70"/>
        <v>32801.24485</v>
      </c>
      <c r="BE31" s="5">
        <f t="shared" si="70"/>
        <v>35682.87509</v>
      </c>
      <c r="BF31" s="5">
        <f t="shared" si="70"/>
        <v>38812.95426</v>
      </c>
      <c r="BG31" s="5">
        <f t="shared" si="70"/>
        <v>41144.92151</v>
      </c>
      <c r="BH31" s="5">
        <f t="shared" si="70"/>
        <v>43360.18551</v>
      </c>
      <c r="BI31" s="5">
        <f t="shared" si="70"/>
        <v>45690.40137</v>
      </c>
      <c r="BJ31" s="5">
        <f t="shared" si="70"/>
        <v>48141.43841</v>
      </c>
      <c r="BK31" s="5">
        <f t="shared" si="70"/>
        <v>50719.46408</v>
      </c>
      <c r="BL31" s="5">
        <f t="shared" si="70"/>
        <v>53181.49095</v>
      </c>
      <c r="BM31" s="5">
        <f t="shared" si="70"/>
        <v>55705.53994</v>
      </c>
      <c r="BN31" s="5">
        <f t="shared" si="70"/>
        <v>58348.74314</v>
      </c>
      <c r="BO31" s="5">
        <f t="shared" si="70"/>
        <v>61116.73499</v>
      </c>
      <c r="BP31" s="5">
        <f t="shared" si="70"/>
        <v>64015.41781</v>
      </c>
      <c r="BQ31" s="5">
        <f t="shared" si="70"/>
        <v>67050.97457</v>
      </c>
      <c r="BR31" s="5">
        <f t="shared" si="70"/>
        <v>70229.88234</v>
      </c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</row>
    <row r="32" ht="12.75" customHeight="1">
      <c r="A32" s="5"/>
      <c r="B32" s="5" t="s">
        <v>102</v>
      </c>
      <c r="C32" s="5">
        <f t="shared" ref="C32:F32" si="71">+C30-C31</f>
        <v>20065</v>
      </c>
      <c r="D32" s="5">
        <f t="shared" si="71"/>
        <v>13822</v>
      </c>
      <c r="E32" s="5">
        <f t="shared" si="71"/>
        <v>11519</v>
      </c>
      <c r="F32" s="5">
        <f t="shared" si="71"/>
        <v>14125</v>
      </c>
      <c r="G32" s="5"/>
      <c r="H32" s="5"/>
      <c r="I32" s="5"/>
      <c r="J32" s="5"/>
      <c r="K32" s="5">
        <f t="shared" ref="K32:Z32" si="72">+K30-K31</f>
        <v>22236</v>
      </c>
      <c r="L32" s="5">
        <f t="shared" si="72"/>
        <v>11249</v>
      </c>
      <c r="M32" s="5">
        <f t="shared" si="72"/>
        <v>11253</v>
      </c>
      <c r="N32" s="5">
        <f t="shared" si="72"/>
        <v>12673</v>
      </c>
      <c r="O32" s="5">
        <f t="shared" si="72"/>
        <v>28755</v>
      </c>
      <c r="P32" s="5">
        <f t="shared" si="72"/>
        <v>23630</v>
      </c>
      <c r="Q32" s="5">
        <f t="shared" si="72"/>
        <v>21744</v>
      </c>
      <c r="R32" s="5">
        <f t="shared" si="72"/>
        <v>20551</v>
      </c>
      <c r="S32" s="5">
        <f t="shared" si="72"/>
        <v>34630</v>
      </c>
      <c r="T32" s="5">
        <f t="shared" si="72"/>
        <v>25010</v>
      </c>
      <c r="U32" s="5">
        <f t="shared" si="72"/>
        <v>19442</v>
      </c>
      <c r="V32" s="5">
        <f t="shared" si="72"/>
        <v>20721</v>
      </c>
      <c r="W32" s="5">
        <f t="shared" si="72"/>
        <v>29998</v>
      </c>
      <c r="X32" s="5">
        <f t="shared" si="72"/>
        <v>24160</v>
      </c>
      <c r="Y32" s="5">
        <f t="shared" si="72"/>
        <v>19225.07328</v>
      </c>
      <c r="Z32" s="5">
        <f t="shared" si="72"/>
        <v>23121.59237</v>
      </c>
      <c r="AA32" s="5"/>
      <c r="AB32" s="5"/>
      <c r="AC32" s="5"/>
      <c r="AD32" s="5">
        <f t="shared" ref="AD32:BR32" si="73">+AD30-AD31</f>
        <v>517</v>
      </c>
      <c r="AE32" s="5">
        <f t="shared" si="73"/>
        <v>-116</v>
      </c>
      <c r="AF32" s="5">
        <f t="shared" si="73"/>
        <v>96</v>
      </c>
      <c r="AG32" s="5">
        <f t="shared" si="73"/>
        <v>94</v>
      </c>
      <c r="AH32" s="5">
        <f t="shared" si="73"/>
        <v>299</v>
      </c>
      <c r="AI32" s="5">
        <f t="shared" si="73"/>
        <v>1335</v>
      </c>
      <c r="AJ32" s="5">
        <f t="shared" si="73"/>
        <v>1989</v>
      </c>
      <c r="AK32" s="5">
        <f t="shared" si="73"/>
        <v>3496</v>
      </c>
      <c r="AL32" s="5">
        <f t="shared" si="73"/>
        <v>6119</v>
      </c>
      <c r="AM32" s="5">
        <f t="shared" si="73"/>
        <v>8235</v>
      </c>
      <c r="AN32" s="5">
        <f t="shared" si="73"/>
        <v>14013</v>
      </c>
      <c r="AO32" s="5">
        <f t="shared" si="73"/>
        <v>25922</v>
      </c>
      <c r="AP32" s="5">
        <f t="shared" si="73"/>
        <v>41733</v>
      </c>
      <c r="AQ32" s="5">
        <f t="shared" si="73"/>
        <v>37037</v>
      </c>
      <c r="AR32" s="5">
        <f t="shared" si="73"/>
        <v>39510</v>
      </c>
      <c r="AS32" s="5">
        <f t="shared" si="73"/>
        <v>53394</v>
      </c>
      <c r="AT32" s="5">
        <f t="shared" si="73"/>
        <v>45687</v>
      </c>
      <c r="AU32" s="5">
        <f t="shared" si="73"/>
        <v>48351</v>
      </c>
      <c r="AV32" s="5">
        <f t="shared" si="73"/>
        <v>59531</v>
      </c>
      <c r="AW32" s="5">
        <f t="shared" si="73"/>
        <v>55256</v>
      </c>
      <c r="AX32" s="5">
        <f t="shared" si="73"/>
        <v>57411</v>
      </c>
      <c r="AY32" s="5">
        <f t="shared" si="73"/>
        <v>94680</v>
      </c>
      <c r="AZ32" s="5">
        <f t="shared" si="73"/>
        <v>99803</v>
      </c>
      <c r="BA32" s="5">
        <f t="shared" si="73"/>
        <v>93650.02464</v>
      </c>
      <c r="BB32" s="5">
        <f t="shared" si="73"/>
        <v>107685.6042</v>
      </c>
      <c r="BC32" s="5">
        <f t="shared" si="73"/>
        <v>120591.3577</v>
      </c>
      <c r="BD32" s="5">
        <f t="shared" si="73"/>
        <v>131204.9794</v>
      </c>
      <c r="BE32" s="5">
        <f t="shared" si="73"/>
        <v>142731.5003</v>
      </c>
      <c r="BF32" s="5">
        <f t="shared" si="73"/>
        <v>155251.817</v>
      </c>
      <c r="BG32" s="5">
        <f t="shared" si="73"/>
        <v>164579.686</v>
      </c>
      <c r="BH32" s="5">
        <f t="shared" si="73"/>
        <v>173440.742</v>
      </c>
      <c r="BI32" s="5">
        <f t="shared" si="73"/>
        <v>182761.6055</v>
      </c>
      <c r="BJ32" s="5">
        <f t="shared" si="73"/>
        <v>192565.7536</v>
      </c>
      <c r="BK32" s="5">
        <f t="shared" si="73"/>
        <v>202877.8563</v>
      </c>
      <c r="BL32" s="5">
        <f t="shared" si="73"/>
        <v>212725.9638</v>
      </c>
      <c r="BM32" s="5">
        <f t="shared" si="73"/>
        <v>222822.1598</v>
      </c>
      <c r="BN32" s="5">
        <f t="shared" si="73"/>
        <v>233394.9725</v>
      </c>
      <c r="BO32" s="5">
        <f t="shared" si="73"/>
        <v>244466.94</v>
      </c>
      <c r="BP32" s="5">
        <f t="shared" si="73"/>
        <v>256061.6712</v>
      </c>
      <c r="BQ32" s="5">
        <f t="shared" si="73"/>
        <v>268203.8983</v>
      </c>
      <c r="BR32" s="5">
        <f t="shared" si="73"/>
        <v>280919.5294</v>
      </c>
      <c r="BS32" s="5">
        <f t="shared" ref="BS32:FZ32" si="74">+BR32*(1+$BU$37)</f>
        <v>278110.3341</v>
      </c>
      <c r="BT32" s="5">
        <f t="shared" si="74"/>
        <v>275329.2307</v>
      </c>
      <c r="BU32" s="5">
        <f t="shared" si="74"/>
        <v>272575.9384</v>
      </c>
      <c r="BV32" s="5">
        <f t="shared" si="74"/>
        <v>269850.179</v>
      </c>
      <c r="BW32" s="5">
        <f t="shared" si="74"/>
        <v>267151.6773</v>
      </c>
      <c r="BX32" s="5">
        <f t="shared" si="74"/>
        <v>264480.1605</v>
      </c>
      <c r="BY32" s="5">
        <f t="shared" si="74"/>
        <v>261835.3589</v>
      </c>
      <c r="BZ32" s="5">
        <f t="shared" si="74"/>
        <v>259217.0053</v>
      </c>
      <c r="CA32" s="5">
        <f t="shared" si="74"/>
        <v>256624.8352</v>
      </c>
      <c r="CB32" s="5">
        <f t="shared" si="74"/>
        <v>254058.5869</v>
      </c>
      <c r="CC32" s="5">
        <f t="shared" si="74"/>
        <v>251518.001</v>
      </c>
      <c r="CD32" s="5">
        <f t="shared" si="74"/>
        <v>249002.821</v>
      </c>
      <c r="CE32" s="5">
        <f t="shared" si="74"/>
        <v>246512.7928</v>
      </c>
      <c r="CF32" s="5">
        <f t="shared" si="74"/>
        <v>244047.6649</v>
      </c>
      <c r="CG32" s="5">
        <f t="shared" si="74"/>
        <v>241607.1882</v>
      </c>
      <c r="CH32" s="5">
        <f t="shared" si="74"/>
        <v>239191.1163</v>
      </c>
      <c r="CI32" s="5">
        <f t="shared" si="74"/>
        <v>236799.2052</v>
      </c>
      <c r="CJ32" s="5">
        <f t="shared" si="74"/>
        <v>234431.2131</v>
      </c>
      <c r="CK32" s="5">
        <f t="shared" si="74"/>
        <v>232086.901</v>
      </c>
      <c r="CL32" s="5">
        <f t="shared" si="74"/>
        <v>229766.032</v>
      </c>
      <c r="CM32" s="5">
        <f t="shared" si="74"/>
        <v>227468.3717</v>
      </c>
      <c r="CN32" s="5">
        <f t="shared" si="74"/>
        <v>225193.6879</v>
      </c>
      <c r="CO32" s="5">
        <f t="shared" si="74"/>
        <v>222941.7511</v>
      </c>
      <c r="CP32" s="5">
        <f t="shared" si="74"/>
        <v>220712.3336</v>
      </c>
      <c r="CQ32" s="5">
        <f t="shared" si="74"/>
        <v>218505.2102</v>
      </c>
      <c r="CR32" s="5">
        <f t="shared" si="74"/>
        <v>216320.1581</v>
      </c>
      <c r="CS32" s="5">
        <f t="shared" si="74"/>
        <v>214156.9565</v>
      </c>
      <c r="CT32" s="5">
        <f t="shared" si="74"/>
        <v>212015.387</v>
      </c>
      <c r="CU32" s="5">
        <f t="shared" si="74"/>
        <v>209895.2331</v>
      </c>
      <c r="CV32" s="5">
        <f t="shared" si="74"/>
        <v>207796.2808</v>
      </c>
      <c r="CW32" s="5">
        <f t="shared" si="74"/>
        <v>205718.318</v>
      </c>
      <c r="CX32" s="5">
        <f t="shared" si="74"/>
        <v>203661.1348</v>
      </c>
      <c r="CY32" s="5">
        <f t="shared" si="74"/>
        <v>201624.5234</v>
      </c>
      <c r="CZ32" s="5">
        <f t="shared" si="74"/>
        <v>199608.2782</v>
      </c>
      <c r="DA32" s="5">
        <f t="shared" si="74"/>
        <v>197612.1954</v>
      </c>
      <c r="DB32" s="5">
        <f t="shared" si="74"/>
        <v>195636.0735</v>
      </c>
      <c r="DC32" s="5">
        <f t="shared" si="74"/>
        <v>193679.7127</v>
      </c>
      <c r="DD32" s="5">
        <f t="shared" si="74"/>
        <v>191742.9156</v>
      </c>
      <c r="DE32" s="5">
        <f t="shared" si="74"/>
        <v>189825.4864</v>
      </c>
      <c r="DF32" s="5">
        <f t="shared" si="74"/>
        <v>187927.2316</v>
      </c>
      <c r="DG32" s="5">
        <f t="shared" si="74"/>
        <v>186047.9593</v>
      </c>
      <c r="DH32" s="5">
        <f t="shared" si="74"/>
        <v>184187.4797</v>
      </c>
      <c r="DI32" s="5">
        <f t="shared" si="74"/>
        <v>182345.6049</v>
      </c>
      <c r="DJ32" s="5">
        <f t="shared" si="74"/>
        <v>180522.1488</v>
      </c>
      <c r="DK32" s="5">
        <f t="shared" si="74"/>
        <v>178716.9273</v>
      </c>
      <c r="DL32" s="5">
        <f t="shared" si="74"/>
        <v>176929.7581</v>
      </c>
      <c r="DM32" s="5">
        <f t="shared" si="74"/>
        <v>175160.4605</v>
      </c>
      <c r="DN32" s="5">
        <f t="shared" si="74"/>
        <v>173408.8559</v>
      </c>
      <c r="DO32" s="5">
        <f t="shared" si="74"/>
        <v>171674.7673</v>
      </c>
      <c r="DP32" s="5">
        <f t="shared" si="74"/>
        <v>169958.0196</v>
      </c>
      <c r="DQ32" s="5">
        <f t="shared" si="74"/>
        <v>168258.4395</v>
      </c>
      <c r="DR32" s="5">
        <f t="shared" si="74"/>
        <v>166575.8551</v>
      </c>
      <c r="DS32" s="5">
        <f t="shared" si="74"/>
        <v>164910.0965</v>
      </c>
      <c r="DT32" s="5">
        <f t="shared" si="74"/>
        <v>163260.9955</v>
      </c>
      <c r="DU32" s="5">
        <f t="shared" si="74"/>
        <v>161628.3856</v>
      </c>
      <c r="DV32" s="5">
        <f t="shared" si="74"/>
        <v>160012.1017</v>
      </c>
      <c r="DW32" s="5">
        <f t="shared" si="74"/>
        <v>158411.9807</v>
      </c>
      <c r="DX32" s="5">
        <f t="shared" si="74"/>
        <v>156827.8609</v>
      </c>
      <c r="DY32" s="5">
        <f t="shared" si="74"/>
        <v>155259.5823</v>
      </c>
      <c r="DZ32" s="5">
        <f t="shared" si="74"/>
        <v>153706.9865</v>
      </c>
      <c r="EA32" s="5">
        <f t="shared" si="74"/>
        <v>152169.9166</v>
      </c>
      <c r="EB32" s="5">
        <f t="shared" si="74"/>
        <v>150648.2174</v>
      </c>
      <c r="EC32" s="5">
        <f t="shared" si="74"/>
        <v>149141.7353</v>
      </c>
      <c r="ED32" s="5">
        <f t="shared" si="74"/>
        <v>147650.3179</v>
      </c>
      <c r="EE32" s="5">
        <f t="shared" si="74"/>
        <v>146173.8147</v>
      </c>
      <c r="EF32" s="5">
        <f t="shared" si="74"/>
        <v>144712.0766</v>
      </c>
      <c r="EG32" s="5">
        <f t="shared" si="74"/>
        <v>143264.9558</v>
      </c>
      <c r="EH32" s="5">
        <f t="shared" si="74"/>
        <v>141832.3063</v>
      </c>
      <c r="EI32" s="5">
        <f t="shared" si="74"/>
        <v>140413.9832</v>
      </c>
      <c r="EJ32" s="5">
        <f t="shared" si="74"/>
        <v>139009.8434</v>
      </c>
      <c r="EK32" s="5">
        <f t="shared" si="74"/>
        <v>137619.7449</v>
      </c>
      <c r="EL32" s="5">
        <f t="shared" si="74"/>
        <v>136243.5475</v>
      </c>
      <c r="EM32" s="5">
        <f t="shared" si="74"/>
        <v>134881.112</v>
      </c>
      <c r="EN32" s="5">
        <f t="shared" si="74"/>
        <v>133532.3009</v>
      </c>
      <c r="EO32" s="5">
        <f t="shared" si="74"/>
        <v>132196.9779</v>
      </c>
      <c r="EP32" s="5">
        <f t="shared" si="74"/>
        <v>130875.0081</v>
      </c>
      <c r="EQ32" s="5">
        <f t="shared" si="74"/>
        <v>129566.258</v>
      </c>
      <c r="ER32" s="5">
        <f t="shared" si="74"/>
        <v>128270.5954</v>
      </c>
      <c r="ES32" s="5">
        <f t="shared" si="74"/>
        <v>126987.8895</v>
      </c>
      <c r="ET32" s="5">
        <f t="shared" si="74"/>
        <v>125718.0106</v>
      </c>
      <c r="EU32" s="5">
        <f t="shared" si="74"/>
        <v>124460.8305</v>
      </c>
      <c r="EV32" s="5">
        <f t="shared" si="74"/>
        <v>123216.2222</v>
      </c>
      <c r="EW32" s="5">
        <f t="shared" si="74"/>
        <v>121984.06</v>
      </c>
      <c r="EX32" s="5">
        <f t="shared" si="74"/>
        <v>120764.2194</v>
      </c>
      <c r="EY32" s="5">
        <f t="shared" si="74"/>
        <v>119556.5772</v>
      </c>
      <c r="EZ32" s="5">
        <f t="shared" si="74"/>
        <v>118361.0114</v>
      </c>
      <c r="FA32" s="5">
        <f t="shared" si="74"/>
        <v>117177.4013</v>
      </c>
      <c r="FB32" s="5">
        <f t="shared" si="74"/>
        <v>116005.6273</v>
      </c>
      <c r="FC32" s="5">
        <f t="shared" si="74"/>
        <v>114845.571</v>
      </c>
      <c r="FD32" s="5">
        <f t="shared" si="74"/>
        <v>113697.1153</v>
      </c>
      <c r="FE32" s="5">
        <f t="shared" si="74"/>
        <v>112560.1441</v>
      </c>
      <c r="FF32" s="5">
        <f t="shared" si="74"/>
        <v>111434.5427</v>
      </c>
      <c r="FG32" s="5">
        <f t="shared" si="74"/>
        <v>110320.1973</v>
      </c>
      <c r="FH32" s="5">
        <f t="shared" si="74"/>
        <v>109216.9953</v>
      </c>
      <c r="FI32" s="5">
        <f t="shared" si="74"/>
        <v>108124.8253</v>
      </c>
      <c r="FJ32" s="5">
        <f t="shared" si="74"/>
        <v>107043.5771</v>
      </c>
      <c r="FK32" s="5">
        <f t="shared" si="74"/>
        <v>105973.1413</v>
      </c>
      <c r="FL32" s="5">
        <f t="shared" si="74"/>
        <v>104913.4099</v>
      </c>
      <c r="FM32" s="5">
        <f t="shared" si="74"/>
        <v>103864.2758</v>
      </c>
      <c r="FN32" s="5">
        <f t="shared" si="74"/>
        <v>102825.633</v>
      </c>
      <c r="FO32" s="5">
        <f t="shared" si="74"/>
        <v>101797.3767</v>
      </c>
      <c r="FP32" s="5">
        <f t="shared" si="74"/>
        <v>100779.4029</v>
      </c>
      <c r="FQ32" s="5">
        <f t="shared" si="74"/>
        <v>99771.60892</v>
      </c>
      <c r="FR32" s="5">
        <f t="shared" si="74"/>
        <v>98773.89283</v>
      </c>
      <c r="FS32" s="5">
        <f t="shared" si="74"/>
        <v>97786.1539</v>
      </c>
      <c r="FT32" s="5">
        <f t="shared" si="74"/>
        <v>96808.29236</v>
      </c>
      <c r="FU32" s="5">
        <f t="shared" si="74"/>
        <v>95840.20944</v>
      </c>
      <c r="FV32" s="5">
        <f t="shared" si="74"/>
        <v>94881.80734</v>
      </c>
      <c r="FW32" s="5">
        <f t="shared" si="74"/>
        <v>93932.98927</v>
      </c>
      <c r="FX32" s="5">
        <f t="shared" si="74"/>
        <v>92993.65938</v>
      </c>
      <c r="FY32" s="5">
        <f t="shared" si="74"/>
        <v>92063.72278</v>
      </c>
      <c r="FZ32" s="5">
        <f t="shared" si="74"/>
        <v>91143.08556</v>
      </c>
    </row>
    <row r="33" ht="12.75" customHeight="1">
      <c r="A33" s="18"/>
      <c r="B33" s="18" t="s">
        <v>103</v>
      </c>
      <c r="C33" s="19">
        <f t="shared" ref="C33:F33" si="75">+C32/C34</f>
        <v>0.9725585799</v>
      </c>
      <c r="D33" s="19">
        <f t="shared" si="75"/>
        <v>0.6817608311</v>
      </c>
      <c r="E33" s="19">
        <f t="shared" si="75"/>
        <v>0.584529846</v>
      </c>
      <c r="F33" s="19">
        <f t="shared" si="75"/>
        <v>0.7062346041</v>
      </c>
      <c r="G33" s="19"/>
      <c r="H33" s="19"/>
      <c r="I33" s="19"/>
      <c r="J33" s="19"/>
      <c r="K33" s="19">
        <f t="shared" ref="K33:Z33" si="76">+K32/K34</f>
        <v>1.247922304</v>
      </c>
      <c r="L33" s="19">
        <f t="shared" si="76"/>
        <v>0.6384669981</v>
      </c>
      <c r="M33" s="19">
        <f t="shared" si="76"/>
        <v>0.6460130038</v>
      </c>
      <c r="N33" s="19">
        <f t="shared" si="76"/>
        <v>0.7343890463</v>
      </c>
      <c r="O33" s="19">
        <f t="shared" si="76"/>
        <v>1.680233974</v>
      </c>
      <c r="P33" s="19">
        <f t="shared" si="76"/>
        <v>1.395816697</v>
      </c>
      <c r="Q33" s="19">
        <f t="shared" si="76"/>
        <v>1.295694396</v>
      </c>
      <c r="R33" s="19">
        <f t="shared" si="76"/>
        <v>1.23540007</v>
      </c>
      <c r="S33" s="19">
        <f t="shared" si="76"/>
        <v>2.096336943</v>
      </c>
      <c r="T33" s="19">
        <f t="shared" si="76"/>
        <v>1.524691715</v>
      </c>
      <c r="U33" s="19">
        <f t="shared" si="76"/>
        <v>1.195532979</v>
      </c>
      <c r="V33" s="19">
        <f t="shared" si="76"/>
        <v>1.28554425</v>
      </c>
      <c r="W33" s="19">
        <f t="shared" si="76"/>
        <v>1.880078352</v>
      </c>
      <c r="X33" s="19">
        <f t="shared" si="76"/>
        <v>1.524573974</v>
      </c>
      <c r="Y33" s="19">
        <f t="shared" si="76"/>
        <v>1.213164171</v>
      </c>
      <c r="Z33" s="19">
        <f t="shared" si="76"/>
        <v>1.459047101</v>
      </c>
      <c r="AA33" s="18"/>
      <c r="AB33" s="18"/>
      <c r="AC33" s="18"/>
      <c r="AD33" s="19">
        <f t="shared" ref="AD33:BR33" si="77">+AD32/AD34</f>
        <v>1.434819773</v>
      </c>
      <c r="AE33" s="19">
        <f t="shared" si="77"/>
        <v>-0.335635523</v>
      </c>
      <c r="AF33" s="19">
        <f t="shared" si="77"/>
        <v>0.2653509681</v>
      </c>
      <c r="AG33" s="19">
        <f t="shared" si="77"/>
        <v>0.129310582</v>
      </c>
      <c r="AH33" s="19">
        <f t="shared" si="77"/>
        <v>0.3859947174</v>
      </c>
      <c r="AI33" s="19">
        <f t="shared" si="77"/>
        <v>1.558159621</v>
      </c>
      <c r="AJ33" s="19">
        <f t="shared" si="77"/>
        <v>2.266599508</v>
      </c>
      <c r="AK33" s="19">
        <f t="shared" si="77"/>
        <v>3.931217193</v>
      </c>
      <c r="AL33" s="19">
        <f t="shared" si="77"/>
        <v>6.782768509</v>
      </c>
      <c r="AM33" s="19">
        <f t="shared" si="77"/>
        <v>9.079332528</v>
      </c>
      <c r="AN33" s="19">
        <f t="shared" si="77"/>
        <v>15.15390738</v>
      </c>
      <c r="AO33" s="19">
        <f t="shared" si="77"/>
        <v>27.67537327</v>
      </c>
      <c r="AP33" s="19">
        <f t="shared" si="77"/>
        <v>6.306476345</v>
      </c>
      <c r="AQ33" s="19">
        <f t="shared" si="77"/>
        <v>5.679098214</v>
      </c>
      <c r="AR33" s="19">
        <f t="shared" si="77"/>
        <v>6.453074422</v>
      </c>
      <c r="AS33" s="19">
        <f t="shared" si="77"/>
        <v>9.216876236</v>
      </c>
      <c r="AT33" s="19">
        <f t="shared" si="77"/>
        <v>8.306302896</v>
      </c>
      <c r="AU33" s="19">
        <f t="shared" si="77"/>
        <v>9.206747083</v>
      </c>
      <c r="AV33" s="19">
        <f t="shared" si="77"/>
        <v>2.976485113</v>
      </c>
      <c r="AW33" s="19">
        <f t="shared" si="77"/>
        <v>2.971447464</v>
      </c>
      <c r="AX33" s="19">
        <f t="shared" si="77"/>
        <v>3.275347915</v>
      </c>
      <c r="AY33" s="19">
        <f t="shared" si="77"/>
        <v>5.614020358</v>
      </c>
      <c r="AZ33" s="19">
        <f t="shared" si="77"/>
        <v>6.113200295</v>
      </c>
      <c r="BA33" s="19">
        <f t="shared" si="77"/>
        <v>5.736314121</v>
      </c>
      <c r="BB33" s="19">
        <f t="shared" si="77"/>
        <v>6.596030857</v>
      </c>
      <c r="BC33" s="19">
        <f t="shared" si="77"/>
        <v>7.386542726</v>
      </c>
      <c r="BD33" s="19">
        <f t="shared" si="77"/>
        <v>8.0366554</v>
      </c>
      <c r="BE33" s="19">
        <f t="shared" si="77"/>
        <v>8.742685591</v>
      </c>
      <c r="BF33" s="19">
        <f t="shared" si="77"/>
        <v>9.509588426</v>
      </c>
      <c r="BG33" s="19">
        <f t="shared" si="77"/>
        <v>10.08094531</v>
      </c>
      <c r="BH33" s="19">
        <f t="shared" si="77"/>
        <v>10.62370866</v>
      </c>
      <c r="BI33" s="19">
        <f t="shared" si="77"/>
        <v>11.19463644</v>
      </c>
      <c r="BJ33" s="19">
        <f t="shared" si="77"/>
        <v>11.7951667</v>
      </c>
      <c r="BK33" s="19">
        <f t="shared" si="77"/>
        <v>12.42681053</v>
      </c>
      <c r="BL33" s="19">
        <f t="shared" si="77"/>
        <v>13.03003341</v>
      </c>
      <c r="BM33" s="19">
        <f t="shared" si="77"/>
        <v>13.64845238</v>
      </c>
      <c r="BN33" s="19">
        <f t="shared" si="77"/>
        <v>14.2960654</v>
      </c>
      <c r="BO33" s="19">
        <f t="shared" si="77"/>
        <v>14.97425297</v>
      </c>
      <c r="BP33" s="19">
        <f t="shared" si="77"/>
        <v>15.68446123</v>
      </c>
      <c r="BQ33" s="19">
        <f t="shared" si="77"/>
        <v>16.42820506</v>
      </c>
      <c r="BR33" s="19">
        <f t="shared" si="77"/>
        <v>17.20707143</v>
      </c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</row>
    <row r="34" ht="12.75" customHeight="1">
      <c r="A34" s="5"/>
      <c r="B34" s="5" t="s">
        <v>2</v>
      </c>
      <c r="C34" s="5">
        <f>5157.787*4</f>
        <v>20631.148</v>
      </c>
      <c r="D34" s="5">
        <f>5068.493*4</f>
        <v>20273.972</v>
      </c>
      <c r="E34" s="5">
        <f>4926.609*4</f>
        <v>19706.436</v>
      </c>
      <c r="F34" s="5">
        <f>5000.109*4</f>
        <v>20000.436</v>
      </c>
      <c r="G34" s="5"/>
      <c r="H34" s="5"/>
      <c r="I34" s="5"/>
      <c r="J34" s="5"/>
      <c r="K34" s="5">
        <v>17818.417</v>
      </c>
      <c r="L34" s="5">
        <v>17618.765</v>
      </c>
      <c r="M34" s="5">
        <v>17419.154</v>
      </c>
      <c r="N34" s="5">
        <v>17256.521</v>
      </c>
      <c r="O34" s="5">
        <v>17113.688</v>
      </c>
      <c r="P34" s="5">
        <v>16929.157</v>
      </c>
      <c r="Q34" s="5">
        <v>16781.735</v>
      </c>
      <c r="R34" s="5">
        <v>16635.097</v>
      </c>
      <c r="S34" s="5">
        <v>16519.291</v>
      </c>
      <c r="T34" s="5">
        <v>16403.316</v>
      </c>
      <c r="U34" s="5">
        <v>16262.203</v>
      </c>
      <c r="V34" s="5">
        <v>16118.465</v>
      </c>
      <c r="W34" s="5">
        <v>15955.718</v>
      </c>
      <c r="X34" s="5">
        <v>15847.05</v>
      </c>
      <c r="Y34" s="5">
        <f t="shared" ref="Y34:Z34" si="78">X34</f>
        <v>15847.05</v>
      </c>
      <c r="Z34" s="5">
        <f t="shared" si="78"/>
        <v>15847.05</v>
      </c>
      <c r="AA34" s="5"/>
      <c r="AB34" s="5"/>
      <c r="AC34" s="5"/>
      <c r="AD34" s="5">
        <v>360.324</v>
      </c>
      <c r="AE34" s="5">
        <v>345.613</v>
      </c>
      <c r="AF34" s="5">
        <v>361.785</v>
      </c>
      <c r="AG34" s="5">
        <v>726.932</v>
      </c>
      <c r="AH34" s="5">
        <v>774.622</v>
      </c>
      <c r="AI34" s="5">
        <v>856.78</v>
      </c>
      <c r="AJ34" s="5">
        <v>877.526</v>
      </c>
      <c r="AK34" s="5">
        <v>889.292</v>
      </c>
      <c r="AL34" s="5">
        <v>902.139</v>
      </c>
      <c r="AM34" s="5">
        <v>907.005</v>
      </c>
      <c r="AN34" s="5">
        <v>924.712</v>
      </c>
      <c r="AO34" s="5">
        <v>936.645</v>
      </c>
      <c r="AP34" s="5">
        <v>6617.483</v>
      </c>
      <c r="AQ34" s="5">
        <v>6521.634</v>
      </c>
      <c r="AR34" s="5">
        <v>6122.663</v>
      </c>
      <c r="AS34" s="5">
        <v>5793.069</v>
      </c>
      <c r="AT34" s="5">
        <v>5500.281</v>
      </c>
      <c r="AU34" s="5">
        <v>5251.692</v>
      </c>
      <c r="AV34" s="5">
        <f>5000.109*4</f>
        <v>20000.436</v>
      </c>
      <c r="AW34" s="5">
        <v>18595.651</v>
      </c>
      <c r="AX34" s="5">
        <f>AVERAGE(K34:N34)</f>
        <v>17528.21425</v>
      </c>
      <c r="AY34" s="5">
        <f>AVERAGE(O34:R34)</f>
        <v>16864.91925</v>
      </c>
      <c r="AZ34" s="5">
        <f>AVERAGE(S34:V34)</f>
        <v>16325.81875</v>
      </c>
      <c r="BA34" s="5">
        <f t="shared" ref="BA34:BR34" si="79">+AZ34</f>
        <v>16325.81875</v>
      </c>
      <c r="BB34" s="5">
        <f t="shared" si="79"/>
        <v>16325.81875</v>
      </c>
      <c r="BC34" s="5">
        <f t="shared" si="79"/>
        <v>16325.81875</v>
      </c>
      <c r="BD34" s="5">
        <f t="shared" si="79"/>
        <v>16325.81875</v>
      </c>
      <c r="BE34" s="5">
        <f t="shared" si="79"/>
        <v>16325.81875</v>
      </c>
      <c r="BF34" s="5">
        <f t="shared" si="79"/>
        <v>16325.81875</v>
      </c>
      <c r="BG34" s="5">
        <f t="shared" si="79"/>
        <v>16325.81875</v>
      </c>
      <c r="BH34" s="5">
        <f t="shared" si="79"/>
        <v>16325.81875</v>
      </c>
      <c r="BI34" s="5">
        <f t="shared" si="79"/>
        <v>16325.81875</v>
      </c>
      <c r="BJ34" s="5">
        <f t="shared" si="79"/>
        <v>16325.81875</v>
      </c>
      <c r="BK34" s="5">
        <f t="shared" si="79"/>
        <v>16325.81875</v>
      </c>
      <c r="BL34" s="5">
        <f t="shared" si="79"/>
        <v>16325.81875</v>
      </c>
      <c r="BM34" s="5">
        <f t="shared" si="79"/>
        <v>16325.81875</v>
      </c>
      <c r="BN34" s="5">
        <f t="shared" si="79"/>
        <v>16325.81875</v>
      </c>
      <c r="BO34" s="5">
        <f t="shared" si="79"/>
        <v>16325.81875</v>
      </c>
      <c r="BP34" s="5">
        <f t="shared" si="79"/>
        <v>16325.81875</v>
      </c>
      <c r="BQ34" s="5">
        <f t="shared" si="79"/>
        <v>16325.81875</v>
      </c>
      <c r="BR34" s="5">
        <f t="shared" si="79"/>
        <v>16325.81875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</row>
    <row r="35" ht="12.75" customHeight="1"/>
    <row r="36" ht="12.75" customHeight="1">
      <c r="A36" s="18"/>
      <c r="B36" s="16" t="s">
        <v>104</v>
      </c>
      <c r="C36" s="18"/>
      <c r="D36" s="18"/>
      <c r="E36" s="18"/>
      <c r="F36" s="18"/>
      <c r="G36" s="18"/>
      <c r="H36" s="18"/>
      <c r="I36" s="18"/>
      <c r="J36" s="18"/>
      <c r="K36" s="18"/>
      <c r="L36" s="20"/>
      <c r="M36" s="20"/>
      <c r="N36" s="20"/>
      <c r="O36" s="20">
        <f t="shared" ref="O36:Z36" si="80">O20/K20-1</f>
        <v>0.2136812642</v>
      </c>
      <c r="P36" s="20">
        <f t="shared" si="80"/>
        <v>0.5362612111</v>
      </c>
      <c r="Q36" s="20">
        <f t="shared" si="80"/>
        <v>0.3643964145</v>
      </c>
      <c r="R36" s="20">
        <f t="shared" si="80"/>
        <v>0.2884478655</v>
      </c>
      <c r="S36" s="20">
        <f t="shared" si="80"/>
        <v>0.1122228304</v>
      </c>
      <c r="T36" s="20">
        <f t="shared" si="80"/>
        <v>0.08588587248</v>
      </c>
      <c r="U36" s="20">
        <f t="shared" si="80"/>
        <v>0.01872682172</v>
      </c>
      <c r="V36" s="20">
        <f t="shared" si="80"/>
        <v>0.0814059501</v>
      </c>
      <c r="W36" s="20">
        <f t="shared" si="80"/>
        <v>-0.05479043124</v>
      </c>
      <c r="X36" s="20">
        <f t="shared" si="80"/>
        <v>-0.02510331216</v>
      </c>
      <c r="Y36" s="20">
        <f t="shared" si="80"/>
        <v>-0.01109523982</v>
      </c>
      <c r="Z36" s="20">
        <f t="shared" si="80"/>
        <v>0.02694051871</v>
      </c>
      <c r="AA36" s="18"/>
      <c r="AB36" s="18"/>
      <c r="AC36" s="18"/>
      <c r="AD36" s="20">
        <f t="shared" ref="AD36:BR36" si="81">+AD20/AC20-1</f>
        <v>0.3014346267</v>
      </c>
      <c r="AE36" s="20">
        <f t="shared" si="81"/>
        <v>-0.3281974195</v>
      </c>
      <c r="AF36" s="20">
        <f t="shared" si="81"/>
        <v>0.07066940145</v>
      </c>
      <c r="AG36" s="20">
        <f t="shared" si="81"/>
        <v>0.08098223615</v>
      </c>
      <c r="AH36" s="20">
        <f t="shared" si="81"/>
        <v>0.3338166586</v>
      </c>
      <c r="AI36" s="20">
        <f t="shared" si="81"/>
        <v>0.6826911463</v>
      </c>
      <c r="AJ36" s="20">
        <f t="shared" si="81"/>
        <v>0.3864762041</v>
      </c>
      <c r="AK36" s="20">
        <f t="shared" si="81"/>
        <v>0.2428682371</v>
      </c>
      <c r="AL36" s="20">
        <f t="shared" si="81"/>
        <v>0.5617345664</v>
      </c>
      <c r="AM36" s="20">
        <f t="shared" si="81"/>
        <v>0.1444079913</v>
      </c>
      <c r="AN36" s="20">
        <f t="shared" si="81"/>
        <v>0.5202190887</v>
      </c>
      <c r="AO36" s="20">
        <f t="shared" si="81"/>
        <v>0.6596243772</v>
      </c>
      <c r="AP36" s="20">
        <f t="shared" si="81"/>
        <v>0.4458147419</v>
      </c>
      <c r="AQ36" s="20">
        <f t="shared" si="81"/>
        <v>0.09202085516</v>
      </c>
      <c r="AR36" s="20">
        <f t="shared" si="81"/>
        <v>0.06953952373</v>
      </c>
      <c r="AS36" s="20">
        <f t="shared" si="81"/>
        <v>0.278563418</v>
      </c>
      <c r="AT36" s="20">
        <f t="shared" si="81"/>
        <v>-0.07734206191</v>
      </c>
      <c r="AU36" s="20">
        <f t="shared" si="81"/>
        <v>0.06304518199</v>
      </c>
      <c r="AV36" s="20">
        <f t="shared" si="81"/>
        <v>0.1586195765</v>
      </c>
      <c r="AW36" s="20">
        <f t="shared" si="81"/>
        <v>-0.02041077581</v>
      </c>
      <c r="AX36" s="20">
        <f t="shared" si="81"/>
        <v>0.05512080377</v>
      </c>
      <c r="AY36" s="20">
        <f t="shared" si="81"/>
        <v>0.3325938473</v>
      </c>
      <c r="AZ36" s="20">
        <f t="shared" si="81"/>
        <v>0.07793787604</v>
      </c>
      <c r="BA36" s="20">
        <f t="shared" si="81"/>
        <v>-0.01958996064</v>
      </c>
      <c r="BB36" s="20">
        <f t="shared" si="81"/>
        <v>0.1042945938</v>
      </c>
      <c r="BC36" s="20">
        <f t="shared" si="81"/>
        <v>0.08106049518</v>
      </c>
      <c r="BD36" s="20">
        <f t="shared" si="81"/>
        <v>0.06548730173</v>
      </c>
      <c r="BE36" s="20">
        <f t="shared" si="81"/>
        <v>0.06589470657</v>
      </c>
      <c r="BF36" s="20">
        <f t="shared" si="81"/>
        <v>0.06630767435</v>
      </c>
      <c r="BG36" s="20">
        <f t="shared" si="81"/>
        <v>0.053630178</v>
      </c>
      <c r="BH36" s="20">
        <f t="shared" si="81"/>
        <v>0.04776949264</v>
      </c>
      <c r="BI36" s="20">
        <f t="shared" si="81"/>
        <v>0.04779489816</v>
      </c>
      <c r="BJ36" s="20">
        <f t="shared" si="81"/>
        <v>0.04782040727</v>
      </c>
      <c r="BK36" s="20">
        <f t="shared" si="81"/>
        <v>0.04784602058</v>
      </c>
      <c r="BL36" s="20">
        <f t="shared" si="81"/>
        <v>0.04299058219</v>
      </c>
      <c r="BM36" s="20">
        <f t="shared" si="81"/>
        <v>0.0419736707</v>
      </c>
      <c r="BN36" s="20">
        <f t="shared" si="81"/>
        <v>0.0420119371</v>
      </c>
      <c r="BO36" s="20">
        <f t="shared" si="81"/>
        <v>0.04205029784</v>
      </c>
      <c r="BP36" s="20">
        <f t="shared" si="81"/>
        <v>0.04208875046</v>
      </c>
      <c r="BQ36" s="20">
        <f t="shared" si="81"/>
        <v>0.04212729249</v>
      </c>
      <c r="BR36" s="20">
        <f t="shared" si="81"/>
        <v>0.04216592143</v>
      </c>
      <c r="BS36" s="18"/>
      <c r="BT36" s="18" t="s">
        <v>105</v>
      </c>
      <c r="BU36" s="21">
        <v>0.05</v>
      </c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</row>
    <row r="37" ht="12.75" customHeight="1">
      <c r="A37" s="18"/>
      <c r="B37" s="16" t="s">
        <v>106</v>
      </c>
      <c r="C37" s="18"/>
      <c r="D37" s="18"/>
      <c r="E37" s="18"/>
      <c r="F37" s="18"/>
      <c r="G37" s="18"/>
      <c r="H37" s="18"/>
      <c r="I37" s="18"/>
      <c r="J37" s="18"/>
      <c r="K37" s="18"/>
      <c r="L37" s="20"/>
      <c r="M37" s="20"/>
      <c r="N37" s="20"/>
      <c r="O37" s="20">
        <f t="shared" ref="O37:X37" si="82">+O10/K10-1</f>
        <v>0.1722751398</v>
      </c>
      <c r="P37" s="20">
        <f t="shared" si="82"/>
        <v>0.6552033699</v>
      </c>
      <c r="Q37" s="20">
        <f t="shared" si="82"/>
        <v>0.4978423802</v>
      </c>
      <c r="R37" s="20">
        <f t="shared" si="82"/>
        <v>0.4698230222</v>
      </c>
      <c r="S37" s="20">
        <f t="shared" si="82"/>
        <v>0.09194018019</v>
      </c>
      <c r="T37" s="20">
        <f t="shared" si="82"/>
        <v>0.05490425132</v>
      </c>
      <c r="U37" s="20">
        <f t="shared" si="82"/>
        <v>0.02767247915</v>
      </c>
      <c r="V37" s="20">
        <f t="shared" si="82"/>
        <v>0.09668622003</v>
      </c>
      <c r="W37" s="20">
        <f t="shared" si="82"/>
        <v>-0.08171385492</v>
      </c>
      <c r="X37" s="20">
        <f t="shared" si="82"/>
        <v>0.01510777141</v>
      </c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0"/>
      <c r="AL37" s="20">
        <f t="shared" ref="AL37:BR37" si="83">+AL10/AK10-1</f>
        <v>53.81300813</v>
      </c>
      <c r="AM37" s="20">
        <f t="shared" si="83"/>
        <v>0.9331059033</v>
      </c>
      <c r="AN37" s="20">
        <f t="shared" si="83"/>
        <v>0.9319419934</v>
      </c>
      <c r="AO37" s="20">
        <f t="shared" si="83"/>
        <v>0.8268398268</v>
      </c>
      <c r="AP37" s="20">
        <f t="shared" si="83"/>
        <v>0.7107700335</v>
      </c>
      <c r="AQ37" s="20">
        <f t="shared" si="83"/>
        <v>0.1599527271</v>
      </c>
      <c r="AR37" s="20">
        <f t="shared" si="83"/>
        <v>0.1173544846</v>
      </c>
      <c r="AS37" s="20">
        <f t="shared" si="83"/>
        <v>0.5201439343</v>
      </c>
      <c r="AT37" s="20">
        <f t="shared" si="83"/>
        <v>-0.1182977406</v>
      </c>
      <c r="AU37" s="20">
        <f t="shared" si="83"/>
        <v>0.03378931968</v>
      </c>
      <c r="AV37" s="20">
        <f t="shared" si="83"/>
        <v>0.1667787063</v>
      </c>
      <c r="AW37" s="20">
        <f t="shared" si="83"/>
        <v>-0.1364987143</v>
      </c>
      <c r="AX37" s="20">
        <f t="shared" si="83"/>
        <v>-0.0323076815</v>
      </c>
      <c r="AY37" s="20">
        <f t="shared" si="83"/>
        <v>0.3933198336</v>
      </c>
      <c r="AZ37" s="20">
        <f t="shared" si="83"/>
        <v>0.07040573414</v>
      </c>
      <c r="BA37" s="20">
        <f t="shared" si="83"/>
        <v>0.0201</v>
      </c>
      <c r="BB37" s="20">
        <f t="shared" si="83"/>
        <v>0.0201</v>
      </c>
      <c r="BC37" s="20">
        <f t="shared" si="83"/>
        <v>0.0668</v>
      </c>
      <c r="BD37" s="20">
        <f t="shared" si="83"/>
        <v>0.05664</v>
      </c>
      <c r="BE37" s="20">
        <f t="shared" si="83"/>
        <v>0.05664</v>
      </c>
      <c r="BF37" s="20">
        <f t="shared" si="83"/>
        <v>0.05664</v>
      </c>
      <c r="BG37" s="20">
        <f t="shared" si="83"/>
        <v>0.05664</v>
      </c>
      <c r="BH37" s="20">
        <f t="shared" si="83"/>
        <v>0.04648</v>
      </c>
      <c r="BI37" s="20">
        <f t="shared" si="83"/>
        <v>0.04648</v>
      </c>
      <c r="BJ37" s="20">
        <f t="shared" si="83"/>
        <v>0.04648</v>
      </c>
      <c r="BK37" s="20">
        <f t="shared" si="83"/>
        <v>0.04648</v>
      </c>
      <c r="BL37" s="20">
        <f t="shared" si="83"/>
        <v>0.03632</v>
      </c>
      <c r="BM37" s="20">
        <f t="shared" si="83"/>
        <v>0.03632</v>
      </c>
      <c r="BN37" s="20">
        <f t="shared" si="83"/>
        <v>0.03632</v>
      </c>
      <c r="BO37" s="20">
        <f t="shared" si="83"/>
        <v>0.03632</v>
      </c>
      <c r="BP37" s="20">
        <f t="shared" si="83"/>
        <v>0.03632</v>
      </c>
      <c r="BQ37" s="20">
        <f t="shared" si="83"/>
        <v>0.03632</v>
      </c>
      <c r="BR37" s="20">
        <f t="shared" si="83"/>
        <v>0.03632</v>
      </c>
      <c r="BS37" s="18"/>
      <c r="BT37" s="18" t="s">
        <v>107</v>
      </c>
      <c r="BU37" s="22">
        <v>-0.01</v>
      </c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</row>
    <row r="38" ht="12.75" customHeight="1">
      <c r="A38" s="18"/>
      <c r="B38" s="16" t="s">
        <v>108</v>
      </c>
      <c r="C38" s="18"/>
      <c r="D38" s="18"/>
      <c r="E38" s="18"/>
      <c r="F38" s="18"/>
      <c r="G38" s="18"/>
      <c r="H38" s="18"/>
      <c r="I38" s="18"/>
      <c r="J38" s="18"/>
      <c r="K38" s="18"/>
      <c r="L38" s="20"/>
      <c r="M38" s="20"/>
      <c r="N38" s="20"/>
      <c r="O38" s="20">
        <f t="shared" ref="O38:Z38" si="84">+O19/K19-1</f>
        <v>0.2395595753</v>
      </c>
      <c r="P38" s="20">
        <f t="shared" si="84"/>
        <v>0.2661821996</v>
      </c>
      <c r="Q38" s="20">
        <f t="shared" si="84"/>
        <v>0.3291273943</v>
      </c>
      <c r="R38" s="20">
        <f t="shared" si="84"/>
        <v>0.2562375421</v>
      </c>
      <c r="S38" s="20">
        <f t="shared" si="84"/>
        <v>0.2382463042</v>
      </c>
      <c r="T38" s="20">
        <f t="shared" si="84"/>
        <v>0.172770842</v>
      </c>
      <c r="U38" s="20">
        <f t="shared" si="84"/>
        <v>0.1211254718</v>
      </c>
      <c r="V38" s="20">
        <f t="shared" si="84"/>
        <v>0.04984406631</v>
      </c>
      <c r="W38" s="20">
        <f t="shared" si="84"/>
        <v>0.06405001025</v>
      </c>
      <c r="X38" s="20">
        <f t="shared" si="84"/>
        <v>0.05479037385</v>
      </c>
      <c r="Y38" s="20">
        <f t="shared" si="84"/>
        <v>0.05</v>
      </c>
      <c r="Z38" s="20">
        <f t="shared" si="84"/>
        <v>0.08958724203</v>
      </c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20">
        <f t="shared" ref="AW38:BR38" si="85">+AW19/AV19-1</f>
        <v>0.164612056</v>
      </c>
      <c r="AX38" s="20">
        <f t="shared" si="85"/>
        <v>0.1615216781</v>
      </c>
      <c r="AY38" s="20">
        <f t="shared" si="85"/>
        <v>0.2725970838</v>
      </c>
      <c r="AZ38" s="20">
        <f t="shared" si="85"/>
        <v>0.1418195104</v>
      </c>
      <c r="BA38" s="20">
        <f t="shared" si="85"/>
        <v>0.0644472603</v>
      </c>
      <c r="BB38" s="20">
        <f t="shared" si="85"/>
        <v>0.15</v>
      </c>
      <c r="BC38" s="20">
        <f t="shared" si="85"/>
        <v>0.15</v>
      </c>
      <c r="BD38" s="20">
        <f t="shared" si="85"/>
        <v>0.1</v>
      </c>
      <c r="BE38" s="20">
        <f t="shared" si="85"/>
        <v>0.1</v>
      </c>
      <c r="BF38" s="20">
        <f t="shared" si="85"/>
        <v>0.1</v>
      </c>
      <c r="BG38" s="20">
        <f t="shared" si="85"/>
        <v>0.05</v>
      </c>
      <c r="BH38" s="20">
        <f t="shared" si="85"/>
        <v>0.05</v>
      </c>
      <c r="BI38" s="20">
        <f t="shared" si="85"/>
        <v>0.05</v>
      </c>
      <c r="BJ38" s="20">
        <f t="shared" si="85"/>
        <v>0.05</v>
      </c>
      <c r="BK38" s="20">
        <f t="shared" si="85"/>
        <v>0.05</v>
      </c>
      <c r="BL38" s="20">
        <f t="shared" si="85"/>
        <v>0.05</v>
      </c>
      <c r="BM38" s="20">
        <f t="shared" si="85"/>
        <v>0.05</v>
      </c>
      <c r="BN38" s="20">
        <f t="shared" si="85"/>
        <v>0.05</v>
      </c>
      <c r="BO38" s="20">
        <f t="shared" si="85"/>
        <v>0.05</v>
      </c>
      <c r="BP38" s="20">
        <f t="shared" si="85"/>
        <v>0.05</v>
      </c>
      <c r="BQ38" s="20">
        <f t="shared" si="85"/>
        <v>0.05</v>
      </c>
      <c r="BR38" s="20">
        <f t="shared" si="85"/>
        <v>0.05</v>
      </c>
      <c r="BS38" s="18"/>
      <c r="BT38" s="18" t="s">
        <v>109</v>
      </c>
      <c r="BU38" s="16">
        <f t="array" ref="BU38">NPV(BU36,BA32:FZ32)+Main!L6-Main!L7</f>
        <v>3880965.943</v>
      </c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</row>
    <row r="39" ht="12.75" customHeight="1">
      <c r="B39" s="1" t="s">
        <v>110</v>
      </c>
      <c r="C39" s="23"/>
      <c r="D39" s="23"/>
      <c r="E39" s="23">
        <f>+E24/E20</f>
        <v>0.383384962</v>
      </c>
      <c r="K39" s="23">
        <f t="shared" ref="K39:Z39" si="86">+K24/K20</f>
        <v>0.3835480674</v>
      </c>
      <c r="L39" s="23">
        <f t="shared" si="86"/>
        <v>0.3836194331</v>
      </c>
      <c r="M39" s="23">
        <f t="shared" si="86"/>
        <v>0.3799949736</v>
      </c>
      <c r="N39" s="23">
        <f t="shared" si="86"/>
        <v>0.381603759</v>
      </c>
      <c r="O39" s="23">
        <f t="shared" si="86"/>
        <v>0.3977781567</v>
      </c>
      <c r="P39" s="23">
        <f t="shared" si="86"/>
        <v>0.4250647437</v>
      </c>
      <c r="Q39" s="23">
        <f t="shared" si="86"/>
        <v>0.4329272785</v>
      </c>
      <c r="R39" s="23">
        <f t="shared" si="86"/>
        <v>0.421952975</v>
      </c>
      <c r="S39" s="23">
        <f t="shared" si="86"/>
        <v>0.4376376619</v>
      </c>
      <c r="T39" s="23">
        <f t="shared" si="86"/>
        <v>0.437498715</v>
      </c>
      <c r="U39" s="23">
        <f t="shared" si="86"/>
        <v>0.4325630733</v>
      </c>
      <c r="V39" s="23">
        <f t="shared" si="86"/>
        <v>0.4225922393</v>
      </c>
      <c r="W39" s="23">
        <f t="shared" si="86"/>
        <v>0.4296225481</v>
      </c>
      <c r="X39" s="23">
        <f t="shared" si="86"/>
        <v>0.4426167278</v>
      </c>
      <c r="Y39" s="23">
        <f t="shared" si="86"/>
        <v>0.44</v>
      </c>
      <c r="Z39" s="23">
        <f t="shared" si="86"/>
        <v>0.44</v>
      </c>
      <c r="AD39" s="23">
        <f t="shared" ref="AD39:BR39" si="87">+AD24/AD20</f>
        <v>0.271326569</v>
      </c>
      <c r="AE39" s="23">
        <f t="shared" si="87"/>
        <v>0.2302815588</v>
      </c>
      <c r="AF39" s="23">
        <f t="shared" si="87"/>
        <v>0.2791710206</v>
      </c>
      <c r="AG39" s="23">
        <f t="shared" si="87"/>
        <v>0.2751731916</v>
      </c>
      <c r="AH39" s="23">
        <f t="shared" si="87"/>
        <v>0.2728590409</v>
      </c>
      <c r="AI39" s="23">
        <f t="shared" si="87"/>
        <v>0.2902160649</v>
      </c>
      <c r="AJ39" s="23">
        <f t="shared" si="87"/>
        <v>0.2898265597</v>
      </c>
      <c r="AK39" s="23">
        <f t="shared" si="87"/>
        <v>0.3396650837</v>
      </c>
      <c r="AL39" s="23">
        <f t="shared" si="87"/>
        <v>0.3520044811</v>
      </c>
      <c r="AM39" s="23">
        <f t="shared" si="87"/>
        <v>0.4013984384</v>
      </c>
      <c r="AN39" s="23">
        <f t="shared" si="87"/>
        <v>0.3937753929</v>
      </c>
      <c r="AO39" s="23">
        <f t="shared" si="87"/>
        <v>0.4047889588</v>
      </c>
      <c r="AP39" s="23">
        <f t="shared" si="87"/>
        <v>0.4387123981</v>
      </c>
      <c r="AQ39" s="23">
        <f t="shared" si="87"/>
        <v>0.3762448072</v>
      </c>
      <c r="AR39" s="23">
        <f t="shared" si="87"/>
        <v>0.3858803578</v>
      </c>
      <c r="AS39" s="23">
        <f t="shared" si="87"/>
        <v>0.4005990202</v>
      </c>
      <c r="AT39" s="23">
        <f t="shared" si="87"/>
        <v>0.3907595565</v>
      </c>
      <c r="AU39" s="23">
        <f t="shared" si="87"/>
        <v>0.3846986049</v>
      </c>
      <c r="AV39" s="23">
        <f t="shared" si="87"/>
        <v>0.3834371882</v>
      </c>
      <c r="AW39" s="23">
        <f t="shared" si="87"/>
        <v>0.3781776811</v>
      </c>
      <c r="AX39" s="23">
        <f t="shared" si="87"/>
        <v>0.3823324773</v>
      </c>
      <c r="AY39" s="23">
        <f t="shared" si="87"/>
        <v>0.4177935963</v>
      </c>
      <c r="AZ39" s="23">
        <f t="shared" si="87"/>
        <v>0.4330963056</v>
      </c>
      <c r="BA39" s="23">
        <f t="shared" si="87"/>
        <v>0.4395926148</v>
      </c>
      <c r="BB39" s="23">
        <f t="shared" si="87"/>
        <v>0.442886856</v>
      </c>
      <c r="BC39" s="23">
        <f t="shared" si="87"/>
        <v>0.4481725721</v>
      </c>
      <c r="BD39" s="23">
        <f t="shared" si="87"/>
        <v>0.4510286112</v>
      </c>
      <c r="BE39" s="23">
        <f t="shared" si="87"/>
        <v>0.4539412417</v>
      </c>
      <c r="BF39" s="23">
        <f t="shared" si="87"/>
        <v>0.4569095209</v>
      </c>
      <c r="BG39" s="23">
        <f t="shared" si="87"/>
        <v>0.4565756288</v>
      </c>
      <c r="BH39" s="23">
        <f t="shared" si="87"/>
        <v>0.4567812205</v>
      </c>
      <c r="BI39" s="23">
        <f t="shared" si="87"/>
        <v>0.4569848981</v>
      </c>
      <c r="BJ39" s="23">
        <f t="shared" si="87"/>
        <v>0.4571866384</v>
      </c>
      <c r="BK39" s="23">
        <f t="shared" si="87"/>
        <v>0.4573864178</v>
      </c>
      <c r="BL39" s="23">
        <f t="shared" si="87"/>
        <v>0.4580409032</v>
      </c>
      <c r="BM39" s="23">
        <f t="shared" si="87"/>
        <v>0.4587961128</v>
      </c>
      <c r="BN39" s="23">
        <f t="shared" si="87"/>
        <v>0.4595534838</v>
      </c>
      <c r="BO39" s="23">
        <f t="shared" si="87"/>
        <v>0.4603129678</v>
      </c>
      <c r="BP39" s="23">
        <f t="shared" si="87"/>
        <v>0.4610745161</v>
      </c>
      <c r="BQ39" s="23">
        <f t="shared" si="87"/>
        <v>0.4618380793</v>
      </c>
      <c r="BR39" s="23">
        <f t="shared" si="87"/>
        <v>0.4626036076</v>
      </c>
      <c r="BT39" s="18" t="s">
        <v>111</v>
      </c>
      <c r="BU39" s="24">
        <f>BU38/Main!L4</f>
        <v>248.2388348</v>
      </c>
    </row>
    <row r="40" ht="12.75" customHeight="1">
      <c r="B40" s="5" t="s">
        <v>112</v>
      </c>
      <c r="C40" s="25"/>
      <c r="D40" s="25"/>
      <c r="E40" s="25" t="s">
        <v>113</v>
      </c>
      <c r="K40" s="23">
        <f t="shared" ref="K40:Z40" si="88">(K19-K22)/K19</f>
        <v>0.6439638223</v>
      </c>
      <c r="L40" s="23">
        <f t="shared" si="88"/>
        <v>0.653730896</v>
      </c>
      <c r="M40" s="23">
        <f t="shared" si="88"/>
        <v>0.6722408027</v>
      </c>
      <c r="N40" s="23">
        <f t="shared" si="88"/>
        <v>0.6692556189</v>
      </c>
      <c r="O40" s="23">
        <f t="shared" si="88"/>
        <v>0.6839667534</v>
      </c>
      <c r="P40" s="23">
        <f t="shared" si="88"/>
        <v>0.7007277676</v>
      </c>
      <c r="Q40" s="23">
        <f t="shared" si="88"/>
        <v>0.6980441496</v>
      </c>
      <c r="R40" s="23">
        <f t="shared" si="88"/>
        <v>0.7047655523</v>
      </c>
      <c r="S40" s="23">
        <f t="shared" si="88"/>
        <v>0.7236626358</v>
      </c>
      <c r="T40" s="23">
        <f t="shared" si="88"/>
        <v>0.7260985823</v>
      </c>
      <c r="U40" s="23">
        <f t="shared" si="88"/>
        <v>0.7149051214</v>
      </c>
      <c r="V40" s="23">
        <f t="shared" si="88"/>
        <v>0.7048155097</v>
      </c>
      <c r="W40" s="23">
        <f t="shared" si="88"/>
        <v>0.7083212944</v>
      </c>
      <c r="X40" s="23">
        <f t="shared" si="88"/>
        <v>0.7099057732</v>
      </c>
      <c r="Y40" s="23">
        <f t="shared" si="88"/>
        <v>1</v>
      </c>
      <c r="Z40" s="23">
        <f t="shared" si="88"/>
        <v>1</v>
      </c>
      <c r="AD40" s="23">
        <f t="shared" ref="AD40:BR40" si="89">(AD19-AD22)/AD19</f>
        <v>1</v>
      </c>
      <c r="AE40" s="23">
        <f t="shared" si="89"/>
        <v>1</v>
      </c>
      <c r="AF40" s="23">
        <f t="shared" si="89"/>
        <v>1</v>
      </c>
      <c r="AG40" s="23">
        <f t="shared" si="89"/>
        <v>1</v>
      </c>
      <c r="AH40" s="23">
        <f t="shared" si="89"/>
        <v>1</v>
      </c>
      <c r="AI40" s="23">
        <f t="shared" si="89"/>
        <v>1</v>
      </c>
      <c r="AJ40" s="23">
        <f t="shared" si="89"/>
        <v>1</v>
      </c>
      <c r="AK40" s="23">
        <f t="shared" si="89"/>
        <v>1</v>
      </c>
      <c r="AL40" s="23">
        <f t="shared" si="89"/>
        <v>1</v>
      </c>
      <c r="AM40" s="23">
        <f t="shared" si="89"/>
        <v>1</v>
      </c>
      <c r="AN40" s="23">
        <f t="shared" si="89"/>
        <v>1</v>
      </c>
      <c r="AO40" s="23">
        <f t="shared" si="89"/>
        <v>1</v>
      </c>
      <c r="AP40" s="23">
        <f t="shared" si="89"/>
        <v>1</v>
      </c>
      <c r="AQ40" s="23">
        <f t="shared" si="89"/>
        <v>1</v>
      </c>
      <c r="AR40" s="23">
        <f t="shared" si="89"/>
        <v>1</v>
      </c>
      <c r="AS40" s="23">
        <f t="shared" si="89"/>
        <v>1</v>
      </c>
      <c r="AT40" s="23">
        <f t="shared" si="89"/>
        <v>1</v>
      </c>
      <c r="AU40" s="23">
        <f t="shared" si="89"/>
        <v>1</v>
      </c>
      <c r="AV40" s="23">
        <f t="shared" si="89"/>
        <v>0.6077286908</v>
      </c>
      <c r="AW40" s="23">
        <f t="shared" si="89"/>
        <v>0.6373809164</v>
      </c>
      <c r="AX40" s="23">
        <f t="shared" si="89"/>
        <v>0.6601510192</v>
      </c>
      <c r="AY40" s="23">
        <f t="shared" si="89"/>
        <v>0.6972597735</v>
      </c>
      <c r="AZ40" s="23">
        <f t="shared" si="89"/>
        <v>0.7174544663</v>
      </c>
      <c r="BA40" s="23">
        <f t="shared" si="89"/>
        <v>0.73</v>
      </c>
      <c r="BB40" s="23">
        <f t="shared" si="89"/>
        <v>0.73</v>
      </c>
      <c r="BC40" s="23">
        <f t="shared" si="89"/>
        <v>0.73</v>
      </c>
      <c r="BD40" s="23">
        <f t="shared" si="89"/>
        <v>0.73</v>
      </c>
      <c r="BE40" s="23">
        <f t="shared" si="89"/>
        <v>0.73</v>
      </c>
      <c r="BF40" s="23">
        <f t="shared" si="89"/>
        <v>0.73</v>
      </c>
      <c r="BG40" s="23">
        <f t="shared" si="89"/>
        <v>0.73</v>
      </c>
      <c r="BH40" s="23">
        <f t="shared" si="89"/>
        <v>0.73</v>
      </c>
      <c r="BI40" s="23">
        <f t="shared" si="89"/>
        <v>0.73</v>
      </c>
      <c r="BJ40" s="23">
        <f t="shared" si="89"/>
        <v>0.73</v>
      </c>
      <c r="BK40" s="23">
        <f t="shared" si="89"/>
        <v>0.73</v>
      </c>
      <c r="BL40" s="23">
        <f t="shared" si="89"/>
        <v>0.73</v>
      </c>
      <c r="BM40" s="23">
        <f t="shared" si="89"/>
        <v>0.73</v>
      </c>
      <c r="BN40" s="23">
        <f t="shared" si="89"/>
        <v>0.73</v>
      </c>
      <c r="BO40" s="23">
        <f t="shared" si="89"/>
        <v>0.73</v>
      </c>
      <c r="BP40" s="23">
        <f t="shared" si="89"/>
        <v>0.73</v>
      </c>
      <c r="BQ40" s="23">
        <f t="shared" si="89"/>
        <v>0.73</v>
      </c>
      <c r="BR40" s="23">
        <f t="shared" si="89"/>
        <v>0.73</v>
      </c>
      <c r="BT40" s="18" t="s">
        <v>114</v>
      </c>
      <c r="BU40" s="23">
        <f>BU39/Main!L3-1</f>
        <v>0.3946001954</v>
      </c>
    </row>
    <row r="41" ht="12.75" customHeight="1">
      <c r="B41" s="5" t="s">
        <v>115</v>
      </c>
      <c r="C41" s="25"/>
      <c r="D41" s="25"/>
      <c r="E41" s="25" t="s">
        <v>113</v>
      </c>
      <c r="K41" s="23">
        <f t="shared" ref="K41:Z41" si="90">(K18-K21)/K18</f>
        <v>0.3416894215</v>
      </c>
      <c r="L41" s="23">
        <f t="shared" si="90"/>
        <v>0.3034360058</v>
      </c>
      <c r="M41" s="23">
        <f t="shared" si="90"/>
        <v>0.2973629349</v>
      </c>
      <c r="N41" s="23">
        <f t="shared" si="90"/>
        <v>0.2981515085</v>
      </c>
      <c r="O41" s="23">
        <f t="shared" si="90"/>
        <v>0.3506344196</v>
      </c>
      <c r="P41" s="23">
        <f t="shared" si="90"/>
        <v>0.3609647373</v>
      </c>
      <c r="Q41" s="23">
        <f t="shared" si="90"/>
        <v>0.3604334772</v>
      </c>
      <c r="R41" s="23">
        <f t="shared" si="90"/>
        <v>0.342531844</v>
      </c>
      <c r="S41" s="23">
        <f t="shared" si="90"/>
        <v>0.3841844698</v>
      </c>
      <c r="T41" s="23">
        <f t="shared" si="90"/>
        <v>0.3636469267</v>
      </c>
      <c r="U41" s="23">
        <f t="shared" si="90"/>
        <v>0.3451976955</v>
      </c>
      <c r="V41" s="23">
        <f t="shared" si="90"/>
        <v>0.3462752614</v>
      </c>
      <c r="W41" s="23">
        <f t="shared" si="90"/>
        <v>0.3695792007</v>
      </c>
      <c r="X41" s="23">
        <f t="shared" si="90"/>
        <v>0.367027824</v>
      </c>
      <c r="Y41" s="23">
        <f t="shared" si="90"/>
        <v>1</v>
      </c>
      <c r="Z41" s="23">
        <f t="shared" si="90"/>
        <v>1</v>
      </c>
      <c r="AD41" s="23">
        <f t="shared" ref="AD41:BR41" si="91">(AD18-AD21)/AD18</f>
        <v>1</v>
      </c>
      <c r="AE41" s="23">
        <f t="shared" si="91"/>
        <v>1</v>
      </c>
      <c r="AF41" s="23">
        <f t="shared" si="91"/>
        <v>1</v>
      </c>
      <c r="AG41" s="23">
        <f t="shared" si="91"/>
        <v>1</v>
      </c>
      <c r="AH41" s="23">
        <f t="shared" si="91"/>
        <v>1</v>
      </c>
      <c r="AI41" s="23">
        <f t="shared" si="91"/>
        <v>1</v>
      </c>
      <c r="AJ41" s="23">
        <f t="shared" si="91"/>
        <v>1</v>
      </c>
      <c r="AK41" s="23">
        <f t="shared" si="91"/>
        <v>1</v>
      </c>
      <c r="AL41" s="23">
        <f t="shared" si="91"/>
        <v>1</v>
      </c>
      <c r="AM41" s="23">
        <f t="shared" si="91"/>
        <v>1</v>
      </c>
      <c r="AN41" s="23">
        <f t="shared" si="91"/>
        <v>1</v>
      </c>
      <c r="AO41" s="23">
        <f t="shared" si="91"/>
        <v>1</v>
      </c>
      <c r="AP41" s="23">
        <f t="shared" si="91"/>
        <v>1</v>
      </c>
      <c r="AQ41" s="23">
        <f t="shared" si="91"/>
        <v>1</v>
      </c>
      <c r="AR41" s="23">
        <f t="shared" si="91"/>
        <v>1</v>
      </c>
      <c r="AS41" s="23">
        <f t="shared" si="91"/>
        <v>1</v>
      </c>
      <c r="AT41" s="23">
        <f t="shared" si="91"/>
        <v>1</v>
      </c>
      <c r="AU41" s="23">
        <f t="shared" si="91"/>
        <v>1</v>
      </c>
      <c r="AV41" s="23">
        <f t="shared" si="91"/>
        <v>0.3439629484</v>
      </c>
      <c r="AW41" s="23">
        <f t="shared" si="91"/>
        <v>0.3220779585</v>
      </c>
      <c r="AX41" s="23">
        <f t="shared" si="91"/>
        <v>0.3146633929</v>
      </c>
      <c r="AY41" s="23">
        <f t="shared" si="91"/>
        <v>0.3534930328</v>
      </c>
      <c r="AZ41" s="23">
        <f t="shared" si="91"/>
        <v>0.3628347971</v>
      </c>
      <c r="BA41" s="23">
        <f t="shared" si="91"/>
        <v>0.36</v>
      </c>
      <c r="BB41" s="23">
        <f t="shared" si="91"/>
        <v>0.36</v>
      </c>
      <c r="BC41" s="23">
        <f t="shared" si="91"/>
        <v>0.36</v>
      </c>
      <c r="BD41" s="23">
        <f t="shared" si="91"/>
        <v>0.36</v>
      </c>
      <c r="BE41" s="23">
        <f t="shared" si="91"/>
        <v>0.36</v>
      </c>
      <c r="BF41" s="23">
        <f t="shared" si="91"/>
        <v>0.36</v>
      </c>
      <c r="BG41" s="23">
        <f t="shared" si="91"/>
        <v>0.36</v>
      </c>
      <c r="BH41" s="23">
        <f t="shared" si="91"/>
        <v>0.36</v>
      </c>
      <c r="BI41" s="23">
        <f t="shared" si="91"/>
        <v>0.36</v>
      </c>
      <c r="BJ41" s="23">
        <f t="shared" si="91"/>
        <v>0.36</v>
      </c>
      <c r="BK41" s="23">
        <f t="shared" si="91"/>
        <v>0.36</v>
      </c>
      <c r="BL41" s="23">
        <f t="shared" si="91"/>
        <v>0.36</v>
      </c>
      <c r="BM41" s="23">
        <f t="shared" si="91"/>
        <v>0.36</v>
      </c>
      <c r="BN41" s="23">
        <f t="shared" si="91"/>
        <v>0.36</v>
      </c>
      <c r="BO41" s="23">
        <f t="shared" si="91"/>
        <v>0.36</v>
      </c>
      <c r="BP41" s="23">
        <f t="shared" si="91"/>
        <v>0.36</v>
      </c>
      <c r="BQ41" s="23">
        <f t="shared" si="91"/>
        <v>0.36</v>
      </c>
      <c r="BR41" s="23">
        <f t="shared" si="91"/>
        <v>0.36</v>
      </c>
    </row>
    <row r="42" ht="12.75" customHeight="1">
      <c r="B42" s="1" t="s">
        <v>116</v>
      </c>
      <c r="C42" s="23"/>
      <c r="D42" s="23"/>
      <c r="E42" s="23">
        <f>+E28/E20</f>
        <v>0.2367783723</v>
      </c>
      <c r="K42" s="23">
        <f t="shared" ref="K42:Z42" si="92">+K28/K20</f>
        <v>0.278471776</v>
      </c>
      <c r="L42" s="23">
        <f t="shared" si="92"/>
        <v>0.2204139729</v>
      </c>
      <c r="M42" s="23">
        <f t="shared" si="92"/>
        <v>0.2193348412</v>
      </c>
      <c r="N42" s="23">
        <f t="shared" si="92"/>
        <v>0.2283687286</v>
      </c>
      <c r="O42" s="23">
        <f t="shared" si="92"/>
        <v>0.300917991</v>
      </c>
      <c r="P42" s="23">
        <f t="shared" si="92"/>
        <v>0.3070079478</v>
      </c>
      <c r="Q42" s="23">
        <f t="shared" si="92"/>
        <v>0.2962644596</v>
      </c>
      <c r="R42" s="23">
        <f t="shared" si="92"/>
        <v>0.285340691</v>
      </c>
      <c r="S42" s="23">
        <f t="shared" si="92"/>
        <v>0.3347291137</v>
      </c>
      <c r="T42" s="23">
        <f t="shared" si="92"/>
        <v>0.3081786221</v>
      </c>
      <c r="U42" s="23">
        <f t="shared" si="92"/>
        <v>0.2781615015</v>
      </c>
      <c r="V42" s="23">
        <f t="shared" si="92"/>
        <v>0.2761520201</v>
      </c>
      <c r="W42" s="23">
        <f t="shared" si="92"/>
        <v>0.3074244157</v>
      </c>
      <c r="X42" s="23">
        <f t="shared" si="92"/>
        <v>0.2985996879</v>
      </c>
      <c r="Y42" s="23">
        <f t="shared" si="92"/>
        <v>0.280733777</v>
      </c>
      <c r="Z42" s="23">
        <f t="shared" si="92"/>
        <v>0.2992528316</v>
      </c>
      <c r="AD42" s="23">
        <f t="shared" ref="AD42:BR42" si="93">+AD28/AD20</f>
        <v>0.07766503821</v>
      </c>
      <c r="AE42" s="23">
        <f t="shared" si="93"/>
        <v>-0.06209211262</v>
      </c>
      <c r="AF42" s="23">
        <f t="shared" si="93"/>
        <v>0.008359456635</v>
      </c>
      <c r="AG42" s="23">
        <f t="shared" si="93"/>
        <v>0.004027710649</v>
      </c>
      <c r="AH42" s="23">
        <f t="shared" si="93"/>
        <v>0.04215484962</v>
      </c>
      <c r="AI42" s="23">
        <f t="shared" si="93"/>
        <v>0.1184408872</v>
      </c>
      <c r="AJ42" s="23">
        <f t="shared" si="93"/>
        <v>0.1269997411</v>
      </c>
      <c r="AK42" s="23">
        <f t="shared" si="93"/>
        <v>0.1836624177</v>
      </c>
      <c r="AL42" s="23">
        <f t="shared" si="93"/>
        <v>0.2221066389</v>
      </c>
      <c r="AM42" s="23">
        <f t="shared" si="93"/>
        <v>0.2736277823</v>
      </c>
      <c r="AN42" s="23">
        <f t="shared" si="93"/>
        <v>0.2818704484</v>
      </c>
      <c r="AO42" s="23">
        <f t="shared" si="93"/>
        <v>0.3121506896</v>
      </c>
      <c r="AP42" s="23">
        <f t="shared" si="93"/>
        <v>0.3529595931</v>
      </c>
      <c r="AQ42" s="23">
        <f t="shared" si="93"/>
        <v>0.2866947516</v>
      </c>
      <c r="AR42" s="23">
        <f t="shared" si="93"/>
        <v>0.2872233923</v>
      </c>
      <c r="AS42" s="23">
        <f t="shared" si="93"/>
        <v>0.3047729072</v>
      </c>
      <c r="AT42" s="23">
        <f t="shared" si="93"/>
        <v>0.2783541011</v>
      </c>
      <c r="AU42" s="23">
        <f t="shared" si="93"/>
        <v>0.2676042821</v>
      </c>
      <c r="AV42" s="23">
        <f t="shared" si="93"/>
        <v>0.2669402662</v>
      </c>
      <c r="AW42" s="23">
        <f t="shared" si="93"/>
        <v>0.2457201719</v>
      </c>
      <c r="AX42" s="23">
        <f t="shared" si="93"/>
        <v>0.2414731435</v>
      </c>
      <c r="AY42" s="23">
        <f t="shared" si="93"/>
        <v>0.2978237753</v>
      </c>
      <c r="AZ42" s="23">
        <f t="shared" si="93"/>
        <v>0.302887444</v>
      </c>
      <c r="BA42" s="23">
        <f t="shared" si="93"/>
        <v>0.3027976799</v>
      </c>
      <c r="BB42" s="23">
        <f t="shared" si="93"/>
        <v>0.3152951937</v>
      </c>
      <c r="BC42" s="23">
        <f t="shared" si="93"/>
        <v>0.3266073009</v>
      </c>
      <c r="BD42" s="23">
        <f t="shared" si="93"/>
        <v>0.3335122137</v>
      </c>
      <c r="BE42" s="23">
        <f t="shared" si="93"/>
        <v>0.3403822863</v>
      </c>
      <c r="BF42" s="23">
        <f t="shared" si="93"/>
        <v>0.3472172371</v>
      </c>
      <c r="BG42" s="23">
        <f t="shared" si="93"/>
        <v>0.349343457</v>
      </c>
      <c r="BH42" s="23">
        <f t="shared" si="93"/>
        <v>0.3513676368</v>
      </c>
      <c r="BI42" s="23">
        <f t="shared" si="93"/>
        <v>0.3533615733</v>
      </c>
      <c r="BJ42" s="23">
        <f t="shared" si="93"/>
        <v>0.3553256479</v>
      </c>
      <c r="BK42" s="23">
        <f t="shared" si="93"/>
        <v>0.3572602368</v>
      </c>
      <c r="BL42" s="23">
        <f t="shared" si="93"/>
        <v>0.3591618067</v>
      </c>
      <c r="BM42" s="23">
        <f t="shared" si="93"/>
        <v>0.3610532694</v>
      </c>
      <c r="BN42" s="23">
        <f t="shared" si="93"/>
        <v>0.3629373845</v>
      </c>
      <c r="BO42" s="23">
        <f t="shared" si="93"/>
        <v>0.3648141397</v>
      </c>
      <c r="BP42" s="23">
        <f t="shared" si="93"/>
        <v>0.3666835222</v>
      </c>
      <c r="BQ42" s="23">
        <f t="shared" si="93"/>
        <v>0.3685455186</v>
      </c>
      <c r="BR42" s="23">
        <f t="shared" si="93"/>
        <v>0.3704001153</v>
      </c>
    </row>
    <row r="43" ht="12.75" customHeight="1">
      <c r="B43" s="1" t="s">
        <v>117</v>
      </c>
      <c r="C43" s="23"/>
      <c r="D43" s="23"/>
      <c r="E43" s="23">
        <f>E31/E30</f>
        <v>0.1328666064</v>
      </c>
      <c r="K43" s="23">
        <f t="shared" ref="K43:Z43" si="94">K31/K30</f>
        <v>0.1420634308</v>
      </c>
      <c r="L43" s="23">
        <f t="shared" si="94"/>
        <v>0.1435858394</v>
      </c>
      <c r="M43" s="23">
        <f t="shared" si="94"/>
        <v>0.1434117378</v>
      </c>
      <c r="N43" s="23">
        <f t="shared" si="94"/>
        <v>0.1495201664</v>
      </c>
      <c r="O43" s="23">
        <f t="shared" si="94"/>
        <v>0.1436612168</v>
      </c>
      <c r="P43" s="23">
        <f t="shared" si="94"/>
        <v>0.1564028417</v>
      </c>
      <c r="Q43" s="23">
        <f t="shared" si="94"/>
        <v>0.1077188231</v>
      </c>
      <c r="R43" s="23">
        <f t="shared" si="94"/>
        <v>0.1160099794</v>
      </c>
      <c r="S43" s="23">
        <f t="shared" si="94"/>
        <v>0.1603016416</v>
      </c>
      <c r="T43" s="23">
        <f t="shared" si="94"/>
        <v>0.1701781745</v>
      </c>
      <c r="U43" s="23">
        <f t="shared" si="94"/>
        <v>0.1571143675</v>
      </c>
      <c r="V43" s="23">
        <f t="shared" si="94"/>
        <v>0.1596301253</v>
      </c>
      <c r="W43" s="23">
        <f t="shared" si="94"/>
        <v>0.1579036016</v>
      </c>
      <c r="X43" s="23">
        <f t="shared" si="94"/>
        <v>0.148756254</v>
      </c>
      <c r="Y43" s="23">
        <f t="shared" si="94"/>
        <v>0.16</v>
      </c>
      <c r="Z43" s="23">
        <f t="shared" si="94"/>
        <v>0.16</v>
      </c>
      <c r="AD43" s="23">
        <f t="shared" ref="AD43:BR43" si="95">AD31/AD30</f>
        <v>0.3718104496</v>
      </c>
      <c r="AE43" s="23">
        <f t="shared" si="95"/>
        <v>0</v>
      </c>
      <c r="AF43" s="23">
        <f t="shared" si="95"/>
        <v>0.186440678</v>
      </c>
      <c r="AG43" s="23">
        <f t="shared" si="95"/>
        <v>0.2033898305</v>
      </c>
      <c r="AH43" s="23">
        <f t="shared" si="95"/>
        <v>0.263546798</v>
      </c>
      <c r="AI43" s="23">
        <f t="shared" si="95"/>
        <v>0.2644628099</v>
      </c>
      <c r="AJ43" s="23">
        <f t="shared" si="95"/>
        <v>0.2941802697</v>
      </c>
      <c r="AK43" s="23">
        <f t="shared" si="95"/>
        <v>0.3019169329</v>
      </c>
      <c r="AL43" s="23">
        <f t="shared" si="95"/>
        <v>0.3160836034</v>
      </c>
      <c r="AM43" s="23">
        <f t="shared" si="95"/>
        <v>0.3175037295</v>
      </c>
      <c r="AN43" s="23">
        <f t="shared" si="95"/>
        <v>0.2441747573</v>
      </c>
      <c r="AO43" s="23">
        <f t="shared" si="95"/>
        <v>0.2421575793</v>
      </c>
      <c r="AP43" s="23">
        <f t="shared" si="95"/>
        <v>0.2516005236</v>
      </c>
      <c r="AQ43" s="23">
        <f t="shared" si="95"/>
        <v>0.2615491975</v>
      </c>
      <c r="AR43" s="23">
        <f t="shared" si="95"/>
        <v>0.2612605875</v>
      </c>
      <c r="AS43" s="23">
        <f t="shared" si="95"/>
        <v>0.2636833759</v>
      </c>
      <c r="AT43" s="23">
        <f t="shared" si="95"/>
        <v>0.2555725738</v>
      </c>
      <c r="AU43" s="23">
        <f t="shared" si="95"/>
        <v>0.2455647615</v>
      </c>
      <c r="AV43" s="23">
        <f t="shared" si="95"/>
        <v>0.1834218071</v>
      </c>
      <c r="AW43" s="23">
        <f t="shared" si="95"/>
        <v>0.159438368</v>
      </c>
      <c r="AX43" s="23">
        <f t="shared" si="95"/>
        <v>0.1442816473</v>
      </c>
      <c r="AY43" s="23">
        <f t="shared" si="95"/>
        <v>0.1330226084</v>
      </c>
      <c r="AZ43" s="23">
        <f t="shared" si="95"/>
        <v>0.1620446168</v>
      </c>
      <c r="BA43" s="23">
        <f t="shared" si="95"/>
        <v>0.2</v>
      </c>
      <c r="BB43" s="23">
        <f t="shared" si="95"/>
        <v>0.2</v>
      </c>
      <c r="BC43" s="23">
        <f t="shared" si="95"/>
        <v>0.2</v>
      </c>
      <c r="BD43" s="23">
        <f t="shared" si="95"/>
        <v>0.2</v>
      </c>
      <c r="BE43" s="23">
        <f t="shared" si="95"/>
        <v>0.2</v>
      </c>
      <c r="BF43" s="23">
        <f t="shared" si="95"/>
        <v>0.2</v>
      </c>
      <c r="BG43" s="23">
        <f t="shared" si="95"/>
        <v>0.2</v>
      </c>
      <c r="BH43" s="23">
        <f t="shared" si="95"/>
        <v>0.2</v>
      </c>
      <c r="BI43" s="23">
        <f t="shared" si="95"/>
        <v>0.2</v>
      </c>
      <c r="BJ43" s="23">
        <f t="shared" si="95"/>
        <v>0.2</v>
      </c>
      <c r="BK43" s="23">
        <f t="shared" si="95"/>
        <v>0.2</v>
      </c>
      <c r="BL43" s="23">
        <f t="shared" si="95"/>
        <v>0.2</v>
      </c>
      <c r="BM43" s="23">
        <f t="shared" si="95"/>
        <v>0.2</v>
      </c>
      <c r="BN43" s="23">
        <f t="shared" si="95"/>
        <v>0.2</v>
      </c>
      <c r="BO43" s="23">
        <f t="shared" si="95"/>
        <v>0.2</v>
      </c>
      <c r="BP43" s="23">
        <f t="shared" si="95"/>
        <v>0.2</v>
      </c>
      <c r="BQ43" s="23">
        <f t="shared" si="95"/>
        <v>0.2</v>
      </c>
      <c r="BR43" s="23">
        <f t="shared" si="95"/>
        <v>0.2</v>
      </c>
    </row>
    <row r="44" ht="12.75" customHeight="1"/>
    <row r="45" ht="12.75" customHeight="1">
      <c r="A45" s="5"/>
      <c r="B45" s="5" t="s">
        <v>118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>
        <v>10211.0</v>
      </c>
      <c r="AG45" s="5">
        <v>10912.0</v>
      </c>
      <c r="AH45" s="5">
        <v>11695.0</v>
      </c>
      <c r="AI45" s="5">
        <v>14800.0</v>
      </c>
      <c r="AJ45" s="5">
        <v>17787.0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</row>
    <row r="47" ht="12.75" customHeight="1">
      <c r="B47" s="1" t="s">
        <v>119</v>
      </c>
      <c r="W47" s="5">
        <f t="shared" ref="W47:X47" si="96">W48-W60</f>
        <v>54340</v>
      </c>
      <c r="X47" s="5">
        <f t="shared" si="96"/>
        <v>56718</v>
      </c>
    </row>
    <row r="48" ht="12.75" customHeight="1">
      <c r="A48" s="5"/>
      <c r="B48" s="5" t="s">
        <v>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f>20535+30820+114095</f>
        <v>165450</v>
      </c>
      <c r="X48" s="5">
        <f>24687+31185+110461</f>
        <v>166333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</row>
    <row r="49" ht="12.75" customHeight="1">
      <c r="A49" s="5"/>
      <c r="B49" s="5" t="s">
        <v>120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v>23752.0</v>
      </c>
      <c r="X49" s="5">
        <v>17936.0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</row>
    <row r="50" ht="12.75" customHeight="1">
      <c r="A50" s="5"/>
      <c r="B50" s="5" t="s">
        <v>121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6820.0</v>
      </c>
      <c r="X50" s="5">
        <v>7482.0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</row>
    <row r="51" ht="12.75" customHeight="1">
      <c r="A51" s="5"/>
      <c r="B51" s="5" t="s">
        <v>122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30428.0</v>
      </c>
      <c r="X51" s="5">
        <v>17963.0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</row>
    <row r="52" ht="12.75" customHeight="1">
      <c r="A52" s="5"/>
      <c r="B52" s="5" t="s">
        <v>123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16422.0</v>
      </c>
      <c r="X52" s="5">
        <v>13660.0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</row>
    <row r="53" ht="12.75" customHeight="1">
      <c r="A53" s="5"/>
      <c r="B53" s="5" t="s">
        <v>124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42951.0</v>
      </c>
      <c r="X53" s="5">
        <v>43398.0</v>
      </c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</row>
    <row r="54" ht="12.75" customHeight="1">
      <c r="A54" s="5"/>
      <c r="B54" s="5" t="s">
        <v>125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60924.0</v>
      </c>
      <c r="X54" s="5">
        <v>65388.0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</row>
    <row r="55" ht="12.75" customHeight="1">
      <c r="A55" s="5"/>
      <c r="B55" s="5" t="s">
        <v>126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f t="shared" ref="W55:X55" si="97">SUM(W48:W54)</f>
        <v>346747</v>
      </c>
      <c r="X55" s="5">
        <f t="shared" si="97"/>
        <v>332160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</row>
    <row r="56" ht="12.75" customHeight="1"/>
    <row r="57" ht="12.75" customHeight="1">
      <c r="B57" s="5" t="s">
        <v>127</v>
      </c>
      <c r="W57" s="5">
        <v>57918.0</v>
      </c>
      <c r="X57" s="5">
        <v>42945.0</v>
      </c>
    </row>
    <row r="58" ht="12.75" customHeight="1">
      <c r="B58" s="5" t="s">
        <v>128</v>
      </c>
      <c r="W58" s="5">
        <v>59893.0</v>
      </c>
      <c r="X58" s="5">
        <v>56425.0</v>
      </c>
    </row>
    <row r="59" ht="12.75" customHeight="1">
      <c r="B59" s="5" t="s">
        <v>129</v>
      </c>
      <c r="W59" s="5">
        <v>7992.0</v>
      </c>
      <c r="X59" s="5">
        <v>8131.0</v>
      </c>
    </row>
    <row r="60" ht="12.75" customHeight="1">
      <c r="B60" s="5" t="s">
        <v>5</v>
      </c>
      <c r="W60" s="5">
        <f>1743+9740+99627</f>
        <v>111110</v>
      </c>
      <c r="X60" s="5">
        <f>1996+10578+97041</f>
        <v>109615</v>
      </c>
    </row>
    <row r="61" ht="12.75" customHeight="1">
      <c r="B61" s="5" t="s">
        <v>130</v>
      </c>
      <c r="W61" s="5">
        <v>53107.0</v>
      </c>
      <c r="X61" s="5">
        <v>52886.0</v>
      </c>
    </row>
    <row r="62" ht="12.75" customHeight="1">
      <c r="B62" s="5" t="s">
        <v>131</v>
      </c>
      <c r="W62" s="5">
        <v>56727.0</v>
      </c>
      <c r="X62" s="5">
        <v>62158.0</v>
      </c>
    </row>
    <row r="63" ht="12.75" customHeight="1">
      <c r="B63" s="5" t="s">
        <v>132</v>
      </c>
      <c r="W63" s="5">
        <f t="shared" ref="W63:X63" si="98">SUM(W57:W62)</f>
        <v>346747</v>
      </c>
      <c r="X63" s="5">
        <f t="shared" si="98"/>
        <v>332160</v>
      </c>
    </row>
    <row r="64" ht="12.75" customHeight="1"/>
    <row r="65" ht="12.75" customHeight="1">
      <c r="B65" s="5" t="s">
        <v>133</v>
      </c>
      <c r="W65" s="5">
        <f t="shared" ref="W65:X65" si="99">W32</f>
        <v>29998</v>
      </c>
      <c r="X65" s="5">
        <f t="shared" si="99"/>
        <v>24160</v>
      </c>
    </row>
    <row r="66" ht="12.75" customHeight="1">
      <c r="B66" s="5" t="s">
        <v>134</v>
      </c>
      <c r="W66" s="5">
        <v>29998.0</v>
      </c>
      <c r="X66" s="5">
        <f>54158-W66</f>
        <v>24160</v>
      </c>
    </row>
    <row r="67" ht="12.75" customHeight="1">
      <c r="B67" s="5" t="s">
        <v>135</v>
      </c>
      <c r="W67" s="5">
        <v>2916.0</v>
      </c>
      <c r="X67" s="5">
        <f>5814-W67</f>
        <v>2898</v>
      </c>
    </row>
    <row r="68" ht="12.75" customHeight="1">
      <c r="B68" s="5" t="s">
        <v>136</v>
      </c>
      <c r="W68" s="5">
        <v>2905.0</v>
      </c>
      <c r="X68" s="5">
        <f>5591-W68</f>
        <v>2686</v>
      </c>
    </row>
    <row r="69" ht="12.75" customHeight="1">
      <c r="B69" s="5" t="s">
        <v>137</v>
      </c>
      <c r="W69" s="5">
        <v>-317.0</v>
      </c>
      <c r="X69" s="5">
        <f>-1732-W69</f>
        <v>-1415</v>
      </c>
    </row>
    <row r="70" ht="12.75" customHeight="1">
      <c r="B70" s="5" t="s">
        <v>138</v>
      </c>
      <c r="W70" s="5">
        <f>4275-1807+2320-4099-6075+131+3758</f>
        <v>-1497</v>
      </c>
      <c r="X70" s="5">
        <f>9596-2548+14785-4092-20764+1757-W70</f>
        <v>231</v>
      </c>
    </row>
    <row r="71" ht="12.75" customHeight="1">
      <c r="B71" s="1" t="s">
        <v>139</v>
      </c>
      <c r="W71" s="5">
        <f t="shared" ref="W71:X71" si="100">SUM(W66:W70)</f>
        <v>34005</v>
      </c>
      <c r="X71" s="5">
        <f t="shared" si="100"/>
        <v>28560</v>
      </c>
    </row>
    <row r="72" ht="12.75" customHeight="1"/>
    <row r="73" ht="12.75" customHeight="1">
      <c r="B73" s="5" t="s">
        <v>140</v>
      </c>
      <c r="W73" s="5">
        <f>-5153+7127+509</f>
        <v>2483</v>
      </c>
      <c r="X73" s="5">
        <f>-11197+17124+1897-W73</f>
        <v>5341</v>
      </c>
    </row>
    <row r="74" ht="12.75" customHeight="1">
      <c r="B74" s="5" t="s">
        <v>141</v>
      </c>
      <c r="W74" s="5">
        <v>-3787.0</v>
      </c>
      <c r="X74" s="5">
        <f>-6703-W74</f>
        <v>-2916</v>
      </c>
    </row>
    <row r="75" ht="12.75" customHeight="1">
      <c r="B75" s="5" t="s">
        <v>137</v>
      </c>
      <c r="W75" s="5">
        <v>-141.0</v>
      </c>
      <c r="X75" s="5">
        <f>-247-W75</f>
        <v>-106</v>
      </c>
    </row>
    <row r="76" ht="12.75" customHeight="1">
      <c r="B76" s="5" t="s">
        <v>142</v>
      </c>
      <c r="W76" s="5">
        <f t="shared" ref="W76:X76" si="101">SUM(W73:W75)</f>
        <v>-1445</v>
      </c>
      <c r="X76" s="5">
        <f t="shared" si="101"/>
        <v>2319</v>
      </c>
    </row>
    <row r="77" ht="12.75" customHeight="1"/>
    <row r="78" ht="12.75" customHeight="1">
      <c r="B78" s="5" t="s">
        <v>143</v>
      </c>
      <c r="W78" s="5">
        <v>-2316.0</v>
      </c>
      <c r="X78" s="5">
        <f>-2734-W78</f>
        <v>-418</v>
      </c>
    </row>
    <row r="79" ht="12.75" customHeight="1">
      <c r="B79" s="5" t="s">
        <v>144</v>
      </c>
      <c r="W79" s="5">
        <v>-3768.0</v>
      </c>
      <c r="X79" s="5">
        <f>-7418-W79</f>
        <v>-3650</v>
      </c>
    </row>
    <row r="80" ht="12.75" customHeight="1">
      <c r="B80" s="5" t="s">
        <v>145</v>
      </c>
      <c r="W80" s="5">
        <v>-19475.0</v>
      </c>
      <c r="X80" s="5">
        <f>-39069-W80</f>
        <v>-19594</v>
      </c>
    </row>
    <row r="81" ht="12.75" customHeight="1">
      <c r="B81" s="5" t="s">
        <v>5</v>
      </c>
      <c r="W81" s="5">
        <f>-1401-8214</f>
        <v>-9615</v>
      </c>
      <c r="X81" s="5">
        <f>-3651-7960-W81</f>
        <v>-1996</v>
      </c>
    </row>
    <row r="82" ht="12.75" customHeight="1">
      <c r="B82" s="5" t="s">
        <v>137</v>
      </c>
      <c r="W82" s="5">
        <v>-389.0</v>
      </c>
      <c r="X82" s="5">
        <f>-455-W82</f>
        <v>-66</v>
      </c>
    </row>
    <row r="83" ht="12.75" customHeight="1">
      <c r="B83" s="5" t="s">
        <v>146</v>
      </c>
      <c r="W83" s="5">
        <f t="shared" ref="W83:X83" si="102">SUM(W78:W82)</f>
        <v>-35563</v>
      </c>
      <c r="X83" s="5">
        <f t="shared" si="102"/>
        <v>-25724</v>
      </c>
    </row>
    <row r="84" ht="12.75" customHeight="1"/>
    <row r="85" ht="12.75" customHeight="1">
      <c r="B85" s="5" t="s">
        <v>147</v>
      </c>
      <c r="W85" s="5">
        <f t="shared" ref="W85:X85" si="103">W83+W76+W71</f>
        <v>-3003</v>
      </c>
      <c r="X85" s="5">
        <f t="shared" si="103"/>
        <v>5155</v>
      </c>
    </row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display="Main" location="Main!A1" ref="A1"/>
  </hyperlink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5" width="18.13"/>
    <col customWidth="1" min="6" max="6" width="26.38"/>
    <col customWidth="1" min="7" max="7" width="18.5"/>
    <col customWidth="1" min="8" max="9" width="17.25"/>
    <col customWidth="1" min="12" max="12" width="17.25"/>
  </cols>
  <sheetData>
    <row r="1">
      <c r="A1" s="26" t="s">
        <v>148</v>
      </c>
      <c r="B1" s="26" t="s">
        <v>149</v>
      </c>
      <c r="C1" s="26" t="s">
        <v>90</v>
      </c>
      <c r="D1" s="27" t="s">
        <v>150</v>
      </c>
      <c r="E1" s="26" t="s">
        <v>151</v>
      </c>
      <c r="F1" s="26" t="s">
        <v>152</v>
      </c>
      <c r="G1" s="26" t="s">
        <v>153</v>
      </c>
      <c r="H1" s="27" t="s">
        <v>154</v>
      </c>
      <c r="I1" s="26" t="s">
        <v>155</v>
      </c>
      <c r="J1" s="26" t="s">
        <v>156</v>
      </c>
      <c r="K1" s="26" t="s">
        <v>157</v>
      </c>
      <c r="L1" s="26" t="s">
        <v>158</v>
      </c>
    </row>
    <row r="2">
      <c r="A2" s="1" t="str">
        <f t="array" ref="A2:A17">TRANSPOSE(Model!K3:Z3)</f>
        <v>FQ120</v>
      </c>
      <c r="B2" s="1">
        <f t="array" ref="B2:B17">GROWTH(C2:C17)</f>
        <v>74454.27835</v>
      </c>
      <c r="C2" s="28">
        <f t="array" ref="C2:C17">TRANSPOSE(Model!K20:Z20)</f>
        <v>91819</v>
      </c>
      <c r="D2" s="29"/>
      <c r="E2" s="28">
        <f t="array" ref="E2:E17">Transpose(Model!K18:Z18)</f>
        <v>79104</v>
      </c>
      <c r="G2" s="28">
        <f t="array" ref="G2:G17">TRanspose(Model!K19:Z19)</f>
        <v>12715</v>
      </c>
      <c r="H2" s="29"/>
      <c r="I2" s="28">
        <f t="array" ref="I2:I15">TRANSPOSE(Model!K10:X10)</f>
        <v>55957</v>
      </c>
      <c r="J2" s="28">
        <f t="array" ref="J2:L15">TRANSPOSE(Model!K14:X16)</f>
        <v>7160</v>
      </c>
      <c r="K2" s="28">
        <v>5977.0</v>
      </c>
      <c r="L2" s="28">
        <v>10010.0</v>
      </c>
    </row>
    <row r="3">
      <c r="A3" s="1" t="s">
        <v>19</v>
      </c>
      <c r="B3" s="1">
        <v>76009.73076738944</v>
      </c>
      <c r="C3" s="28">
        <v>58313.0</v>
      </c>
      <c r="D3" s="30">
        <f t="shared" ref="D3:D17" si="1">(C3/C2)-1</f>
        <v>-0.36491358</v>
      </c>
      <c r="E3" s="28">
        <v>44965.0</v>
      </c>
      <c r="F3" s="31">
        <f t="shared" ref="F3:F17" si="2">(E3/E2)-1</f>
        <v>-0.4315710963</v>
      </c>
      <c r="G3" s="28">
        <v>13348.0</v>
      </c>
      <c r="H3" s="30">
        <f t="shared" ref="H3:H17" si="3">(G3/G2)-1</f>
        <v>0.04978372002</v>
      </c>
      <c r="I3" s="28">
        <v>28962.0</v>
      </c>
      <c r="J3" s="28">
        <v>5351.0</v>
      </c>
      <c r="K3" s="28">
        <v>4368.0</v>
      </c>
      <c r="L3" s="28">
        <v>6284.0</v>
      </c>
    </row>
    <row r="4">
      <c r="A4" s="1" t="s">
        <v>20</v>
      </c>
      <c r="B4" s="1">
        <v>77597.67872997087</v>
      </c>
      <c r="C4" s="28">
        <v>59685.0</v>
      </c>
      <c r="D4" s="30">
        <f t="shared" si="1"/>
        <v>0.02352820126</v>
      </c>
      <c r="E4" s="28">
        <v>46529.0</v>
      </c>
      <c r="F4" s="31">
        <f t="shared" si="2"/>
        <v>0.0347826087</v>
      </c>
      <c r="G4" s="28">
        <v>13156.0</v>
      </c>
      <c r="H4" s="30">
        <f t="shared" si="3"/>
        <v>-0.0143841774</v>
      </c>
      <c r="I4" s="28">
        <v>26418.0</v>
      </c>
      <c r="J4" s="28">
        <v>7079.0</v>
      </c>
      <c r="K4" s="28">
        <v>6582.0</v>
      </c>
      <c r="L4" s="28">
        <v>6450.0</v>
      </c>
    </row>
    <row r="5">
      <c r="A5" s="1" t="s">
        <v>21</v>
      </c>
      <c r="B5" s="1">
        <v>79218.80111254311</v>
      </c>
      <c r="C5" s="28">
        <v>64698.0</v>
      </c>
      <c r="D5" s="30">
        <f t="shared" si="1"/>
        <v>0.0839909525</v>
      </c>
      <c r="E5" s="28">
        <v>50149.0</v>
      </c>
      <c r="F5" s="31">
        <f t="shared" si="2"/>
        <v>0.07780094135</v>
      </c>
      <c r="G5" s="28">
        <v>14549.0</v>
      </c>
      <c r="H5" s="30">
        <f t="shared" si="3"/>
        <v>0.1058832472</v>
      </c>
      <c r="I5" s="28">
        <v>26444.0</v>
      </c>
      <c r="J5" s="28">
        <v>9032.0</v>
      </c>
      <c r="K5" s="28">
        <v>6797.0</v>
      </c>
      <c r="L5" s="28">
        <v>7876.0</v>
      </c>
    </row>
    <row r="6">
      <c r="A6" s="1" t="s">
        <v>22</v>
      </c>
      <c r="B6" s="1">
        <v>80873.7909744303</v>
      </c>
      <c r="C6" s="28">
        <v>111439.0</v>
      </c>
      <c r="D6" s="30">
        <f t="shared" si="1"/>
        <v>0.7224489165</v>
      </c>
      <c r="E6" s="28">
        <v>95678.0</v>
      </c>
      <c r="F6" s="31">
        <f t="shared" si="2"/>
        <v>0.9078745339</v>
      </c>
      <c r="G6" s="28">
        <v>15761.0</v>
      </c>
      <c r="H6" s="30">
        <f t="shared" si="3"/>
        <v>0.08330469448</v>
      </c>
      <c r="I6" s="28">
        <v>65597.0</v>
      </c>
      <c r="J6" s="28">
        <v>8675.0</v>
      </c>
      <c r="K6" s="28">
        <v>8435.0</v>
      </c>
      <c r="L6" s="28">
        <v>12971.0</v>
      </c>
    </row>
    <row r="7">
      <c r="A7" s="1" t="s">
        <v>23</v>
      </c>
      <c r="B7" s="1">
        <v>82563.35585392045</v>
      </c>
      <c r="C7" s="28">
        <v>89584.0</v>
      </c>
      <c r="D7" s="30">
        <f t="shared" si="1"/>
        <v>-0.1961162609</v>
      </c>
      <c r="E7" s="28">
        <v>72683.0</v>
      </c>
      <c r="F7" s="31">
        <f t="shared" si="2"/>
        <v>-0.2403373816</v>
      </c>
      <c r="G7" s="28">
        <v>16901.0</v>
      </c>
      <c r="H7" s="30">
        <f t="shared" si="3"/>
        <v>0.07233043589</v>
      </c>
      <c r="I7" s="28">
        <v>47938.0</v>
      </c>
      <c r="J7" s="28">
        <v>9102.0</v>
      </c>
      <c r="K7" s="28">
        <v>7807.0</v>
      </c>
      <c r="L7" s="28">
        <v>7836.0</v>
      </c>
    </row>
    <row r="8">
      <c r="A8" s="1" t="s">
        <v>24</v>
      </c>
      <c r="B8" s="1">
        <v>84288.21807075081</v>
      </c>
      <c r="C8" s="28">
        <v>81434.0</v>
      </c>
      <c r="D8" s="30">
        <f t="shared" si="1"/>
        <v>-0.09097606715</v>
      </c>
      <c r="E8" s="28">
        <v>63948.0</v>
      </c>
      <c r="F8" s="31">
        <f t="shared" si="2"/>
        <v>-0.1201794092</v>
      </c>
      <c r="G8" s="28">
        <v>17486.0</v>
      </c>
      <c r="H8" s="30">
        <f t="shared" si="3"/>
        <v>0.03461333649</v>
      </c>
      <c r="I8" s="28">
        <v>39570.0</v>
      </c>
      <c r="J8" s="28">
        <v>8235.0</v>
      </c>
      <c r="K8" s="28">
        <v>7368.0</v>
      </c>
      <c r="L8" s="28">
        <v>8775.0</v>
      </c>
    </row>
    <row r="9">
      <c r="A9" s="1" t="s">
        <v>25</v>
      </c>
      <c r="B9" s="1">
        <v>86049.11503491281</v>
      </c>
      <c r="C9" s="28">
        <v>83360.0</v>
      </c>
      <c r="D9" s="30">
        <f t="shared" si="1"/>
        <v>0.02365105484</v>
      </c>
      <c r="E9" s="28">
        <v>65083.0</v>
      </c>
      <c r="F9" s="31">
        <f t="shared" si="2"/>
        <v>0.0177487959</v>
      </c>
      <c r="G9" s="28">
        <v>18277.0</v>
      </c>
      <c r="H9" s="30">
        <f t="shared" si="3"/>
        <v>0.04523618895</v>
      </c>
      <c r="I9" s="28">
        <v>38868.0</v>
      </c>
      <c r="J9" s="28">
        <v>9178.0</v>
      </c>
      <c r="K9" s="28">
        <v>8252.0</v>
      </c>
      <c r="L9" s="28">
        <v>8785.0</v>
      </c>
    </row>
    <row r="10">
      <c r="A10" s="1" t="s">
        <v>26</v>
      </c>
      <c r="B10" s="1">
        <v>87846.79956190824</v>
      </c>
      <c r="C10" s="28">
        <v>123945.0</v>
      </c>
      <c r="D10" s="30">
        <f t="shared" si="1"/>
        <v>0.4868642035</v>
      </c>
      <c r="E10" s="28">
        <v>104429.0</v>
      </c>
      <c r="F10" s="31">
        <f t="shared" si="2"/>
        <v>0.6045511117</v>
      </c>
      <c r="G10" s="28">
        <v>19516.0</v>
      </c>
      <c r="H10" s="30">
        <f t="shared" si="3"/>
        <v>0.06779011873</v>
      </c>
      <c r="I10" s="28">
        <v>71628.0</v>
      </c>
      <c r="J10" s="28">
        <v>10852.0</v>
      </c>
      <c r="K10" s="28">
        <v>7248.0</v>
      </c>
      <c r="L10" s="28">
        <v>14701.0</v>
      </c>
    </row>
    <row r="11">
      <c r="A11" s="1" t="s">
        <v>27</v>
      </c>
      <c r="B11" s="1">
        <v>89682.04019459154</v>
      </c>
      <c r="C11" s="28">
        <v>97278.0</v>
      </c>
      <c r="D11" s="30">
        <f t="shared" si="1"/>
        <v>-0.2151518819</v>
      </c>
      <c r="E11" s="28">
        <v>77457.0</v>
      </c>
      <c r="F11" s="31">
        <f t="shared" si="2"/>
        <v>-0.2582807458</v>
      </c>
      <c r="G11" s="28">
        <v>19821.0</v>
      </c>
      <c r="H11" s="30">
        <f t="shared" si="3"/>
        <v>0.0156282025</v>
      </c>
      <c r="I11" s="28">
        <v>50570.0</v>
      </c>
      <c r="J11" s="28">
        <v>10435.0</v>
      </c>
      <c r="K11" s="28">
        <v>7646.0</v>
      </c>
      <c r="L11" s="28">
        <v>8806.0</v>
      </c>
    </row>
    <row r="12">
      <c r="A12" s="1" t="s">
        <v>28</v>
      </c>
      <c r="B12" s="1">
        <v>91555.62153173589</v>
      </c>
      <c r="C12" s="28">
        <v>82959.0</v>
      </c>
      <c r="D12" s="30">
        <f t="shared" si="1"/>
        <v>-0.147196694</v>
      </c>
      <c r="E12" s="28">
        <v>63355.0</v>
      </c>
      <c r="F12" s="31">
        <f t="shared" si="2"/>
        <v>-0.1820623055</v>
      </c>
      <c r="G12" s="28">
        <v>19604.0</v>
      </c>
      <c r="H12" s="30">
        <f t="shared" si="3"/>
        <v>-0.01094798446</v>
      </c>
      <c r="I12" s="28">
        <v>40665.0</v>
      </c>
      <c r="J12" s="28">
        <v>7382.0</v>
      </c>
      <c r="K12" s="28">
        <v>7224.0</v>
      </c>
      <c r="L12" s="28">
        <v>8084.0</v>
      </c>
    </row>
    <row r="13">
      <c r="A13" s="1" t="s">
        <v>29</v>
      </c>
      <c r="B13" s="1">
        <v>93468.34456346343</v>
      </c>
      <c r="C13" s="28">
        <v>90146.0</v>
      </c>
      <c r="D13" s="30">
        <f t="shared" si="1"/>
        <v>0.08663315614</v>
      </c>
      <c r="E13" s="28">
        <v>70958.0</v>
      </c>
      <c r="F13" s="31">
        <f t="shared" si="2"/>
        <v>0.1200063136</v>
      </c>
      <c r="G13" s="28">
        <v>19188.0</v>
      </c>
      <c r="H13" s="30">
        <f t="shared" si="3"/>
        <v>-0.02122015915</v>
      </c>
      <c r="I13" s="28">
        <v>42626.0</v>
      </c>
      <c r="J13" s="28">
        <v>11508.0</v>
      </c>
      <c r="K13" s="28">
        <v>7174.0</v>
      </c>
      <c r="L13" s="28">
        <v>9650.0</v>
      </c>
    </row>
    <row r="14">
      <c r="A14" s="1" t="s">
        <v>30</v>
      </c>
      <c r="B14" s="1">
        <v>95421.0270136832</v>
      </c>
      <c r="C14" s="28">
        <v>117154.0</v>
      </c>
      <c r="D14" s="30">
        <f t="shared" si="1"/>
        <v>0.2996028665</v>
      </c>
      <c r="E14" s="28">
        <v>96388.0</v>
      </c>
      <c r="F14" s="31">
        <f t="shared" si="2"/>
        <v>0.3583810141</v>
      </c>
      <c r="G14" s="28">
        <v>20766.0</v>
      </c>
      <c r="H14" s="30">
        <f t="shared" si="3"/>
        <v>0.08223889931</v>
      </c>
      <c r="I14" s="28">
        <v>65775.0</v>
      </c>
      <c r="J14" s="28">
        <v>7735.0</v>
      </c>
      <c r="K14" s="28">
        <v>9396.0</v>
      </c>
      <c r="L14" s="28">
        <v>13482.0</v>
      </c>
    </row>
    <row r="15">
      <c r="A15" s="1" t="s">
        <v>31</v>
      </c>
      <c r="B15" s="1">
        <v>97414.50368968287</v>
      </c>
      <c r="C15" s="28">
        <v>94836.0</v>
      </c>
      <c r="D15" s="30">
        <f t="shared" si="1"/>
        <v>-0.1905013913</v>
      </c>
      <c r="E15" s="28">
        <v>73929.0</v>
      </c>
      <c r="F15" s="31">
        <f t="shared" si="2"/>
        <v>-0.2330061833</v>
      </c>
      <c r="G15" s="28">
        <v>20907.0</v>
      </c>
      <c r="H15" s="30">
        <f t="shared" si="3"/>
        <v>0.006789945103</v>
      </c>
      <c r="I15" s="28">
        <v>51334.0</v>
      </c>
      <c r="J15" s="28">
        <v>7168.0</v>
      </c>
      <c r="K15" s="28">
        <v>6670.0</v>
      </c>
      <c r="L15" s="28">
        <v>8757.0</v>
      </c>
    </row>
    <row r="16">
      <c r="A16" s="1" t="s">
        <v>32</v>
      </c>
      <c r="B16" s="1">
        <v>99449.62683902413</v>
      </c>
      <c r="C16" s="28">
        <v>82038.55</v>
      </c>
      <c r="D16" s="30">
        <f t="shared" si="1"/>
        <v>-0.1349429542</v>
      </c>
      <c r="E16" s="28">
        <v>61454.35</v>
      </c>
      <c r="F16" s="31">
        <f t="shared" si="2"/>
        <v>-0.1687382489</v>
      </c>
      <c r="G16" s="28">
        <v>20584.2</v>
      </c>
      <c r="H16" s="30">
        <f t="shared" si="3"/>
        <v>-0.01543980485</v>
      </c>
    </row>
    <row r="17">
      <c r="A17" s="1" t="s">
        <v>33</v>
      </c>
      <c r="B17" s="1">
        <v>101527.2665138941</v>
      </c>
      <c r="C17" s="28">
        <v>92574.58</v>
      </c>
      <c r="D17" s="30">
        <f t="shared" si="1"/>
        <v>0.128427794</v>
      </c>
      <c r="E17" s="28">
        <v>71667.58</v>
      </c>
      <c r="F17" s="31">
        <f t="shared" si="2"/>
        <v>0.166192141</v>
      </c>
      <c r="G17" s="28">
        <v>20907.0</v>
      </c>
      <c r="H17" s="30">
        <f t="shared" si="3"/>
        <v>0.0156819308</v>
      </c>
    </row>
    <row r="18">
      <c r="D18" s="29"/>
      <c r="H18" s="29"/>
    </row>
    <row r="19">
      <c r="A19" s="26" t="s">
        <v>159</v>
      </c>
      <c r="D19" s="30">
        <f>AVERAGE(D3:D17)</f>
        <v>0.03435655438</v>
      </c>
      <c r="F19" s="31">
        <f>AVERAGE(F3:F17)</f>
        <v>0.04354413931</v>
      </c>
      <c r="H19" s="30">
        <f>AVERAGE(H3:H17)</f>
        <v>0.03448590624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5" width="16.75"/>
    <col customWidth="1" min="6" max="6" width="15.88"/>
    <col customWidth="1" min="7" max="7" width="17.5"/>
    <col customWidth="1" min="10" max="10" width="18.0"/>
  </cols>
  <sheetData>
    <row r="1">
      <c r="A1" s="26" t="s">
        <v>160</v>
      </c>
      <c r="B1" s="26" t="s">
        <v>161</v>
      </c>
      <c r="C1" s="26" t="s">
        <v>90</v>
      </c>
      <c r="D1" s="26" t="s">
        <v>162</v>
      </c>
      <c r="E1" s="26" t="s">
        <v>151</v>
      </c>
      <c r="F1" s="26" t="s">
        <v>153</v>
      </c>
      <c r="G1" s="32" t="s">
        <v>163</v>
      </c>
      <c r="H1" s="26" t="s">
        <v>156</v>
      </c>
      <c r="I1" s="26" t="s">
        <v>164</v>
      </c>
      <c r="J1" s="26" t="s">
        <v>158</v>
      </c>
    </row>
    <row r="2">
      <c r="A2" s="26">
        <v>0.0</v>
      </c>
      <c r="B2" s="1" t="str">
        <f t="array" ref="B2:B42">TRANSPOSE(Model!AD3:BR3)</f>
        <v>F2000</v>
      </c>
      <c r="C2" s="28">
        <f t="array" ref="C2:C42">Transpose(Model!AD20:BR20)</f>
        <v>7983</v>
      </c>
      <c r="D2" s="26"/>
      <c r="E2" s="33">
        <f t="array" ref="E2:F42">Transpose(Model!AD18:BR19)</f>
        <v>6885</v>
      </c>
      <c r="F2" s="28">
        <v>1098.0</v>
      </c>
      <c r="G2" s="34">
        <f t="array" ref="G2:G42">TRANSPOSE(Model!AD10:BR10)</f>
        <v>0</v>
      </c>
      <c r="H2" s="28">
        <f t="array" ref="H2:J42">TRANSPOSE(Model!AD14:BR16)</f>
        <v>6076</v>
      </c>
      <c r="I2" s="28">
        <v>0.0</v>
      </c>
      <c r="J2" s="28">
        <v>809.0</v>
      </c>
    </row>
    <row r="3">
      <c r="A3" s="1">
        <f t="shared" ref="A3:A42" si="1">A2+1</f>
        <v>1</v>
      </c>
      <c r="B3" s="1" t="s">
        <v>37</v>
      </c>
      <c r="C3" s="28">
        <v>5363.0</v>
      </c>
      <c r="E3" s="28">
        <v>4790.0</v>
      </c>
      <c r="F3" s="28">
        <v>573.0</v>
      </c>
      <c r="G3" s="34">
        <v>0.0</v>
      </c>
      <c r="H3" s="28">
        <v>4403.0</v>
      </c>
      <c r="I3" s="28">
        <v>0.0</v>
      </c>
      <c r="J3" s="28">
        <v>387.0</v>
      </c>
    </row>
    <row r="4">
      <c r="A4" s="1">
        <f t="shared" si="1"/>
        <v>2</v>
      </c>
      <c r="B4" s="1" t="s">
        <v>38</v>
      </c>
      <c r="C4" s="28">
        <v>5742.0</v>
      </c>
      <c r="E4" s="28">
        <v>5208.0</v>
      </c>
      <c r="F4" s="28">
        <v>534.0</v>
      </c>
      <c r="G4" s="34">
        <v>0.0</v>
      </c>
      <c r="H4" s="28">
        <v>4534.0</v>
      </c>
      <c r="I4" s="28">
        <v>0.0</v>
      </c>
      <c r="J4" s="28">
        <v>674.0</v>
      </c>
    </row>
    <row r="5">
      <c r="A5" s="1">
        <f t="shared" si="1"/>
        <v>3</v>
      </c>
      <c r="B5" s="1" t="s">
        <v>39</v>
      </c>
      <c r="C5" s="28">
        <v>6207.0</v>
      </c>
      <c r="E5" s="28">
        <v>5527.0</v>
      </c>
      <c r="F5" s="28">
        <v>680.0</v>
      </c>
      <c r="G5" s="34">
        <v>0.0</v>
      </c>
      <c r="H5" s="28">
        <v>4491.0</v>
      </c>
      <c r="I5" s="28">
        <v>0.0</v>
      </c>
      <c r="J5" s="28">
        <v>1036.0</v>
      </c>
    </row>
    <row r="6">
      <c r="A6" s="1">
        <f t="shared" si="1"/>
        <v>4</v>
      </c>
      <c r="B6" s="1" t="s">
        <v>40</v>
      </c>
      <c r="C6" s="28">
        <v>8279.0</v>
      </c>
      <c r="E6" s="28">
        <v>7180.0</v>
      </c>
      <c r="F6" s="28">
        <v>1099.0</v>
      </c>
      <c r="G6" s="34">
        <v>0.0</v>
      </c>
      <c r="H6" s="28">
        <v>4923.0</v>
      </c>
      <c r="I6" s="28">
        <v>0.0</v>
      </c>
      <c r="J6" s="28">
        <v>2257.0</v>
      </c>
    </row>
    <row r="7">
      <c r="A7" s="1">
        <f t="shared" si="1"/>
        <v>5</v>
      </c>
      <c r="B7" s="1" t="s">
        <v>41</v>
      </c>
      <c r="C7" s="28">
        <v>13931.0</v>
      </c>
      <c r="E7" s="28">
        <v>11941.0</v>
      </c>
      <c r="F7" s="28">
        <v>1990.0</v>
      </c>
      <c r="G7" s="34">
        <v>0.0</v>
      </c>
      <c r="H7" s="28">
        <v>6275.0</v>
      </c>
      <c r="I7" s="28">
        <v>0.0</v>
      </c>
      <c r="J7" s="28">
        <v>5666.0</v>
      </c>
    </row>
    <row r="8">
      <c r="A8" s="1">
        <f t="shared" si="1"/>
        <v>6</v>
      </c>
      <c r="B8" s="1" t="s">
        <v>42</v>
      </c>
      <c r="C8" s="28">
        <v>19315.0</v>
      </c>
      <c r="E8" s="28">
        <v>16151.0</v>
      </c>
      <c r="F8" s="28">
        <v>3164.0</v>
      </c>
      <c r="G8" s="34">
        <v>0.0</v>
      </c>
      <c r="H8" s="28">
        <v>7375.0</v>
      </c>
      <c r="I8" s="28">
        <v>0.0</v>
      </c>
      <c r="J8" s="28">
        <v>8776.0</v>
      </c>
      <c r="L8" s="1">
        <f t="array" ref="L8:M8">LOGEST(C19:C25)</f>
        <v>1.101198257</v>
      </c>
      <c r="M8" s="1">
        <v>207046.9142082589</v>
      </c>
    </row>
    <row r="9">
      <c r="A9" s="1">
        <f t="shared" si="1"/>
        <v>7</v>
      </c>
      <c r="B9" s="1" t="s">
        <v>43</v>
      </c>
      <c r="C9" s="28">
        <v>24006.0</v>
      </c>
      <c r="E9" s="28">
        <v>20002.0</v>
      </c>
      <c r="F9" s="28">
        <v>4004.0</v>
      </c>
      <c r="G9" s="34">
        <v>123.0</v>
      </c>
      <c r="H9" s="28">
        <v>10314.0</v>
      </c>
      <c r="I9" s="28">
        <v>0.0</v>
      </c>
      <c r="J9" s="28">
        <v>9565.0</v>
      </c>
    </row>
    <row r="10">
      <c r="A10" s="1">
        <f t="shared" si="1"/>
        <v>8</v>
      </c>
      <c r="B10" s="1" t="s">
        <v>44</v>
      </c>
      <c r="C10" s="28">
        <v>37491.0</v>
      </c>
      <c r="E10" s="28">
        <v>31943.0</v>
      </c>
      <c r="F10" s="28">
        <v>5548.0</v>
      </c>
      <c r="G10" s="34">
        <v>6742.0</v>
      </c>
      <c r="H10" s="28">
        <v>14354.0</v>
      </c>
      <c r="I10" s="28">
        <v>0.0</v>
      </c>
      <c r="J10" s="28">
        <v>10847.0</v>
      </c>
    </row>
    <row r="11">
      <c r="A11" s="1">
        <f t="shared" si="1"/>
        <v>9</v>
      </c>
      <c r="B11" s="1" t="s">
        <v>45</v>
      </c>
      <c r="C11" s="28">
        <v>42905.0</v>
      </c>
      <c r="E11" s="28">
        <v>36458.0</v>
      </c>
      <c r="F11" s="28">
        <v>6447.0</v>
      </c>
      <c r="G11" s="34">
        <v>13033.0</v>
      </c>
      <c r="H11" s="28">
        <v>13859.0</v>
      </c>
      <c r="I11" s="28">
        <v>0.0</v>
      </c>
      <c r="J11" s="28">
        <v>9566.0</v>
      </c>
    </row>
    <row r="12">
      <c r="A12" s="1">
        <f t="shared" si="1"/>
        <v>10</v>
      </c>
      <c r="B12" s="1" t="s">
        <v>46</v>
      </c>
      <c r="C12" s="28">
        <v>65225.0</v>
      </c>
      <c r="E12" s="28">
        <v>57704.0</v>
      </c>
      <c r="F12" s="28">
        <v>7521.0</v>
      </c>
      <c r="G12" s="34">
        <v>25179.0</v>
      </c>
      <c r="H12" s="28">
        <v>17479.0</v>
      </c>
      <c r="I12" s="28">
        <v>4958.0</v>
      </c>
      <c r="J12" s="28">
        <v>10088.0</v>
      </c>
    </row>
    <row r="13">
      <c r="A13" s="1">
        <f t="shared" si="1"/>
        <v>11</v>
      </c>
      <c r="B13" s="1" t="s">
        <v>47</v>
      </c>
      <c r="C13" s="28">
        <v>108249.0</v>
      </c>
      <c r="E13" s="28">
        <v>98876.0</v>
      </c>
      <c r="F13" s="28">
        <v>9373.0</v>
      </c>
      <c r="G13" s="34">
        <v>45998.0</v>
      </c>
      <c r="H13" s="28">
        <v>21783.0</v>
      </c>
      <c r="I13" s="28">
        <v>19168.0</v>
      </c>
      <c r="J13" s="28">
        <v>11927.0</v>
      </c>
    </row>
    <row r="14">
      <c r="A14" s="1">
        <f t="shared" si="1"/>
        <v>12</v>
      </c>
      <c r="B14" s="1" t="s">
        <v>48</v>
      </c>
      <c r="C14" s="28">
        <v>156508.0</v>
      </c>
      <c r="E14" s="28">
        <v>143618.0</v>
      </c>
      <c r="F14" s="28">
        <v>12890.0</v>
      </c>
      <c r="G14" s="34">
        <v>78692.0</v>
      </c>
      <c r="H14" s="28">
        <v>23221.0</v>
      </c>
      <c r="I14" s="28">
        <v>30945.0</v>
      </c>
      <c r="J14" s="28">
        <v>10760.0</v>
      </c>
    </row>
    <row r="15">
      <c r="A15" s="1">
        <f t="shared" si="1"/>
        <v>13</v>
      </c>
      <c r="B15" s="1" t="s">
        <v>49</v>
      </c>
      <c r="C15" s="28">
        <v>170910.0</v>
      </c>
      <c r="E15" s="28">
        <v>154859.0</v>
      </c>
      <c r="F15" s="28">
        <v>16051.0</v>
      </c>
      <c r="G15" s="34">
        <v>91279.0</v>
      </c>
      <c r="H15" s="28">
        <v>21483.0</v>
      </c>
      <c r="I15" s="28">
        <v>31980.0</v>
      </c>
      <c r="J15" s="28">
        <v>10117.0</v>
      </c>
    </row>
    <row r="16">
      <c r="A16" s="1">
        <f t="shared" si="1"/>
        <v>14</v>
      </c>
      <c r="B16" s="1" t="s">
        <v>50</v>
      </c>
      <c r="C16" s="28">
        <v>182795.0</v>
      </c>
      <c r="E16" s="28">
        <v>164732.0</v>
      </c>
      <c r="F16" s="28">
        <v>18063.0</v>
      </c>
      <c r="G16" s="34">
        <v>101991.0</v>
      </c>
      <c r="H16" s="28">
        <v>24079.0</v>
      </c>
      <c r="I16" s="28">
        <v>30283.0</v>
      </c>
      <c r="J16" s="28">
        <v>8379.0</v>
      </c>
    </row>
    <row r="17">
      <c r="A17" s="1">
        <f t="shared" si="1"/>
        <v>15</v>
      </c>
      <c r="B17" s="1" t="s">
        <v>51</v>
      </c>
      <c r="C17" s="28">
        <v>233715.0</v>
      </c>
      <c r="E17" s="28">
        <v>213806.0</v>
      </c>
      <c r="F17" s="28">
        <v>19909.0</v>
      </c>
      <c r="G17" s="34">
        <v>155041.0</v>
      </c>
      <c r="H17" s="28">
        <v>25471.0</v>
      </c>
      <c r="I17" s="28">
        <v>23227.0</v>
      </c>
      <c r="J17" s="28">
        <v>10067.0</v>
      </c>
    </row>
    <row r="18">
      <c r="A18" s="1">
        <f t="shared" si="1"/>
        <v>16</v>
      </c>
      <c r="B18" s="1" t="s">
        <v>52</v>
      </c>
      <c r="C18" s="28">
        <v>215639.0</v>
      </c>
      <c r="E18" s="28">
        <v>191291.0</v>
      </c>
      <c r="F18" s="28">
        <v>24348.0</v>
      </c>
      <c r="G18" s="34">
        <v>136700.0</v>
      </c>
      <c r="H18" s="28">
        <v>22831.0</v>
      </c>
      <c r="I18" s="28">
        <v>20628.0</v>
      </c>
      <c r="J18" s="28">
        <v>11132.0</v>
      </c>
    </row>
    <row r="19">
      <c r="A19" s="1">
        <f t="shared" si="1"/>
        <v>17</v>
      </c>
      <c r="B19" s="1" t="s">
        <v>53</v>
      </c>
      <c r="C19" s="28">
        <v>229234.0</v>
      </c>
      <c r="E19" s="28">
        <v>199254.0</v>
      </c>
      <c r="F19" s="28">
        <v>29980.0</v>
      </c>
      <c r="G19" s="34">
        <v>141319.0</v>
      </c>
      <c r="H19" s="28">
        <v>25850.0</v>
      </c>
      <c r="I19" s="28">
        <v>19222.0</v>
      </c>
      <c r="J19" s="28">
        <v>12863.0</v>
      </c>
    </row>
    <row r="20">
      <c r="A20" s="1">
        <f t="shared" si="1"/>
        <v>18</v>
      </c>
      <c r="B20" s="1" t="s">
        <v>54</v>
      </c>
      <c r="C20" s="28">
        <v>265595.0</v>
      </c>
      <c r="E20" s="28">
        <v>225847.0</v>
      </c>
      <c r="F20" s="28">
        <v>39748.0</v>
      </c>
      <c r="G20" s="34">
        <v>164888.0</v>
      </c>
      <c r="H20" s="28">
        <v>25198.0</v>
      </c>
      <c r="I20" s="28">
        <v>18380.0</v>
      </c>
      <c r="J20" s="28">
        <v>17381.0</v>
      </c>
    </row>
    <row r="21">
      <c r="A21" s="1">
        <f t="shared" si="1"/>
        <v>19</v>
      </c>
      <c r="B21" s="1" t="s">
        <v>55</v>
      </c>
      <c r="C21" s="28">
        <v>260174.0</v>
      </c>
      <c r="E21" s="28">
        <v>213883.0</v>
      </c>
      <c r="F21" s="28">
        <v>46291.0</v>
      </c>
      <c r="G21" s="34">
        <v>142381.0</v>
      </c>
      <c r="H21" s="28">
        <v>25740.0</v>
      </c>
      <c r="I21" s="28">
        <v>21280.0</v>
      </c>
      <c r="J21" s="28">
        <v>24482.0</v>
      </c>
    </row>
    <row r="22">
      <c r="A22" s="1">
        <f t="shared" si="1"/>
        <v>20</v>
      </c>
      <c r="B22" s="1" t="s">
        <v>56</v>
      </c>
      <c r="C22" s="28">
        <v>274515.0</v>
      </c>
      <c r="E22" s="28">
        <v>220747.0</v>
      </c>
      <c r="F22" s="28">
        <v>53768.0</v>
      </c>
      <c r="G22" s="34">
        <v>137781.0</v>
      </c>
      <c r="H22" s="28">
        <v>28622.0</v>
      </c>
      <c r="I22" s="28">
        <v>23724.0</v>
      </c>
      <c r="J22" s="28">
        <v>30620.0</v>
      </c>
    </row>
    <row r="23">
      <c r="A23" s="1">
        <f t="shared" si="1"/>
        <v>21</v>
      </c>
      <c r="B23" s="1" t="s">
        <v>57</v>
      </c>
      <c r="C23" s="28">
        <v>365817.0</v>
      </c>
      <c r="E23" s="28">
        <v>297392.0</v>
      </c>
      <c r="F23" s="28">
        <v>68425.0</v>
      </c>
      <c r="G23" s="34">
        <v>191973.0</v>
      </c>
      <c r="H23" s="28">
        <v>35190.0</v>
      </c>
      <c r="I23" s="28">
        <v>31862.0</v>
      </c>
      <c r="J23" s="28">
        <v>38367.0</v>
      </c>
    </row>
    <row r="24">
      <c r="A24" s="1">
        <f t="shared" si="1"/>
        <v>22</v>
      </c>
      <c r="B24" s="1" t="s">
        <v>58</v>
      </c>
      <c r="C24" s="28">
        <v>394328.0</v>
      </c>
      <c r="E24" s="28">
        <v>316199.0</v>
      </c>
      <c r="F24" s="28">
        <v>78129.0</v>
      </c>
      <c r="G24" s="34">
        <v>205489.0</v>
      </c>
      <c r="H24" s="28">
        <v>40177.0</v>
      </c>
      <c r="I24" s="28">
        <v>29292.0</v>
      </c>
      <c r="J24" s="28">
        <v>41241.0</v>
      </c>
    </row>
    <row r="25">
      <c r="A25" s="1">
        <f t="shared" si="1"/>
        <v>23</v>
      </c>
      <c r="B25" s="1" t="s">
        <v>59</v>
      </c>
      <c r="C25" s="28">
        <v>386603.13</v>
      </c>
      <c r="E25" s="28">
        <v>303438.93</v>
      </c>
      <c r="F25" s="28">
        <v>83164.2</v>
      </c>
      <c r="G25" s="34">
        <v>209619.3289</v>
      </c>
      <c r="H25" s="28">
        <v>41382.31</v>
      </c>
      <c r="I25" s="28">
        <v>30170.760000000002</v>
      </c>
      <c r="J25" s="28">
        <v>42478.23</v>
      </c>
    </row>
    <row r="26">
      <c r="A26" s="1">
        <f t="shared" si="1"/>
        <v>24</v>
      </c>
      <c r="B26" s="1" t="s">
        <v>60</v>
      </c>
      <c r="C26" s="28">
        <v>426923.74641089</v>
      </c>
      <c r="F26" s="28">
        <v>95638.82999999999</v>
      </c>
      <c r="G26" s="34">
        <v>213832.67741089</v>
      </c>
      <c r="H26" s="28">
        <v>42623.7793</v>
      </c>
      <c r="I26" s="28">
        <v>31075.882800000003</v>
      </c>
      <c r="J26" s="28">
        <v>43752.57690000001</v>
      </c>
    </row>
    <row r="27">
      <c r="A27" s="1">
        <f t="shared" si="1"/>
        <v>25</v>
      </c>
      <c r="B27" s="1" t="s">
        <v>61</v>
      </c>
      <c r="C27" s="28">
        <v>461530.39670093753</v>
      </c>
      <c r="E27" s="28">
        <v>351545.74220093753</v>
      </c>
      <c r="F27" s="28">
        <v>109984.65449999998</v>
      </c>
      <c r="G27" s="34">
        <v>228116.7002619375</v>
      </c>
      <c r="H27" s="28">
        <v>45607.443851</v>
      </c>
      <c r="I27" s="28">
        <v>32318.918112000003</v>
      </c>
      <c r="J27" s="28">
        <v>45502.67997600001</v>
      </c>
    </row>
    <row r="28">
      <c r="A28" s="1">
        <f t="shared" si="1"/>
        <v>26</v>
      </c>
      <c r="B28" s="1" t="s">
        <v>62</v>
      </c>
      <c r="C28" s="28">
        <v>491754.77704686363</v>
      </c>
      <c r="E28" s="28">
        <v>370771.65709686367</v>
      </c>
      <c r="F28" s="28">
        <v>120983.11994999998</v>
      </c>
      <c r="G28" s="34">
        <v>241037.23016477365</v>
      </c>
      <c r="H28" s="28">
        <v>48799.964920570004</v>
      </c>
      <c r="I28" s="28">
        <v>33611.67483648001</v>
      </c>
      <c r="J28" s="28">
        <v>47322.78717504001</v>
      </c>
    </row>
    <row r="29">
      <c r="A29" s="1">
        <f t="shared" si="1"/>
        <v>27</v>
      </c>
      <c r="B29" s="1" t="s">
        <v>63</v>
      </c>
      <c r="C29" s="28">
        <v>524158.8137832971</v>
      </c>
      <c r="E29" s="28">
        <v>391077.3818382971</v>
      </c>
      <c r="F29" s="28">
        <v>133081.431945</v>
      </c>
      <c r="G29" s="34">
        <v>254689.57888130643</v>
      </c>
      <c r="H29" s="28">
        <v>52215.96246500991</v>
      </c>
      <c r="I29" s="28">
        <v>34956.14182993921</v>
      </c>
      <c r="J29" s="28">
        <v>49215.698662041614</v>
      </c>
    </row>
    <row r="30">
      <c r="A30" s="1">
        <f t="shared" si="1"/>
        <v>28</v>
      </c>
      <c r="B30" s="1" t="s">
        <v>64</v>
      </c>
      <c r="C30" s="28">
        <v>558914.5657178643</v>
      </c>
      <c r="E30" s="28">
        <v>412524.99057836435</v>
      </c>
      <c r="F30" s="28">
        <v>146389.5751395</v>
      </c>
      <c r="G30" s="34">
        <v>269115.19662914367</v>
      </c>
      <c r="H30" s="28">
        <v>55871.0798375606</v>
      </c>
      <c r="I30" s="28">
        <v>36354.38750313678</v>
      </c>
      <c r="J30" s="28">
        <v>51184.32660852328</v>
      </c>
    </row>
    <row r="31">
      <c r="A31" s="1">
        <f t="shared" si="1"/>
        <v>29</v>
      </c>
      <c r="B31" s="1" t="s">
        <v>65</v>
      </c>
      <c r="C31" s="28">
        <v>588889.2533650097</v>
      </c>
      <c r="E31" s="28">
        <v>435180.1994685347</v>
      </c>
      <c r="F31" s="28">
        <v>153709.053896475</v>
      </c>
      <c r="G31" s="34">
        <v>284357.8813662183</v>
      </c>
      <c r="H31" s="28">
        <v>59782.05542618985</v>
      </c>
      <c r="I31" s="28">
        <v>37808.56300326225</v>
      </c>
      <c r="J31" s="28">
        <v>53231.69967286422</v>
      </c>
    </row>
    <row r="32">
      <c r="A32" s="1">
        <f t="shared" si="1"/>
        <v>30</v>
      </c>
      <c r="B32" s="1" t="s">
        <v>66</v>
      </c>
      <c r="C32" s="28">
        <v>617020.1942183516</v>
      </c>
      <c r="E32" s="28">
        <v>455625.6876270529</v>
      </c>
      <c r="F32" s="28">
        <v>161394.50659129876</v>
      </c>
      <c r="G32" s="34">
        <v>297574.83569212013</v>
      </c>
      <c r="H32" s="28">
        <v>63368.97875176124</v>
      </c>
      <c r="I32" s="28">
        <v>39320.90552339274</v>
      </c>
      <c r="J32" s="28">
        <v>55360.96765977879</v>
      </c>
    </row>
    <row r="33">
      <c r="A33" s="1">
        <f t="shared" si="1"/>
        <v>31</v>
      </c>
      <c r="B33" s="1" t="s">
        <v>67</v>
      </c>
      <c r="C33" s="28">
        <v>646510.611563319</v>
      </c>
      <c r="E33" s="28">
        <v>477046.37964245526</v>
      </c>
      <c r="F33" s="28">
        <v>169464.2319208637</v>
      </c>
      <c r="G33" s="34">
        <v>311406.11405508994</v>
      </c>
      <c r="H33" s="28">
        <v>67171.11747686692</v>
      </c>
      <c r="I33" s="28">
        <v>40893.74174432846</v>
      </c>
      <c r="J33" s="28">
        <v>57575.40636616995</v>
      </c>
    </row>
    <row r="34">
      <c r="A34" s="1">
        <f t="shared" si="1"/>
        <v>32</v>
      </c>
      <c r="B34" s="1" t="s">
        <v>68</v>
      </c>
      <c r="C34" s="28">
        <v>677427.0123136747</v>
      </c>
      <c r="E34" s="28">
        <v>499489.56879676774</v>
      </c>
      <c r="F34" s="28">
        <v>177937.4435169069</v>
      </c>
      <c r="G34" s="34">
        <v>325880.2702363705</v>
      </c>
      <c r="H34" s="28">
        <v>71201.38452547893</v>
      </c>
      <c r="I34" s="28">
        <v>42529.4914141016</v>
      </c>
      <c r="J34" s="28">
        <v>59878.422620816746</v>
      </c>
    </row>
    <row r="35">
      <c r="A35" s="1">
        <f t="shared" si="1"/>
        <v>33</v>
      </c>
      <c r="B35" s="1" t="s">
        <v>69</v>
      </c>
      <c r="C35" s="28">
        <v>709839.1990830321</v>
      </c>
      <c r="E35" s="28">
        <v>523004.8833902798</v>
      </c>
      <c r="F35" s="28">
        <v>186834.31569275225</v>
      </c>
      <c r="G35" s="34">
        <v>341027.185196957</v>
      </c>
      <c r="H35" s="28">
        <v>75473.46759700768</v>
      </c>
      <c r="I35" s="28">
        <v>44230.67107066567</v>
      </c>
      <c r="J35" s="28">
        <v>62273.55952564942</v>
      </c>
    </row>
    <row r="36">
      <c r="A36" s="1">
        <f t="shared" si="1"/>
        <v>34</v>
      </c>
      <c r="B36" s="1" t="s">
        <v>70</v>
      </c>
      <c r="C36" s="28">
        <v>740355.5995136963</v>
      </c>
      <c r="E36" s="28">
        <v>544179.5680363064</v>
      </c>
      <c r="F36" s="28">
        <v>196176.03147738986</v>
      </c>
      <c r="G36" s="34">
        <v>353413.2925633106</v>
      </c>
      <c r="H36" s="28">
        <v>80001.87565282814</v>
      </c>
      <c r="I36" s="28">
        <v>45999.89791349229</v>
      </c>
      <c r="J36" s="28">
        <v>64764.501906675396</v>
      </c>
    </row>
    <row r="37">
      <c r="A37" s="1">
        <f t="shared" si="1"/>
        <v>35</v>
      </c>
      <c r="B37" s="1" t="s">
        <v>71</v>
      </c>
      <c r="C37" s="28">
        <v>771431.0416489134</v>
      </c>
      <c r="E37" s="28">
        <v>565446.208597654</v>
      </c>
      <c r="F37" s="28">
        <v>205984.83305125937</v>
      </c>
      <c r="G37" s="34">
        <v>366249.26334921</v>
      </c>
      <c r="H37" s="28">
        <v>84001.96943546955</v>
      </c>
      <c r="I37" s="28">
        <v>47839.893830031986</v>
      </c>
      <c r="J37" s="28">
        <v>67355.08198294241</v>
      </c>
    </row>
    <row r="38">
      <c r="A38" s="1">
        <f t="shared" si="1"/>
        <v>36</v>
      </c>
      <c r="B38" s="1" t="s">
        <v>72</v>
      </c>
      <c r="C38" s="28">
        <v>803840.3540506121</v>
      </c>
      <c r="E38" s="28">
        <v>587556.2793467897</v>
      </c>
      <c r="F38" s="28">
        <v>216284.07470382235</v>
      </c>
      <c r="G38" s="34">
        <v>379551.43659405335</v>
      </c>
      <c r="H38" s="28">
        <v>88202.06790724304</v>
      </c>
      <c r="I38" s="28">
        <v>49753.48958323327</v>
      </c>
      <c r="J38" s="28">
        <v>70049.28526226012</v>
      </c>
    </row>
    <row r="39">
      <c r="A39" s="1">
        <f t="shared" si="1"/>
        <v>37</v>
      </c>
      <c r="B39" s="1" t="s">
        <v>73</v>
      </c>
      <c r="C39" s="28">
        <v>837642.0803520812</v>
      </c>
      <c r="E39" s="28">
        <v>610543.8019130677</v>
      </c>
      <c r="F39" s="28">
        <v>227098.27843901346</v>
      </c>
      <c r="G39" s="34">
        <v>393336.74477114936</v>
      </c>
      <c r="H39" s="28">
        <v>92612.17130260519</v>
      </c>
      <c r="I39" s="28">
        <v>51743.629166562605</v>
      </c>
      <c r="J39" s="28">
        <v>72851.25667275053</v>
      </c>
    </row>
    <row r="40">
      <c r="A40" s="1">
        <f t="shared" si="1"/>
        <v>38</v>
      </c>
      <c r="B40" s="1" t="s">
        <v>74</v>
      </c>
      <c r="C40" s="28">
        <v>872897.3888428228</v>
      </c>
      <c r="E40" s="28">
        <v>634444.1964818586</v>
      </c>
      <c r="F40" s="28">
        <v>238453.19236096414</v>
      </c>
      <c r="G40" s="34">
        <v>407622.73534123757</v>
      </c>
      <c r="H40" s="28">
        <v>97242.77986773544</v>
      </c>
      <c r="I40" s="28">
        <v>53813.37433322511</v>
      </c>
      <c r="J40" s="28">
        <v>75765.30693966056</v>
      </c>
    </row>
    <row r="41">
      <c r="A41" s="1">
        <f t="shared" si="1"/>
        <v>39</v>
      </c>
      <c r="B41" s="1" t="s">
        <v>75</v>
      </c>
      <c r="C41" s="28">
        <v>909670.1924527669</v>
      </c>
      <c r="E41" s="28">
        <v>659294.3404737546</v>
      </c>
      <c r="F41" s="28">
        <v>250375.85197901237</v>
      </c>
      <c r="G41" s="34">
        <v>422427.5930888313</v>
      </c>
      <c r="H41" s="28">
        <v>102104.91886112222</v>
      </c>
      <c r="I41" s="28">
        <v>55965.90930655412</v>
      </c>
      <c r="J41" s="28">
        <v>78795.91921724698</v>
      </c>
    </row>
    <row r="42">
      <c r="A42" s="1">
        <f t="shared" si="1"/>
        <v>40</v>
      </c>
      <c r="B42" s="1" t="s">
        <v>76</v>
      </c>
      <c r="C42" s="28">
        <v>948027.274316712</v>
      </c>
      <c r="E42" s="28">
        <v>685132.6297387491</v>
      </c>
      <c r="F42" s="28">
        <v>262894.644577963</v>
      </c>
      <c r="G42" s="34">
        <v>437770.16326981765</v>
      </c>
      <c r="H42" s="28">
        <v>107210.16480417833</v>
      </c>
      <c r="I42" s="28">
        <v>58204.545678816285</v>
      </c>
      <c r="J42" s="28">
        <v>81947.75598593686</v>
      </c>
    </row>
    <row r="43">
      <c r="G43" s="35"/>
    </row>
    <row r="44">
      <c r="G44" s="35"/>
    </row>
    <row r="45">
      <c r="G45" s="35"/>
    </row>
    <row r="46">
      <c r="G46" s="35"/>
    </row>
    <row r="47">
      <c r="G47" s="35"/>
    </row>
    <row r="48">
      <c r="G48" s="35"/>
    </row>
    <row r="49">
      <c r="G49" s="35"/>
    </row>
    <row r="50">
      <c r="G50" s="35"/>
    </row>
    <row r="51">
      <c r="G51" s="35"/>
    </row>
    <row r="52">
      <c r="G52" s="35"/>
    </row>
    <row r="53">
      <c r="G53" s="35"/>
    </row>
    <row r="54">
      <c r="G54" s="35"/>
    </row>
    <row r="55">
      <c r="G55" s="35"/>
    </row>
    <row r="56">
      <c r="G56" s="35"/>
    </row>
    <row r="57">
      <c r="G57" s="35"/>
    </row>
    <row r="58">
      <c r="G58" s="35"/>
    </row>
    <row r="59">
      <c r="G59" s="35"/>
    </row>
    <row r="60">
      <c r="G60" s="35"/>
    </row>
    <row r="61">
      <c r="G61" s="35"/>
    </row>
    <row r="62">
      <c r="G62" s="35"/>
    </row>
    <row r="63">
      <c r="G63" s="35"/>
    </row>
    <row r="64">
      <c r="G64" s="35"/>
    </row>
    <row r="65">
      <c r="G65" s="35"/>
    </row>
    <row r="66">
      <c r="G66" s="35"/>
    </row>
    <row r="67">
      <c r="G67" s="35"/>
    </row>
    <row r="68">
      <c r="G68" s="35"/>
    </row>
    <row r="69">
      <c r="G69" s="35"/>
    </row>
    <row r="70">
      <c r="G70" s="35"/>
    </row>
    <row r="71">
      <c r="G71" s="35"/>
    </row>
    <row r="72">
      <c r="G72" s="35"/>
    </row>
    <row r="73">
      <c r="G73" s="35"/>
    </row>
    <row r="74">
      <c r="G74" s="35"/>
    </row>
    <row r="75">
      <c r="G75" s="35"/>
    </row>
    <row r="76">
      <c r="G76" s="35"/>
    </row>
    <row r="77">
      <c r="G77" s="35"/>
    </row>
    <row r="78">
      <c r="G78" s="35"/>
    </row>
    <row r="79">
      <c r="G79" s="35"/>
    </row>
    <row r="80">
      <c r="G80" s="35"/>
    </row>
    <row r="81">
      <c r="G81" s="35"/>
    </row>
    <row r="82">
      <c r="G82" s="35"/>
    </row>
    <row r="83">
      <c r="G83" s="35"/>
    </row>
    <row r="84">
      <c r="G84" s="35"/>
    </row>
    <row r="85">
      <c r="G85" s="35"/>
    </row>
    <row r="86">
      <c r="G86" s="35"/>
    </row>
    <row r="87">
      <c r="G87" s="35"/>
    </row>
    <row r="88">
      <c r="G88" s="35"/>
    </row>
    <row r="89">
      <c r="G89" s="35"/>
    </row>
    <row r="90">
      <c r="G90" s="35"/>
    </row>
    <row r="91">
      <c r="G91" s="35"/>
    </row>
    <row r="92">
      <c r="G92" s="35"/>
    </row>
    <row r="93">
      <c r="G93" s="35"/>
    </row>
    <row r="94">
      <c r="G94" s="35"/>
    </row>
    <row r="95">
      <c r="G95" s="35"/>
    </row>
    <row r="96">
      <c r="G96" s="35"/>
    </row>
    <row r="97">
      <c r="G97" s="35"/>
    </row>
    <row r="98">
      <c r="G98" s="35"/>
    </row>
    <row r="99">
      <c r="G99" s="35"/>
    </row>
    <row r="100">
      <c r="G100" s="35"/>
    </row>
    <row r="101">
      <c r="G101" s="35"/>
    </row>
    <row r="102">
      <c r="G102" s="35"/>
    </row>
    <row r="103">
      <c r="G103" s="35"/>
    </row>
    <row r="104">
      <c r="G104" s="35"/>
    </row>
    <row r="105">
      <c r="G105" s="35"/>
    </row>
    <row r="106">
      <c r="G106" s="35"/>
    </row>
    <row r="107">
      <c r="G107" s="35"/>
    </row>
    <row r="108">
      <c r="G108" s="35"/>
    </row>
    <row r="109">
      <c r="G109" s="35"/>
    </row>
    <row r="110">
      <c r="G110" s="35"/>
    </row>
    <row r="111">
      <c r="G111" s="35"/>
    </row>
    <row r="112">
      <c r="G112" s="35"/>
    </row>
    <row r="113">
      <c r="G113" s="35"/>
    </row>
    <row r="114">
      <c r="G114" s="35"/>
    </row>
    <row r="115">
      <c r="G115" s="35"/>
    </row>
    <row r="116">
      <c r="G116" s="35"/>
    </row>
    <row r="117">
      <c r="G117" s="35"/>
    </row>
    <row r="118">
      <c r="G118" s="35"/>
    </row>
    <row r="119">
      <c r="G119" s="35"/>
    </row>
    <row r="120">
      <c r="G120" s="35"/>
    </row>
    <row r="121">
      <c r="G121" s="35"/>
    </row>
    <row r="122">
      <c r="G122" s="35"/>
    </row>
    <row r="123">
      <c r="G123" s="35"/>
    </row>
    <row r="124">
      <c r="G124" s="35"/>
    </row>
    <row r="125">
      <c r="G125" s="35"/>
    </row>
    <row r="126">
      <c r="G126" s="35"/>
    </row>
    <row r="127">
      <c r="G127" s="35"/>
    </row>
    <row r="128">
      <c r="G128" s="35"/>
    </row>
    <row r="129">
      <c r="G129" s="35"/>
    </row>
    <row r="130">
      <c r="G130" s="35"/>
    </row>
    <row r="131">
      <c r="G131" s="35"/>
    </row>
    <row r="132">
      <c r="G132" s="35"/>
    </row>
    <row r="133">
      <c r="G133" s="35"/>
    </row>
    <row r="134">
      <c r="G134" s="35"/>
    </row>
    <row r="135">
      <c r="G135" s="35"/>
    </row>
    <row r="136">
      <c r="G136" s="35"/>
    </row>
    <row r="137">
      <c r="G137" s="35"/>
    </row>
    <row r="138">
      <c r="G138" s="35"/>
    </row>
    <row r="139">
      <c r="G139" s="35"/>
    </row>
    <row r="140">
      <c r="G140" s="35"/>
    </row>
    <row r="141">
      <c r="G141" s="35"/>
    </row>
    <row r="142">
      <c r="G142" s="35"/>
    </row>
    <row r="143">
      <c r="G143" s="35"/>
    </row>
    <row r="144">
      <c r="G144" s="35"/>
    </row>
    <row r="145">
      <c r="G145" s="35"/>
    </row>
    <row r="146">
      <c r="G146" s="35"/>
    </row>
    <row r="147">
      <c r="G147" s="35"/>
    </row>
    <row r="148">
      <c r="G148" s="35"/>
    </row>
    <row r="149">
      <c r="G149" s="35"/>
    </row>
    <row r="150">
      <c r="G150" s="35"/>
    </row>
    <row r="151">
      <c r="G151" s="35"/>
    </row>
    <row r="152">
      <c r="G152" s="35"/>
    </row>
    <row r="153">
      <c r="G153" s="35"/>
    </row>
    <row r="154">
      <c r="G154" s="35"/>
    </row>
    <row r="155">
      <c r="G155" s="35"/>
    </row>
    <row r="156">
      <c r="G156" s="35"/>
    </row>
    <row r="157">
      <c r="G157" s="35"/>
    </row>
    <row r="158">
      <c r="G158" s="35"/>
    </row>
    <row r="159">
      <c r="G159" s="35"/>
    </row>
    <row r="160">
      <c r="G160" s="35"/>
    </row>
    <row r="161">
      <c r="G161" s="35"/>
    </row>
    <row r="162">
      <c r="G162" s="35"/>
    </row>
    <row r="163">
      <c r="G163" s="35"/>
    </row>
    <row r="164">
      <c r="G164" s="35"/>
    </row>
    <row r="165">
      <c r="G165" s="35"/>
    </row>
    <row r="166">
      <c r="G166" s="35"/>
    </row>
    <row r="167">
      <c r="G167" s="35"/>
    </row>
    <row r="168">
      <c r="G168" s="35"/>
    </row>
    <row r="169">
      <c r="G169" s="35"/>
    </row>
    <row r="170">
      <c r="G170" s="35"/>
    </row>
    <row r="171">
      <c r="G171" s="35"/>
    </row>
    <row r="172">
      <c r="G172" s="35"/>
    </row>
    <row r="173">
      <c r="G173" s="35"/>
    </row>
    <row r="174">
      <c r="G174" s="35"/>
    </row>
    <row r="175">
      <c r="G175" s="35"/>
    </row>
    <row r="176">
      <c r="G176" s="35"/>
    </row>
    <row r="177">
      <c r="G177" s="35"/>
    </row>
    <row r="178">
      <c r="G178" s="35"/>
    </row>
    <row r="179">
      <c r="G179" s="35"/>
    </row>
    <row r="180">
      <c r="G180" s="35"/>
    </row>
    <row r="181">
      <c r="G181" s="35"/>
    </row>
    <row r="182">
      <c r="G182" s="35"/>
    </row>
    <row r="183">
      <c r="G183" s="35"/>
    </row>
    <row r="184">
      <c r="G184" s="35"/>
    </row>
    <row r="185">
      <c r="G185" s="35"/>
    </row>
    <row r="186">
      <c r="G186" s="35"/>
    </row>
    <row r="187">
      <c r="G187" s="35"/>
    </row>
    <row r="188">
      <c r="G188" s="35"/>
    </row>
    <row r="189">
      <c r="G189" s="35"/>
    </row>
    <row r="190">
      <c r="G190" s="35"/>
    </row>
    <row r="191">
      <c r="G191" s="35"/>
    </row>
    <row r="192">
      <c r="G192" s="35"/>
    </row>
    <row r="193">
      <c r="G193" s="35"/>
    </row>
    <row r="194">
      <c r="G194" s="35"/>
    </row>
    <row r="195">
      <c r="G195" s="35"/>
    </row>
    <row r="196">
      <c r="G196" s="35"/>
    </row>
    <row r="197">
      <c r="G197" s="35"/>
    </row>
    <row r="198">
      <c r="G198" s="35"/>
    </row>
    <row r="199">
      <c r="G199" s="35"/>
    </row>
    <row r="200">
      <c r="G200" s="35"/>
    </row>
    <row r="201">
      <c r="G201" s="35"/>
    </row>
    <row r="202">
      <c r="G202" s="35"/>
    </row>
    <row r="203">
      <c r="G203" s="35"/>
    </row>
    <row r="204">
      <c r="G204" s="35"/>
    </row>
    <row r="205">
      <c r="G205" s="35"/>
    </row>
    <row r="206">
      <c r="G206" s="35"/>
    </row>
    <row r="207">
      <c r="G207" s="35"/>
    </row>
    <row r="208">
      <c r="G208" s="35"/>
    </row>
    <row r="209">
      <c r="G209" s="35"/>
    </row>
    <row r="210">
      <c r="G210" s="35"/>
    </row>
    <row r="211">
      <c r="G211" s="35"/>
    </row>
    <row r="212">
      <c r="G212" s="35"/>
    </row>
    <row r="213">
      <c r="G213" s="35"/>
    </row>
    <row r="214">
      <c r="G214" s="35"/>
    </row>
    <row r="215">
      <c r="G215" s="35"/>
    </row>
    <row r="216">
      <c r="G216" s="35"/>
    </row>
    <row r="217">
      <c r="G217" s="35"/>
    </row>
    <row r="218">
      <c r="G218" s="35"/>
    </row>
    <row r="219">
      <c r="G219" s="35"/>
    </row>
    <row r="220">
      <c r="G220" s="35"/>
    </row>
    <row r="221">
      <c r="G221" s="35"/>
    </row>
    <row r="222">
      <c r="G222" s="35"/>
    </row>
    <row r="223">
      <c r="G223" s="35"/>
    </row>
    <row r="224">
      <c r="G224" s="35"/>
    </row>
    <row r="225">
      <c r="G225" s="35"/>
    </row>
    <row r="226">
      <c r="G226" s="35"/>
    </row>
    <row r="227">
      <c r="G227" s="35"/>
    </row>
    <row r="228">
      <c r="G228" s="35"/>
    </row>
    <row r="229">
      <c r="G229" s="35"/>
    </row>
    <row r="230">
      <c r="G230" s="35"/>
    </row>
    <row r="231">
      <c r="G231" s="35"/>
    </row>
    <row r="232">
      <c r="G232" s="35"/>
    </row>
    <row r="233">
      <c r="G233" s="35"/>
    </row>
    <row r="234">
      <c r="G234" s="35"/>
    </row>
    <row r="235">
      <c r="G235" s="35"/>
    </row>
    <row r="236">
      <c r="G236" s="35"/>
    </row>
    <row r="237">
      <c r="G237" s="35"/>
    </row>
    <row r="238">
      <c r="G238" s="35"/>
    </row>
    <row r="239">
      <c r="G239" s="35"/>
    </row>
    <row r="240">
      <c r="G240" s="35"/>
    </row>
    <row r="241">
      <c r="G241" s="35"/>
    </row>
    <row r="242">
      <c r="G242" s="35"/>
    </row>
    <row r="243">
      <c r="G243" s="35"/>
    </row>
    <row r="244">
      <c r="G244" s="35"/>
    </row>
    <row r="245">
      <c r="G245" s="35"/>
    </row>
    <row r="246">
      <c r="G246" s="35"/>
    </row>
    <row r="247">
      <c r="G247" s="35"/>
    </row>
    <row r="248">
      <c r="G248" s="35"/>
    </row>
    <row r="249">
      <c r="G249" s="35"/>
    </row>
    <row r="250">
      <c r="G250" s="35"/>
    </row>
    <row r="251">
      <c r="G251" s="35"/>
    </row>
    <row r="252">
      <c r="G252" s="35"/>
    </row>
    <row r="253">
      <c r="G253" s="35"/>
    </row>
    <row r="254">
      <c r="G254" s="35"/>
    </row>
    <row r="255">
      <c r="G255" s="35"/>
    </row>
    <row r="256">
      <c r="G256" s="35"/>
    </row>
    <row r="257">
      <c r="G257" s="35"/>
    </row>
    <row r="258">
      <c r="G258" s="35"/>
    </row>
    <row r="259">
      <c r="G259" s="35"/>
    </row>
    <row r="260">
      <c r="G260" s="35"/>
    </row>
    <row r="261">
      <c r="G261" s="35"/>
    </row>
    <row r="262">
      <c r="G262" s="35"/>
    </row>
    <row r="263">
      <c r="G263" s="35"/>
    </row>
    <row r="264">
      <c r="G264" s="35"/>
    </row>
    <row r="265">
      <c r="G265" s="35"/>
    </row>
    <row r="266">
      <c r="G266" s="35"/>
    </row>
    <row r="267">
      <c r="G267" s="35"/>
    </row>
    <row r="268">
      <c r="G268" s="35"/>
    </row>
    <row r="269">
      <c r="G269" s="35"/>
    </row>
    <row r="270">
      <c r="G270" s="35"/>
    </row>
    <row r="271">
      <c r="G271" s="35"/>
    </row>
    <row r="272">
      <c r="G272" s="35"/>
    </row>
    <row r="273">
      <c r="G273" s="35"/>
    </row>
    <row r="274">
      <c r="G274" s="35"/>
    </row>
    <row r="275">
      <c r="G275" s="35"/>
    </row>
    <row r="276">
      <c r="G276" s="35"/>
    </row>
    <row r="277">
      <c r="G277" s="35"/>
    </row>
    <row r="278">
      <c r="G278" s="35"/>
    </row>
    <row r="279">
      <c r="G279" s="35"/>
    </row>
    <row r="280">
      <c r="G280" s="35"/>
    </row>
    <row r="281">
      <c r="G281" s="35"/>
    </row>
    <row r="282">
      <c r="G282" s="35"/>
    </row>
    <row r="283">
      <c r="G283" s="35"/>
    </row>
    <row r="284">
      <c r="G284" s="35"/>
    </row>
    <row r="285">
      <c r="G285" s="35"/>
    </row>
    <row r="286">
      <c r="G286" s="35"/>
    </row>
    <row r="287">
      <c r="G287" s="35"/>
    </row>
    <row r="288">
      <c r="G288" s="35"/>
    </row>
    <row r="289">
      <c r="G289" s="35"/>
    </row>
    <row r="290">
      <c r="G290" s="35"/>
    </row>
    <row r="291">
      <c r="G291" s="35"/>
    </row>
    <row r="292">
      <c r="G292" s="35"/>
    </row>
    <row r="293">
      <c r="G293" s="35"/>
    </row>
    <row r="294">
      <c r="G294" s="35"/>
    </row>
    <row r="295">
      <c r="G295" s="35"/>
    </row>
    <row r="296">
      <c r="G296" s="35"/>
    </row>
    <row r="297">
      <c r="G297" s="35"/>
    </row>
    <row r="298">
      <c r="G298" s="35"/>
    </row>
    <row r="299">
      <c r="G299" s="35"/>
    </row>
    <row r="300">
      <c r="G300" s="35"/>
    </row>
    <row r="301">
      <c r="G301" s="35"/>
    </row>
    <row r="302">
      <c r="G302" s="35"/>
    </row>
    <row r="303">
      <c r="G303" s="35"/>
    </row>
    <row r="304">
      <c r="G304" s="35"/>
    </row>
    <row r="305">
      <c r="G305" s="35"/>
    </row>
    <row r="306">
      <c r="G306" s="35"/>
    </row>
    <row r="307">
      <c r="G307" s="35"/>
    </row>
    <row r="308">
      <c r="G308" s="35"/>
    </row>
    <row r="309">
      <c r="G309" s="35"/>
    </row>
    <row r="310">
      <c r="G310" s="35"/>
    </row>
    <row r="311">
      <c r="G311" s="35"/>
    </row>
    <row r="312">
      <c r="G312" s="35"/>
    </row>
    <row r="313">
      <c r="G313" s="35"/>
    </row>
    <row r="314">
      <c r="G314" s="35"/>
    </row>
    <row r="315">
      <c r="G315" s="35"/>
    </row>
    <row r="316">
      <c r="G316" s="35"/>
    </row>
    <row r="317">
      <c r="G317" s="35"/>
    </row>
    <row r="318">
      <c r="G318" s="35"/>
    </row>
    <row r="319">
      <c r="G319" s="35"/>
    </row>
    <row r="320">
      <c r="G320" s="35"/>
    </row>
    <row r="321">
      <c r="G321" s="35"/>
    </row>
    <row r="322">
      <c r="G322" s="35"/>
    </row>
    <row r="323">
      <c r="G323" s="35"/>
    </row>
    <row r="324">
      <c r="G324" s="35"/>
    </row>
    <row r="325">
      <c r="G325" s="35"/>
    </row>
    <row r="326">
      <c r="G326" s="35"/>
    </row>
    <row r="327">
      <c r="G327" s="35"/>
    </row>
    <row r="328">
      <c r="G328" s="35"/>
    </row>
    <row r="329">
      <c r="G329" s="35"/>
    </row>
    <row r="330">
      <c r="G330" s="35"/>
    </row>
    <row r="331">
      <c r="G331" s="35"/>
    </row>
    <row r="332">
      <c r="G332" s="35"/>
    </row>
    <row r="333">
      <c r="G333" s="35"/>
    </row>
    <row r="334">
      <c r="G334" s="35"/>
    </row>
    <row r="335">
      <c r="G335" s="35"/>
    </row>
    <row r="336">
      <c r="G336" s="35"/>
    </row>
    <row r="337">
      <c r="G337" s="35"/>
    </row>
    <row r="338">
      <c r="G338" s="35"/>
    </row>
    <row r="339">
      <c r="G339" s="35"/>
    </row>
    <row r="340">
      <c r="G340" s="35"/>
    </row>
    <row r="341">
      <c r="G341" s="35"/>
    </row>
    <row r="342">
      <c r="G342" s="35"/>
    </row>
    <row r="343">
      <c r="G343" s="35"/>
    </row>
    <row r="344">
      <c r="G344" s="35"/>
    </row>
    <row r="345">
      <c r="G345" s="35"/>
    </row>
    <row r="346">
      <c r="G346" s="35"/>
    </row>
    <row r="347">
      <c r="G347" s="35"/>
    </row>
    <row r="348">
      <c r="G348" s="35"/>
    </row>
    <row r="349">
      <c r="G349" s="35"/>
    </row>
    <row r="350">
      <c r="G350" s="35"/>
    </row>
    <row r="351">
      <c r="G351" s="35"/>
    </row>
    <row r="352">
      <c r="G352" s="35"/>
    </row>
    <row r="353">
      <c r="G353" s="35"/>
    </row>
    <row r="354">
      <c r="G354" s="35"/>
    </row>
    <row r="355">
      <c r="G355" s="35"/>
    </row>
    <row r="356">
      <c r="G356" s="35"/>
    </row>
    <row r="357">
      <c r="G357" s="35"/>
    </row>
    <row r="358">
      <c r="G358" s="35"/>
    </row>
    <row r="359">
      <c r="G359" s="35"/>
    </row>
    <row r="360">
      <c r="G360" s="35"/>
    </row>
    <row r="361">
      <c r="G361" s="35"/>
    </row>
    <row r="362">
      <c r="G362" s="35"/>
    </row>
    <row r="363">
      <c r="G363" s="35"/>
    </row>
    <row r="364">
      <c r="G364" s="35"/>
    </row>
    <row r="365">
      <c r="G365" s="35"/>
    </row>
    <row r="366">
      <c r="G366" s="35"/>
    </row>
    <row r="367">
      <c r="G367" s="35"/>
    </row>
    <row r="368">
      <c r="G368" s="35"/>
    </row>
    <row r="369">
      <c r="G369" s="35"/>
    </row>
    <row r="370">
      <c r="G370" s="35"/>
    </row>
    <row r="371">
      <c r="G371" s="35"/>
    </row>
    <row r="372">
      <c r="G372" s="35"/>
    </row>
    <row r="373">
      <c r="G373" s="35"/>
    </row>
    <row r="374">
      <c r="G374" s="35"/>
    </row>
    <row r="375">
      <c r="G375" s="35"/>
    </row>
    <row r="376">
      <c r="G376" s="35"/>
    </row>
    <row r="377">
      <c r="G377" s="35"/>
    </row>
    <row r="378">
      <c r="G378" s="35"/>
    </row>
    <row r="379">
      <c r="G379" s="35"/>
    </row>
    <row r="380">
      <c r="G380" s="35"/>
    </row>
    <row r="381">
      <c r="G381" s="35"/>
    </row>
    <row r="382">
      <c r="G382" s="35"/>
    </row>
    <row r="383">
      <c r="G383" s="35"/>
    </row>
    <row r="384">
      <c r="G384" s="35"/>
    </row>
    <row r="385">
      <c r="G385" s="35"/>
    </row>
    <row r="386">
      <c r="G386" s="35"/>
    </row>
    <row r="387">
      <c r="G387" s="35"/>
    </row>
    <row r="388">
      <c r="G388" s="35"/>
    </row>
    <row r="389">
      <c r="G389" s="35"/>
    </row>
    <row r="390">
      <c r="G390" s="35"/>
    </row>
    <row r="391">
      <c r="G391" s="35"/>
    </row>
    <row r="392">
      <c r="G392" s="35"/>
    </row>
    <row r="393">
      <c r="G393" s="35"/>
    </row>
    <row r="394">
      <c r="G394" s="35"/>
    </row>
    <row r="395">
      <c r="G395" s="35"/>
    </row>
    <row r="396">
      <c r="G396" s="35"/>
    </row>
    <row r="397">
      <c r="G397" s="35"/>
    </row>
    <row r="398">
      <c r="G398" s="35"/>
    </row>
    <row r="399">
      <c r="G399" s="35"/>
    </row>
    <row r="400">
      <c r="G400" s="35"/>
    </row>
    <row r="401">
      <c r="G401" s="35"/>
    </row>
    <row r="402">
      <c r="G402" s="35"/>
    </row>
    <row r="403">
      <c r="G403" s="35"/>
    </row>
    <row r="404">
      <c r="G404" s="35"/>
    </row>
    <row r="405">
      <c r="G405" s="35"/>
    </row>
    <row r="406">
      <c r="G406" s="35"/>
    </row>
    <row r="407">
      <c r="G407" s="35"/>
    </row>
    <row r="408">
      <c r="G408" s="35"/>
    </row>
    <row r="409">
      <c r="G409" s="35"/>
    </row>
    <row r="410">
      <c r="G410" s="35"/>
    </row>
    <row r="411">
      <c r="G411" s="35"/>
    </row>
    <row r="412">
      <c r="G412" s="35"/>
    </row>
    <row r="413">
      <c r="G413" s="35"/>
    </row>
    <row r="414">
      <c r="G414" s="35"/>
    </row>
    <row r="415">
      <c r="G415" s="35"/>
    </row>
    <row r="416">
      <c r="G416" s="35"/>
    </row>
    <row r="417">
      <c r="G417" s="35"/>
    </row>
    <row r="418">
      <c r="G418" s="35"/>
    </row>
    <row r="419">
      <c r="G419" s="35"/>
    </row>
    <row r="420">
      <c r="G420" s="35"/>
    </row>
    <row r="421">
      <c r="G421" s="35"/>
    </row>
    <row r="422">
      <c r="G422" s="35"/>
    </row>
    <row r="423">
      <c r="G423" s="35"/>
    </row>
    <row r="424">
      <c r="G424" s="35"/>
    </row>
    <row r="425">
      <c r="G425" s="35"/>
    </row>
    <row r="426">
      <c r="G426" s="35"/>
    </row>
    <row r="427">
      <c r="G427" s="35"/>
    </row>
    <row r="428">
      <c r="G428" s="35"/>
    </row>
    <row r="429">
      <c r="G429" s="35"/>
    </row>
    <row r="430">
      <c r="G430" s="35"/>
    </row>
    <row r="431">
      <c r="G431" s="35"/>
    </row>
    <row r="432">
      <c r="G432" s="35"/>
    </row>
    <row r="433">
      <c r="G433" s="35"/>
    </row>
    <row r="434">
      <c r="G434" s="35"/>
    </row>
    <row r="435">
      <c r="G435" s="35"/>
    </row>
    <row r="436">
      <c r="G436" s="35"/>
    </row>
    <row r="437">
      <c r="G437" s="35"/>
    </row>
    <row r="438">
      <c r="G438" s="35"/>
    </row>
    <row r="439">
      <c r="G439" s="35"/>
    </row>
    <row r="440">
      <c r="G440" s="35"/>
    </row>
    <row r="441">
      <c r="G441" s="35"/>
    </row>
    <row r="442">
      <c r="G442" s="35"/>
    </row>
    <row r="443">
      <c r="G443" s="35"/>
    </row>
    <row r="444">
      <c r="G444" s="35"/>
    </row>
    <row r="445">
      <c r="G445" s="35"/>
    </row>
    <row r="446">
      <c r="G446" s="35"/>
    </row>
    <row r="447">
      <c r="G447" s="35"/>
    </row>
    <row r="448">
      <c r="G448" s="35"/>
    </row>
    <row r="449">
      <c r="G449" s="35"/>
    </row>
    <row r="450">
      <c r="G450" s="35"/>
    </row>
    <row r="451">
      <c r="G451" s="35"/>
    </row>
    <row r="452">
      <c r="G452" s="35"/>
    </row>
    <row r="453">
      <c r="G453" s="35"/>
    </row>
    <row r="454">
      <c r="G454" s="35"/>
    </row>
    <row r="455">
      <c r="G455" s="35"/>
    </row>
    <row r="456">
      <c r="G456" s="35"/>
    </row>
    <row r="457">
      <c r="G457" s="35"/>
    </row>
    <row r="458">
      <c r="G458" s="35"/>
    </row>
    <row r="459">
      <c r="G459" s="35"/>
    </row>
    <row r="460">
      <c r="G460" s="35"/>
    </row>
    <row r="461">
      <c r="G461" s="35"/>
    </row>
    <row r="462">
      <c r="G462" s="35"/>
    </row>
    <row r="463">
      <c r="G463" s="35"/>
    </row>
    <row r="464">
      <c r="G464" s="35"/>
    </row>
    <row r="465">
      <c r="G465" s="35"/>
    </row>
    <row r="466">
      <c r="G466" s="35"/>
    </row>
    <row r="467">
      <c r="G467" s="35"/>
    </row>
    <row r="468">
      <c r="G468" s="35"/>
    </row>
    <row r="469">
      <c r="G469" s="35"/>
    </row>
    <row r="470">
      <c r="G470" s="35"/>
    </row>
    <row r="471">
      <c r="G471" s="35"/>
    </row>
    <row r="472">
      <c r="G472" s="35"/>
    </row>
    <row r="473">
      <c r="G473" s="35"/>
    </row>
    <row r="474">
      <c r="G474" s="35"/>
    </row>
    <row r="475">
      <c r="G475" s="35"/>
    </row>
    <row r="476">
      <c r="G476" s="35"/>
    </row>
    <row r="477">
      <c r="G477" s="35"/>
    </row>
    <row r="478">
      <c r="G478" s="35"/>
    </row>
    <row r="479">
      <c r="G479" s="35"/>
    </row>
    <row r="480">
      <c r="G480" s="35"/>
    </row>
    <row r="481">
      <c r="G481" s="35"/>
    </row>
    <row r="482">
      <c r="G482" s="35"/>
    </row>
    <row r="483">
      <c r="G483" s="35"/>
    </row>
    <row r="484">
      <c r="G484" s="35"/>
    </row>
    <row r="485">
      <c r="G485" s="35"/>
    </row>
    <row r="486">
      <c r="G486" s="35"/>
    </row>
    <row r="487">
      <c r="G487" s="35"/>
    </row>
    <row r="488">
      <c r="G488" s="35"/>
    </row>
    <row r="489">
      <c r="G489" s="35"/>
    </row>
    <row r="490">
      <c r="G490" s="35"/>
    </row>
    <row r="491">
      <c r="G491" s="35"/>
    </row>
    <row r="492">
      <c r="G492" s="35"/>
    </row>
    <row r="493">
      <c r="G493" s="35"/>
    </row>
    <row r="494">
      <c r="G494" s="35"/>
    </row>
    <row r="495">
      <c r="G495" s="35"/>
    </row>
    <row r="496">
      <c r="G496" s="35"/>
    </row>
    <row r="497">
      <c r="G497" s="35"/>
    </row>
    <row r="498">
      <c r="G498" s="35"/>
    </row>
    <row r="499">
      <c r="G499" s="35"/>
    </row>
    <row r="500">
      <c r="G500" s="35"/>
    </row>
    <row r="501">
      <c r="G501" s="35"/>
    </row>
    <row r="502">
      <c r="G502" s="35"/>
    </row>
    <row r="503">
      <c r="G503" s="35"/>
    </row>
    <row r="504">
      <c r="G504" s="35"/>
    </row>
    <row r="505">
      <c r="G505" s="35"/>
    </row>
    <row r="506">
      <c r="G506" s="35"/>
    </row>
    <row r="507">
      <c r="G507" s="35"/>
    </row>
    <row r="508">
      <c r="G508" s="35"/>
    </row>
    <row r="509">
      <c r="G509" s="35"/>
    </row>
    <row r="510">
      <c r="G510" s="35"/>
    </row>
    <row r="511">
      <c r="G511" s="35"/>
    </row>
    <row r="512">
      <c r="G512" s="35"/>
    </row>
    <row r="513">
      <c r="G513" s="35"/>
    </row>
    <row r="514">
      <c r="G514" s="35"/>
    </row>
    <row r="515">
      <c r="G515" s="35"/>
    </row>
    <row r="516">
      <c r="G516" s="35"/>
    </row>
    <row r="517">
      <c r="G517" s="35"/>
    </row>
    <row r="518">
      <c r="G518" s="35"/>
    </row>
    <row r="519">
      <c r="G519" s="35"/>
    </row>
    <row r="520">
      <c r="G520" s="35"/>
    </row>
    <row r="521">
      <c r="G521" s="35"/>
    </row>
    <row r="522">
      <c r="G522" s="35"/>
    </row>
    <row r="523">
      <c r="G523" s="35"/>
    </row>
    <row r="524">
      <c r="G524" s="35"/>
    </row>
    <row r="525">
      <c r="G525" s="35"/>
    </row>
    <row r="526">
      <c r="G526" s="35"/>
    </row>
    <row r="527">
      <c r="G527" s="35"/>
    </row>
    <row r="528">
      <c r="G528" s="35"/>
    </row>
    <row r="529">
      <c r="G529" s="35"/>
    </row>
    <row r="530">
      <c r="G530" s="35"/>
    </row>
    <row r="531">
      <c r="G531" s="35"/>
    </row>
    <row r="532">
      <c r="G532" s="35"/>
    </row>
    <row r="533">
      <c r="G533" s="35"/>
    </row>
    <row r="534">
      <c r="G534" s="35"/>
    </row>
    <row r="535">
      <c r="G535" s="35"/>
    </row>
    <row r="536">
      <c r="G536" s="35"/>
    </row>
    <row r="537">
      <c r="G537" s="35"/>
    </row>
    <row r="538">
      <c r="G538" s="35"/>
    </row>
    <row r="539">
      <c r="G539" s="35"/>
    </row>
    <row r="540">
      <c r="G540" s="35"/>
    </row>
    <row r="541">
      <c r="G541" s="35"/>
    </row>
    <row r="542">
      <c r="G542" s="35"/>
    </row>
    <row r="543">
      <c r="G543" s="35"/>
    </row>
    <row r="544">
      <c r="G544" s="35"/>
    </row>
    <row r="545">
      <c r="G545" s="35"/>
    </row>
    <row r="546">
      <c r="G546" s="35"/>
    </row>
    <row r="547">
      <c r="G547" s="35"/>
    </row>
    <row r="548">
      <c r="G548" s="35"/>
    </row>
    <row r="549">
      <c r="G549" s="35"/>
    </row>
    <row r="550">
      <c r="G550" s="35"/>
    </row>
    <row r="551">
      <c r="G551" s="35"/>
    </row>
    <row r="552">
      <c r="G552" s="35"/>
    </row>
    <row r="553">
      <c r="G553" s="35"/>
    </row>
    <row r="554">
      <c r="G554" s="35"/>
    </row>
    <row r="555">
      <c r="G555" s="35"/>
    </row>
    <row r="556">
      <c r="G556" s="35"/>
    </row>
    <row r="557">
      <c r="G557" s="35"/>
    </row>
    <row r="558">
      <c r="G558" s="35"/>
    </row>
    <row r="559">
      <c r="G559" s="35"/>
    </row>
    <row r="560">
      <c r="G560" s="35"/>
    </row>
    <row r="561">
      <c r="G561" s="35"/>
    </row>
    <row r="562">
      <c r="G562" s="35"/>
    </row>
    <row r="563">
      <c r="G563" s="35"/>
    </row>
    <row r="564">
      <c r="G564" s="35"/>
    </row>
    <row r="565">
      <c r="G565" s="35"/>
    </row>
    <row r="566">
      <c r="G566" s="35"/>
    </row>
    <row r="567">
      <c r="G567" s="35"/>
    </row>
    <row r="568">
      <c r="G568" s="35"/>
    </row>
    <row r="569">
      <c r="G569" s="35"/>
    </row>
    <row r="570">
      <c r="G570" s="35"/>
    </row>
    <row r="571">
      <c r="G571" s="35"/>
    </row>
    <row r="572">
      <c r="G572" s="35"/>
    </row>
    <row r="573">
      <c r="G573" s="35"/>
    </row>
    <row r="574">
      <c r="G574" s="35"/>
    </row>
    <row r="575">
      <c r="G575" s="35"/>
    </row>
    <row r="576">
      <c r="G576" s="35"/>
    </row>
    <row r="577">
      <c r="G577" s="35"/>
    </row>
    <row r="578">
      <c r="G578" s="35"/>
    </row>
    <row r="579">
      <c r="G579" s="35"/>
    </row>
    <row r="580">
      <c r="G580" s="35"/>
    </row>
    <row r="581">
      <c r="G581" s="35"/>
    </row>
    <row r="582">
      <c r="G582" s="35"/>
    </row>
    <row r="583">
      <c r="G583" s="35"/>
    </row>
    <row r="584">
      <c r="G584" s="35"/>
    </row>
    <row r="585">
      <c r="G585" s="35"/>
    </row>
    <row r="586">
      <c r="G586" s="35"/>
    </row>
    <row r="587">
      <c r="G587" s="35"/>
    </row>
    <row r="588">
      <c r="G588" s="35"/>
    </row>
    <row r="589">
      <c r="G589" s="35"/>
    </row>
    <row r="590">
      <c r="G590" s="35"/>
    </row>
    <row r="591">
      <c r="G591" s="35"/>
    </row>
    <row r="592">
      <c r="G592" s="35"/>
    </row>
    <row r="593">
      <c r="G593" s="35"/>
    </row>
    <row r="594">
      <c r="G594" s="35"/>
    </row>
    <row r="595">
      <c r="G595" s="35"/>
    </row>
    <row r="596">
      <c r="G596" s="35"/>
    </row>
    <row r="597">
      <c r="G597" s="35"/>
    </row>
    <row r="598">
      <c r="G598" s="35"/>
    </row>
    <row r="599">
      <c r="G599" s="35"/>
    </row>
    <row r="600">
      <c r="G600" s="35"/>
    </row>
    <row r="601">
      <c r="G601" s="35"/>
    </row>
    <row r="602">
      <c r="G602" s="35"/>
    </row>
    <row r="603">
      <c r="G603" s="35"/>
    </row>
    <row r="604">
      <c r="G604" s="35"/>
    </row>
    <row r="605">
      <c r="G605" s="35"/>
    </row>
    <row r="606">
      <c r="G606" s="35"/>
    </row>
    <row r="607">
      <c r="G607" s="35"/>
    </row>
    <row r="608">
      <c r="G608" s="35"/>
    </row>
    <row r="609">
      <c r="G609" s="35"/>
    </row>
    <row r="610">
      <c r="G610" s="35"/>
    </row>
    <row r="611">
      <c r="G611" s="35"/>
    </row>
    <row r="612">
      <c r="G612" s="35"/>
    </row>
    <row r="613">
      <c r="G613" s="35"/>
    </row>
    <row r="614">
      <c r="G614" s="35"/>
    </row>
    <row r="615">
      <c r="G615" s="35"/>
    </row>
    <row r="616">
      <c r="G616" s="35"/>
    </row>
    <row r="617">
      <c r="G617" s="35"/>
    </row>
    <row r="618">
      <c r="G618" s="35"/>
    </row>
    <row r="619">
      <c r="G619" s="35"/>
    </row>
    <row r="620">
      <c r="G620" s="35"/>
    </row>
    <row r="621">
      <c r="G621" s="35"/>
    </row>
    <row r="622">
      <c r="G622" s="35"/>
    </row>
    <row r="623">
      <c r="G623" s="35"/>
    </row>
    <row r="624">
      <c r="G624" s="35"/>
    </row>
    <row r="625">
      <c r="G625" s="35"/>
    </row>
    <row r="626">
      <c r="G626" s="35"/>
    </row>
    <row r="627">
      <c r="G627" s="35"/>
    </row>
    <row r="628">
      <c r="G628" s="35"/>
    </row>
    <row r="629">
      <c r="G629" s="35"/>
    </row>
    <row r="630">
      <c r="G630" s="35"/>
    </row>
    <row r="631">
      <c r="G631" s="35"/>
    </row>
    <row r="632">
      <c r="G632" s="35"/>
    </row>
    <row r="633">
      <c r="G633" s="35"/>
    </row>
    <row r="634">
      <c r="G634" s="35"/>
    </row>
    <row r="635">
      <c r="G635" s="35"/>
    </row>
    <row r="636">
      <c r="G636" s="35"/>
    </row>
    <row r="637">
      <c r="G637" s="35"/>
    </row>
    <row r="638">
      <c r="G638" s="35"/>
    </row>
    <row r="639">
      <c r="G639" s="35"/>
    </row>
    <row r="640">
      <c r="G640" s="35"/>
    </row>
    <row r="641">
      <c r="G641" s="35"/>
    </row>
    <row r="642">
      <c r="G642" s="35"/>
    </row>
    <row r="643">
      <c r="G643" s="35"/>
    </row>
    <row r="644">
      <c r="G644" s="35"/>
    </row>
    <row r="645">
      <c r="G645" s="35"/>
    </row>
    <row r="646">
      <c r="G646" s="35"/>
    </row>
    <row r="647">
      <c r="G647" s="35"/>
    </row>
    <row r="648">
      <c r="G648" s="35"/>
    </row>
    <row r="649">
      <c r="G649" s="35"/>
    </row>
    <row r="650">
      <c r="G650" s="35"/>
    </row>
    <row r="651">
      <c r="G651" s="35"/>
    </row>
    <row r="652">
      <c r="G652" s="35"/>
    </row>
    <row r="653">
      <c r="G653" s="35"/>
    </row>
    <row r="654">
      <c r="G654" s="35"/>
    </row>
    <row r="655">
      <c r="G655" s="35"/>
    </row>
    <row r="656">
      <c r="G656" s="35"/>
    </row>
    <row r="657">
      <c r="G657" s="35"/>
    </row>
    <row r="658">
      <c r="G658" s="35"/>
    </row>
    <row r="659">
      <c r="G659" s="35"/>
    </row>
    <row r="660">
      <c r="G660" s="35"/>
    </row>
    <row r="661">
      <c r="G661" s="35"/>
    </row>
    <row r="662">
      <c r="G662" s="35"/>
    </row>
    <row r="663">
      <c r="G663" s="35"/>
    </row>
    <row r="664">
      <c r="G664" s="35"/>
    </row>
    <row r="665">
      <c r="G665" s="35"/>
    </row>
    <row r="666">
      <c r="G666" s="35"/>
    </row>
    <row r="667">
      <c r="G667" s="35"/>
    </row>
    <row r="668">
      <c r="G668" s="35"/>
    </row>
    <row r="669">
      <c r="G669" s="35"/>
    </row>
    <row r="670">
      <c r="G670" s="35"/>
    </row>
    <row r="671">
      <c r="G671" s="35"/>
    </row>
    <row r="672">
      <c r="G672" s="35"/>
    </row>
    <row r="673">
      <c r="G673" s="35"/>
    </row>
    <row r="674">
      <c r="G674" s="35"/>
    </row>
    <row r="675">
      <c r="G675" s="35"/>
    </row>
    <row r="676">
      <c r="G676" s="35"/>
    </row>
    <row r="677">
      <c r="G677" s="35"/>
    </row>
    <row r="678">
      <c r="G678" s="35"/>
    </row>
    <row r="679">
      <c r="G679" s="35"/>
    </row>
    <row r="680">
      <c r="G680" s="35"/>
    </row>
    <row r="681">
      <c r="G681" s="35"/>
    </row>
    <row r="682">
      <c r="G682" s="35"/>
    </row>
    <row r="683">
      <c r="G683" s="35"/>
    </row>
    <row r="684">
      <c r="G684" s="35"/>
    </row>
    <row r="685">
      <c r="G685" s="35"/>
    </row>
    <row r="686">
      <c r="G686" s="35"/>
    </row>
    <row r="687">
      <c r="G687" s="35"/>
    </row>
    <row r="688">
      <c r="G688" s="35"/>
    </row>
    <row r="689">
      <c r="G689" s="35"/>
    </row>
    <row r="690">
      <c r="G690" s="35"/>
    </row>
    <row r="691">
      <c r="G691" s="35"/>
    </row>
    <row r="692">
      <c r="G692" s="35"/>
    </row>
    <row r="693">
      <c r="G693" s="35"/>
    </row>
    <row r="694">
      <c r="G694" s="35"/>
    </row>
    <row r="695">
      <c r="G695" s="35"/>
    </row>
    <row r="696">
      <c r="G696" s="35"/>
    </row>
    <row r="697">
      <c r="G697" s="35"/>
    </row>
    <row r="698">
      <c r="G698" s="35"/>
    </row>
    <row r="699">
      <c r="G699" s="35"/>
    </row>
    <row r="700">
      <c r="G700" s="35"/>
    </row>
    <row r="701">
      <c r="G701" s="35"/>
    </row>
    <row r="702">
      <c r="G702" s="35"/>
    </row>
    <row r="703">
      <c r="G703" s="35"/>
    </row>
    <row r="704">
      <c r="G704" s="35"/>
    </row>
    <row r="705">
      <c r="G705" s="35"/>
    </row>
    <row r="706">
      <c r="G706" s="35"/>
    </row>
    <row r="707">
      <c r="G707" s="35"/>
    </row>
    <row r="708">
      <c r="G708" s="35"/>
    </row>
    <row r="709">
      <c r="G709" s="35"/>
    </row>
    <row r="710">
      <c r="G710" s="35"/>
    </row>
    <row r="711">
      <c r="G711" s="35"/>
    </row>
    <row r="712">
      <c r="G712" s="35"/>
    </row>
    <row r="713">
      <c r="G713" s="35"/>
    </row>
    <row r="714">
      <c r="G714" s="35"/>
    </row>
    <row r="715">
      <c r="G715" s="35"/>
    </row>
    <row r="716">
      <c r="G716" s="35"/>
    </row>
    <row r="717">
      <c r="G717" s="35"/>
    </row>
    <row r="718">
      <c r="G718" s="35"/>
    </row>
    <row r="719">
      <c r="G719" s="35"/>
    </row>
    <row r="720">
      <c r="G720" s="35"/>
    </row>
    <row r="721">
      <c r="G721" s="35"/>
    </row>
    <row r="722">
      <c r="G722" s="35"/>
    </row>
    <row r="723">
      <c r="G723" s="35"/>
    </row>
    <row r="724">
      <c r="G724" s="35"/>
    </row>
    <row r="725">
      <c r="G725" s="35"/>
    </row>
    <row r="726">
      <c r="G726" s="35"/>
    </row>
    <row r="727">
      <c r="G727" s="35"/>
    </row>
    <row r="728">
      <c r="G728" s="35"/>
    </row>
    <row r="729">
      <c r="G729" s="35"/>
    </row>
    <row r="730">
      <c r="G730" s="35"/>
    </row>
    <row r="731">
      <c r="G731" s="35"/>
    </row>
    <row r="732">
      <c r="G732" s="35"/>
    </row>
    <row r="733">
      <c r="G733" s="35"/>
    </row>
    <row r="734">
      <c r="G734" s="35"/>
    </row>
    <row r="735">
      <c r="G735" s="35"/>
    </row>
    <row r="736">
      <c r="G736" s="35"/>
    </row>
    <row r="737">
      <c r="G737" s="35"/>
    </row>
    <row r="738">
      <c r="G738" s="35"/>
    </row>
    <row r="739">
      <c r="G739" s="35"/>
    </row>
    <row r="740">
      <c r="G740" s="35"/>
    </row>
    <row r="741">
      <c r="G741" s="35"/>
    </row>
    <row r="742">
      <c r="G742" s="35"/>
    </row>
    <row r="743">
      <c r="G743" s="35"/>
    </row>
    <row r="744">
      <c r="G744" s="35"/>
    </row>
    <row r="745">
      <c r="G745" s="35"/>
    </row>
    <row r="746">
      <c r="G746" s="35"/>
    </row>
    <row r="747">
      <c r="G747" s="35"/>
    </row>
    <row r="748">
      <c r="G748" s="35"/>
    </row>
    <row r="749">
      <c r="G749" s="35"/>
    </row>
    <row r="750">
      <c r="G750" s="35"/>
    </row>
    <row r="751">
      <c r="G751" s="35"/>
    </row>
    <row r="752">
      <c r="G752" s="35"/>
    </row>
    <row r="753">
      <c r="G753" s="35"/>
    </row>
    <row r="754">
      <c r="G754" s="35"/>
    </row>
    <row r="755">
      <c r="G755" s="35"/>
    </row>
    <row r="756">
      <c r="G756" s="35"/>
    </row>
    <row r="757">
      <c r="G757" s="35"/>
    </row>
    <row r="758">
      <c r="G758" s="35"/>
    </row>
    <row r="759">
      <c r="G759" s="35"/>
    </row>
    <row r="760">
      <c r="G760" s="35"/>
    </row>
    <row r="761">
      <c r="G761" s="35"/>
    </row>
    <row r="762">
      <c r="G762" s="35"/>
    </row>
    <row r="763">
      <c r="G763" s="35"/>
    </row>
    <row r="764">
      <c r="G764" s="35"/>
    </row>
    <row r="765">
      <c r="G765" s="35"/>
    </row>
    <row r="766">
      <c r="G766" s="35"/>
    </row>
    <row r="767">
      <c r="G767" s="35"/>
    </row>
    <row r="768">
      <c r="G768" s="35"/>
    </row>
    <row r="769">
      <c r="G769" s="35"/>
    </row>
    <row r="770">
      <c r="G770" s="35"/>
    </row>
    <row r="771">
      <c r="G771" s="35"/>
    </row>
    <row r="772">
      <c r="G772" s="35"/>
    </row>
    <row r="773">
      <c r="G773" s="35"/>
    </row>
    <row r="774">
      <c r="G774" s="35"/>
    </row>
    <row r="775">
      <c r="G775" s="35"/>
    </row>
    <row r="776">
      <c r="G776" s="35"/>
    </row>
    <row r="777">
      <c r="G777" s="35"/>
    </row>
    <row r="778">
      <c r="G778" s="35"/>
    </row>
    <row r="779">
      <c r="G779" s="35"/>
    </row>
    <row r="780">
      <c r="G780" s="35"/>
    </row>
    <row r="781">
      <c r="G781" s="35"/>
    </row>
    <row r="782">
      <c r="G782" s="35"/>
    </row>
    <row r="783">
      <c r="G783" s="35"/>
    </row>
    <row r="784">
      <c r="G784" s="35"/>
    </row>
    <row r="785">
      <c r="G785" s="35"/>
    </row>
    <row r="786">
      <c r="G786" s="35"/>
    </row>
    <row r="787">
      <c r="G787" s="35"/>
    </row>
    <row r="788">
      <c r="G788" s="35"/>
    </row>
    <row r="789">
      <c r="G789" s="35"/>
    </row>
    <row r="790">
      <c r="G790" s="35"/>
    </row>
    <row r="791">
      <c r="G791" s="35"/>
    </row>
    <row r="792">
      <c r="G792" s="35"/>
    </row>
    <row r="793">
      <c r="G793" s="35"/>
    </row>
    <row r="794">
      <c r="G794" s="35"/>
    </row>
    <row r="795">
      <c r="G795" s="35"/>
    </row>
    <row r="796">
      <c r="G796" s="35"/>
    </row>
    <row r="797">
      <c r="G797" s="35"/>
    </row>
    <row r="798">
      <c r="G798" s="35"/>
    </row>
    <row r="799">
      <c r="G799" s="35"/>
    </row>
    <row r="800">
      <c r="G800" s="35"/>
    </row>
    <row r="801">
      <c r="G801" s="35"/>
    </row>
    <row r="802">
      <c r="G802" s="35"/>
    </row>
    <row r="803">
      <c r="G803" s="35"/>
    </row>
    <row r="804">
      <c r="G804" s="35"/>
    </row>
    <row r="805">
      <c r="G805" s="35"/>
    </row>
    <row r="806">
      <c r="G806" s="35"/>
    </row>
    <row r="807">
      <c r="G807" s="35"/>
    </row>
    <row r="808">
      <c r="G808" s="35"/>
    </row>
    <row r="809">
      <c r="G809" s="35"/>
    </row>
    <row r="810">
      <c r="G810" s="35"/>
    </row>
    <row r="811">
      <c r="G811" s="35"/>
    </row>
    <row r="812">
      <c r="G812" s="35"/>
    </row>
    <row r="813">
      <c r="G813" s="35"/>
    </row>
    <row r="814">
      <c r="G814" s="35"/>
    </row>
    <row r="815">
      <c r="G815" s="35"/>
    </row>
    <row r="816">
      <c r="G816" s="35"/>
    </row>
    <row r="817">
      <c r="G817" s="35"/>
    </row>
    <row r="818">
      <c r="G818" s="35"/>
    </row>
    <row r="819">
      <c r="G819" s="35"/>
    </row>
    <row r="820">
      <c r="G820" s="35"/>
    </row>
    <row r="821">
      <c r="G821" s="35"/>
    </row>
    <row r="822">
      <c r="G822" s="35"/>
    </row>
    <row r="823">
      <c r="G823" s="35"/>
    </row>
    <row r="824">
      <c r="G824" s="35"/>
    </row>
    <row r="825">
      <c r="G825" s="35"/>
    </row>
    <row r="826">
      <c r="G826" s="35"/>
    </row>
    <row r="827">
      <c r="G827" s="35"/>
    </row>
    <row r="828">
      <c r="G828" s="35"/>
    </row>
    <row r="829">
      <c r="G829" s="35"/>
    </row>
    <row r="830">
      <c r="G830" s="35"/>
    </row>
    <row r="831">
      <c r="G831" s="35"/>
    </row>
    <row r="832">
      <c r="G832" s="35"/>
    </row>
    <row r="833">
      <c r="G833" s="35"/>
    </row>
    <row r="834">
      <c r="G834" s="35"/>
    </row>
    <row r="835">
      <c r="G835" s="35"/>
    </row>
    <row r="836">
      <c r="G836" s="35"/>
    </row>
    <row r="837">
      <c r="G837" s="35"/>
    </row>
    <row r="838">
      <c r="G838" s="35"/>
    </row>
    <row r="839">
      <c r="G839" s="35"/>
    </row>
    <row r="840">
      <c r="G840" s="35"/>
    </row>
    <row r="841">
      <c r="G841" s="35"/>
    </row>
    <row r="842">
      <c r="G842" s="35"/>
    </row>
    <row r="843">
      <c r="G843" s="35"/>
    </row>
    <row r="844">
      <c r="G844" s="35"/>
    </row>
    <row r="845">
      <c r="G845" s="35"/>
    </row>
    <row r="846">
      <c r="G846" s="35"/>
    </row>
    <row r="847">
      <c r="G847" s="35"/>
    </row>
    <row r="848">
      <c r="G848" s="35"/>
    </row>
    <row r="849">
      <c r="G849" s="35"/>
    </row>
    <row r="850">
      <c r="G850" s="35"/>
    </row>
    <row r="851">
      <c r="G851" s="35"/>
    </row>
    <row r="852">
      <c r="G852" s="35"/>
    </row>
    <row r="853">
      <c r="G853" s="35"/>
    </row>
    <row r="854">
      <c r="G854" s="35"/>
    </row>
    <row r="855">
      <c r="G855" s="35"/>
    </row>
    <row r="856">
      <c r="G856" s="35"/>
    </row>
    <row r="857">
      <c r="G857" s="35"/>
    </row>
    <row r="858">
      <c r="G858" s="35"/>
    </row>
    <row r="859">
      <c r="G859" s="35"/>
    </row>
    <row r="860">
      <c r="G860" s="35"/>
    </row>
    <row r="861">
      <c r="G861" s="35"/>
    </row>
    <row r="862">
      <c r="G862" s="35"/>
    </row>
    <row r="863">
      <c r="G863" s="35"/>
    </row>
    <row r="864">
      <c r="G864" s="35"/>
    </row>
    <row r="865">
      <c r="G865" s="35"/>
    </row>
    <row r="866">
      <c r="G866" s="35"/>
    </row>
    <row r="867">
      <c r="G867" s="35"/>
    </row>
    <row r="868">
      <c r="G868" s="35"/>
    </row>
    <row r="869">
      <c r="G869" s="35"/>
    </row>
    <row r="870">
      <c r="G870" s="35"/>
    </row>
    <row r="871">
      <c r="G871" s="35"/>
    </row>
    <row r="872">
      <c r="G872" s="35"/>
    </row>
    <row r="873">
      <c r="G873" s="35"/>
    </row>
    <row r="874">
      <c r="G874" s="35"/>
    </row>
    <row r="875">
      <c r="G875" s="35"/>
    </row>
    <row r="876">
      <c r="G876" s="35"/>
    </row>
    <row r="877">
      <c r="G877" s="35"/>
    </row>
    <row r="878">
      <c r="G878" s="35"/>
    </row>
    <row r="879">
      <c r="G879" s="35"/>
    </row>
    <row r="880">
      <c r="G880" s="35"/>
    </row>
    <row r="881">
      <c r="G881" s="35"/>
    </row>
    <row r="882">
      <c r="G882" s="35"/>
    </row>
    <row r="883">
      <c r="G883" s="35"/>
    </row>
    <row r="884">
      <c r="G884" s="35"/>
    </row>
    <row r="885">
      <c r="G885" s="35"/>
    </row>
    <row r="886">
      <c r="G886" s="35"/>
    </row>
    <row r="887">
      <c r="G887" s="35"/>
    </row>
    <row r="888">
      <c r="G888" s="35"/>
    </row>
    <row r="889">
      <c r="G889" s="35"/>
    </row>
    <row r="890">
      <c r="G890" s="35"/>
    </row>
    <row r="891">
      <c r="G891" s="35"/>
    </row>
    <row r="892">
      <c r="G892" s="35"/>
    </row>
    <row r="893">
      <c r="G893" s="35"/>
    </row>
    <row r="894">
      <c r="G894" s="35"/>
    </row>
    <row r="895">
      <c r="G895" s="35"/>
    </row>
    <row r="896">
      <c r="G896" s="35"/>
    </row>
    <row r="897">
      <c r="G897" s="35"/>
    </row>
    <row r="898">
      <c r="G898" s="35"/>
    </row>
    <row r="899">
      <c r="G899" s="35"/>
    </row>
    <row r="900">
      <c r="G900" s="35"/>
    </row>
    <row r="901">
      <c r="G901" s="35"/>
    </row>
    <row r="902">
      <c r="G902" s="35"/>
    </row>
    <row r="903">
      <c r="G903" s="35"/>
    </row>
    <row r="904">
      <c r="G904" s="35"/>
    </row>
    <row r="905">
      <c r="G905" s="35"/>
    </row>
    <row r="906">
      <c r="G906" s="35"/>
    </row>
    <row r="907">
      <c r="G907" s="35"/>
    </row>
    <row r="908">
      <c r="G908" s="35"/>
    </row>
    <row r="909">
      <c r="G909" s="35"/>
    </row>
    <row r="910">
      <c r="G910" s="35"/>
    </row>
    <row r="911">
      <c r="G911" s="35"/>
    </row>
    <row r="912">
      <c r="G912" s="35"/>
    </row>
    <row r="913">
      <c r="G913" s="35"/>
    </row>
    <row r="914">
      <c r="G914" s="35"/>
    </row>
    <row r="915">
      <c r="G915" s="35"/>
    </row>
    <row r="916">
      <c r="G916" s="35"/>
    </row>
    <row r="917">
      <c r="G917" s="35"/>
    </row>
    <row r="918">
      <c r="G918" s="35"/>
    </row>
    <row r="919">
      <c r="G919" s="35"/>
    </row>
    <row r="920">
      <c r="G920" s="35"/>
    </row>
    <row r="921">
      <c r="G921" s="35"/>
    </row>
    <row r="922">
      <c r="G922" s="35"/>
    </row>
    <row r="923">
      <c r="G923" s="35"/>
    </row>
    <row r="924">
      <c r="G924" s="35"/>
    </row>
    <row r="925">
      <c r="G925" s="35"/>
    </row>
    <row r="926">
      <c r="G926" s="35"/>
    </row>
    <row r="927">
      <c r="G927" s="35"/>
    </row>
    <row r="928">
      <c r="G928" s="35"/>
    </row>
    <row r="929">
      <c r="G929" s="35"/>
    </row>
    <row r="930">
      <c r="G930" s="35"/>
    </row>
    <row r="931">
      <c r="G931" s="35"/>
    </row>
    <row r="932">
      <c r="G932" s="35"/>
    </row>
    <row r="933">
      <c r="G933" s="35"/>
    </row>
    <row r="934">
      <c r="G934" s="35"/>
    </row>
    <row r="935">
      <c r="G935" s="35"/>
    </row>
    <row r="936">
      <c r="G936" s="35"/>
    </row>
    <row r="937">
      <c r="G937" s="35"/>
    </row>
    <row r="938">
      <c r="G938" s="35"/>
    </row>
    <row r="939">
      <c r="G939" s="35"/>
    </row>
    <row r="940">
      <c r="G940" s="35"/>
    </row>
    <row r="941">
      <c r="G941" s="35"/>
    </row>
    <row r="942">
      <c r="G942" s="35"/>
    </row>
    <row r="943">
      <c r="G943" s="35"/>
    </row>
    <row r="944">
      <c r="G944" s="35"/>
    </row>
    <row r="945">
      <c r="G945" s="35"/>
    </row>
    <row r="946">
      <c r="G946" s="35"/>
    </row>
    <row r="947">
      <c r="G947" s="35"/>
    </row>
    <row r="948">
      <c r="G948" s="35"/>
    </row>
    <row r="949">
      <c r="G949" s="35"/>
    </row>
    <row r="950">
      <c r="G950" s="35"/>
    </row>
    <row r="951">
      <c r="G951" s="35"/>
    </row>
    <row r="952">
      <c r="G952" s="35"/>
    </row>
    <row r="953">
      <c r="G953" s="35"/>
    </row>
    <row r="954">
      <c r="G954" s="35"/>
    </row>
    <row r="955">
      <c r="G955" s="35"/>
    </row>
    <row r="956">
      <c r="G956" s="35"/>
    </row>
    <row r="957">
      <c r="G957" s="35"/>
    </row>
    <row r="958">
      <c r="G958" s="35"/>
    </row>
    <row r="959">
      <c r="G959" s="35"/>
    </row>
    <row r="960">
      <c r="G960" s="35"/>
    </row>
    <row r="961">
      <c r="G961" s="35"/>
    </row>
    <row r="962">
      <c r="G962" s="35"/>
    </row>
    <row r="963">
      <c r="G963" s="35"/>
    </row>
    <row r="964">
      <c r="G964" s="35"/>
    </row>
    <row r="965">
      <c r="G965" s="35"/>
    </row>
    <row r="966">
      <c r="G966" s="35"/>
    </row>
    <row r="967">
      <c r="G967" s="35"/>
    </row>
    <row r="968">
      <c r="G968" s="35"/>
    </row>
    <row r="969">
      <c r="G969" s="35"/>
    </row>
    <row r="970">
      <c r="G970" s="35"/>
    </row>
    <row r="971">
      <c r="G971" s="35"/>
    </row>
    <row r="972">
      <c r="G972" s="35"/>
    </row>
    <row r="973">
      <c r="G973" s="35"/>
    </row>
    <row r="974">
      <c r="G974" s="35"/>
    </row>
    <row r="975">
      <c r="G975" s="35"/>
    </row>
    <row r="976">
      <c r="G976" s="35"/>
    </row>
    <row r="977">
      <c r="G977" s="35"/>
    </row>
    <row r="978">
      <c r="G978" s="35"/>
    </row>
    <row r="979">
      <c r="G979" s="35"/>
    </row>
    <row r="980">
      <c r="G980" s="35"/>
    </row>
    <row r="981">
      <c r="G981" s="35"/>
    </row>
    <row r="982">
      <c r="G982" s="35"/>
    </row>
    <row r="983">
      <c r="G983" s="35"/>
    </row>
    <row r="984">
      <c r="G984" s="35"/>
    </row>
    <row r="985">
      <c r="G985" s="35"/>
    </row>
    <row r="986">
      <c r="G986" s="35"/>
    </row>
    <row r="987">
      <c r="G987" s="35"/>
    </row>
    <row r="988">
      <c r="G988" s="35"/>
    </row>
    <row r="989">
      <c r="G989" s="35"/>
    </row>
    <row r="990">
      <c r="G990" s="35"/>
    </row>
    <row r="991">
      <c r="G991" s="35"/>
    </row>
    <row r="992">
      <c r="G992" s="35"/>
    </row>
    <row r="993">
      <c r="G993" s="35"/>
    </row>
    <row r="994">
      <c r="G994" s="35"/>
    </row>
    <row r="995">
      <c r="G995" s="35"/>
    </row>
    <row r="996">
      <c r="G996" s="35"/>
    </row>
    <row r="997">
      <c r="G997" s="35"/>
    </row>
    <row r="998">
      <c r="G998" s="35"/>
    </row>
    <row r="999">
      <c r="G999" s="35"/>
    </row>
    <row r="1000">
      <c r="G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9</v>
      </c>
    </row>
    <row r="2" ht="12.75" customHeight="1">
      <c r="B2" s="1" t="s">
        <v>165</v>
      </c>
      <c r="C2" s="1" t="s">
        <v>82</v>
      </c>
    </row>
    <row r="3" ht="12.75" customHeight="1">
      <c r="B3" s="1" t="s">
        <v>166</v>
      </c>
      <c r="C3" s="1" t="s">
        <v>167</v>
      </c>
    </row>
    <row r="4" ht="12.75" customHeight="1">
      <c r="C4" s="1" t="s">
        <v>168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