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9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estimated 23.7B prior to results</t>
      </text>
    </comment>
    <comment authorId="0" ref="R2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Q222 guidance: 125-130B</t>
      </text>
    </comment>
    <comment authorId="0" ref="S2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Q3 guidance: 140-148B</t>
      </text>
    </comment>
    <comment authorId="0" ref="T2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Q422 guidance: 121-126B</t>
      </text>
    </comment>
    <comment authorId="0" ref="U2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Q123 guidance: 127-133B</t>
      </text>
    </comment>
    <comment authorId="0" ref="V2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Q223 guidance: 138B-143B
I estimated 135B prior to guidance</t>
      </text>
    </comment>
    <comment authorId="0" ref="R2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Q222 guidance: 0.0-3.5B</t>
      </text>
    </comment>
    <comment authorId="0" ref="S2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Q3 guidance: 0-4B</t>
      </text>
    </comment>
    <comment authorId="0" ref="T2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Q4 guidance 0-4B</t>
      </text>
    </comment>
    <comment authorId="0" ref="U2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Q223 guidance: 5.5-8.5B
I estimated 5.6B prior to guidance</t>
      </text>
    </comment>
    <comment authorId="0" ref="R3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+19% net of FX</t>
      </text>
    </comment>
  </commentList>
</comments>
</file>

<file path=xl/sharedStrings.xml><?xml version="1.0" encoding="utf-8"?>
<sst xmlns="http://schemas.openxmlformats.org/spreadsheetml/2006/main" count="123" uniqueCount="110">
  <si>
    <t>Price</t>
  </si>
  <si>
    <t>Shares</t>
  </si>
  <si>
    <t>Q322</t>
  </si>
  <si>
    <t>Incorporated in Washington in 1994</t>
  </si>
  <si>
    <t>MC</t>
  </si>
  <si>
    <t>July 1995 - store opened</t>
  </si>
  <si>
    <t>Cash</t>
  </si>
  <si>
    <t>IPO 1997</t>
  </si>
  <si>
    <t>Debt</t>
  </si>
  <si>
    <t>EV</t>
  </si>
  <si>
    <t>CEO: Andy Jassy</t>
  </si>
  <si>
    <t>Main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</si>
  <si>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</si>
  <si>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</si>
  <si>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</si>
  <si>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</si>
  <si>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</si>
  <si>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</si>
  <si>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</si>
  <si>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</si>
  <si>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</si>
  <si>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</si>
  <si>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</si>
  <si>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</si>
  <si>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</si>
  <si>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</si>
  <si>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</si>
  <si>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</si>
  <si>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Q123</t>
  </si>
  <si>
    <t>Q223</t>
  </si>
  <si>
    <t>Q323</t>
  </si>
  <si>
    <t>Q423</t>
  </si>
  <si>
    <t>NorthAmerica</t>
  </si>
  <si>
    <t xml:space="preserve">  Media</t>
  </si>
  <si>
    <t xml:space="preserve">  Electronics/General</t>
  </si>
  <si>
    <t>International</t>
  </si>
  <si>
    <t>AWS</t>
  </si>
  <si>
    <t>Online Stores</t>
  </si>
  <si>
    <t>Physical Stores</t>
  </si>
  <si>
    <t>Third-party</t>
  </si>
  <si>
    <t>Subscription</t>
  </si>
  <si>
    <t>Ads</t>
  </si>
  <si>
    <t>Other</t>
  </si>
  <si>
    <t>Product</t>
  </si>
  <si>
    <t>Services</t>
  </si>
  <si>
    <t>Revenue</t>
  </si>
  <si>
    <t>Cost of Sales</t>
  </si>
  <si>
    <t>Fulfillment</t>
  </si>
  <si>
    <t>Gross Margin</t>
  </si>
  <si>
    <t>Technology</t>
  </si>
  <si>
    <t>S&amp;M</t>
  </si>
  <si>
    <t>G&amp;A</t>
  </si>
  <si>
    <t>OpEx</t>
  </si>
  <si>
    <t>OpInc</t>
  </si>
  <si>
    <t>Interest Expense</t>
  </si>
  <si>
    <t>Pretax</t>
  </si>
  <si>
    <t>Taxes</t>
  </si>
  <si>
    <t>Net Income</t>
  </si>
  <si>
    <t>EPS</t>
  </si>
  <si>
    <t>Revenue y/y</t>
  </si>
  <si>
    <t xml:space="preserve">  Product y/y</t>
  </si>
  <si>
    <t xml:space="preserve">  Service y/y</t>
  </si>
  <si>
    <t>Online Stores y/y</t>
  </si>
  <si>
    <t>Third-party y/y</t>
  </si>
  <si>
    <t>Subscription y/y</t>
  </si>
  <si>
    <t>Ads y/y</t>
  </si>
  <si>
    <t>AWS y/y</t>
  </si>
  <si>
    <t>Discount</t>
  </si>
  <si>
    <t>ROIC</t>
  </si>
  <si>
    <t>Net Cash</t>
  </si>
  <si>
    <t>Terminal</t>
  </si>
  <si>
    <t>NPV</t>
  </si>
  <si>
    <t>AR</t>
  </si>
  <si>
    <t>Share Price</t>
  </si>
  <si>
    <t>Inventories</t>
  </si>
  <si>
    <t>Upside</t>
  </si>
  <si>
    <t>PP&amp;E</t>
  </si>
  <si>
    <t>Leases</t>
  </si>
  <si>
    <t>Goodwill</t>
  </si>
  <si>
    <t>OA</t>
  </si>
  <si>
    <t>Assets</t>
  </si>
  <si>
    <t>AP</t>
  </si>
  <si>
    <t>AE</t>
  </si>
  <si>
    <t>DR</t>
  </si>
  <si>
    <t>OLTL</t>
  </si>
  <si>
    <t>SE</t>
  </si>
  <si>
    <t>L+SE</t>
  </si>
  <si>
    <t>Model NI</t>
  </si>
  <si>
    <t>Reported NI</t>
  </si>
  <si>
    <t>D&amp;A</t>
  </si>
  <si>
    <t>SBC</t>
  </si>
  <si>
    <t>DT</t>
  </si>
  <si>
    <t>WC</t>
  </si>
  <si>
    <t>CFFO</t>
  </si>
  <si>
    <t>CapEx</t>
  </si>
  <si>
    <t>Sale of CapEx</t>
  </si>
  <si>
    <t>Acquisitions</t>
  </si>
  <si>
    <t>Investments</t>
  </si>
  <si>
    <t>CFFI</t>
  </si>
  <si>
    <t>Buybacks</t>
  </si>
  <si>
    <t>CFFF</t>
  </si>
  <si>
    <t>FX</t>
  </si>
  <si>
    <t>CIC</t>
  </si>
  <si>
    <t>Headcount</t>
  </si>
  <si>
    <t>North America OI</t>
  </si>
  <si>
    <t>International OI</t>
  </si>
  <si>
    <t>AWS OI</t>
  </si>
  <si>
    <t>FCF</t>
  </si>
  <si>
    <t>FCF TTM</t>
  </si>
  <si>
    <t>Stock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</si>
</sst>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Alignment="1" applyFont="1">
      <alignment horizontal="right"/>
    </xf>
    <xf borderId="0" fillId="0" fontId="2" numFmtId="4" xfId="0" applyFont="1" applyNumberFormat="1"/>
    <xf borderId="0" fillId="0" fontId="3" numFmtId="0" xfId="0" applyFont="1"/>
    <xf borderId="0" fillId="0" fontId="2" numFmtId="3" xfId="0" applyAlignment="1" applyFont="1" applyNumberFormat="1">
      <alignment horizontal="right"/>
    </xf>
    <xf borderId="0" fillId="0" fontId="4" numFmtId="3" xfId="0" applyFont="1" applyNumberFormat="1"/>
    <xf borderId="0" fillId="0" fontId="4" numFmtId="3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9" xfId="0" applyAlignment="1" applyFont="1" applyNumberFormat="1">
      <alignment horizontal="right"/>
    </xf>
    <xf borderId="0" fillId="0" fontId="4" numFmtId="9" xfId="0" applyFont="1" applyNumberFormat="1"/>
    <xf borderId="0" fillId="0" fontId="2" numFmtId="9" xfId="0" applyAlignment="1" applyFont="1" applyNumberFormat="1">
      <alignment horizontal="right"/>
    </xf>
    <xf borderId="0" fillId="0" fontId="2" numFmtId="9" xfId="0" applyFont="1" applyNumberFormat="1"/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9525</xdr:colOff>
      <xdr:row>0</xdr:row>
      <xdr:rowOff>0</xdr:rowOff>
    </xdr:from>
    <xdr:ext cx="38100" cy="1717357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52</xdr:col>
      <xdr:colOff>47625</xdr:colOff>
      <xdr:row>0</xdr:row>
      <xdr:rowOff>0</xdr:rowOff>
    </xdr:from>
    <xdr:ext cx="38100" cy="14306550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4" name="Shape 4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>
      <c r="J2" s="1" t="s">
        <v>0</v>
      </c>
      <c r="K2" s="2">
        <v>140.1</v>
      </c>
    </row>
    <row r="3" ht="12.75" customHeight="1">
      <c r="J3" s="1" t="s">
        <v>1</v>
      </c>
      <c r="K3" s="3">
        <v>10331.0</v>
      </c>
      <c r="L3" s="4" t="s">
        <v>2</v>
      </c>
    </row>
    <row r="4" ht="12.75" customHeight="1">
      <c r="B4" s="1" t="s">
        <v>3</v>
      </c>
      <c r="J4" s="1" t="s">
        <v>4</v>
      </c>
      <c r="K4" s="3">
        <f>K3*K2</f>
        <v>1447373.1</v>
      </c>
    </row>
    <row r="5" ht="12.75" customHeight="1">
      <c r="B5" s="1" t="s">
        <v>5</v>
      </c>
      <c r="J5" s="1" t="s">
        <v>6</v>
      </c>
      <c r="K5" s="3">
        <v>58662.0</v>
      </c>
      <c r="L5" s="4" t="s">
        <v>2</v>
      </c>
    </row>
    <row r="6" ht="12.75" customHeight="1">
      <c r="B6" s="1" t="s">
        <v>7</v>
      </c>
      <c r="J6" s="1" t="s">
        <v>8</v>
      </c>
      <c r="K6" s="3">
        <v>58919.0</v>
      </c>
      <c r="L6" s="4" t="s">
        <v>2</v>
      </c>
    </row>
    <row r="7" ht="12.75" customHeight="1">
      <c r="J7" s="1" t="s">
        <v>9</v>
      </c>
      <c r="K7" s="3">
        <f>K4-K5+K6</f>
        <v>1447630.1</v>
      </c>
      <c r="L7" s="4"/>
    </row>
    <row r="8" ht="12.75" customHeight="1">
      <c r="K8" s="5"/>
    </row>
    <row r="9" ht="12.75" customHeight="1">
      <c r="J9" s="1" t="s">
        <v>10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0"/>
    <col customWidth="1" min="2" max="2" width="18.38"/>
    <col customWidth="1" min="3" max="19" width="9.13"/>
    <col customWidth="1" min="20" max="59" width="8.63"/>
    <col customWidth="1" min="60" max="61" width="9.63"/>
    <col customWidth="1" min="62" max="123" width="8.63"/>
  </cols>
  <sheetData>
    <row r="1" ht="12.75" customHeight="1">
      <c r="A1" s="6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12.75" customHeight="1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Z2" s="1">
        <v>1995.0</v>
      </c>
      <c r="AA2" s="1">
        <v>1996.0</v>
      </c>
      <c r="AB2" s="1">
        <v>1997.0</v>
      </c>
      <c r="AC2" s="1">
        <v>1998.0</v>
      </c>
      <c r="AD2" s="1">
        <v>1999.0</v>
      </c>
      <c r="AE2" s="1">
        <v>2000.0</v>
      </c>
      <c r="AF2" s="1">
        <f t="shared" ref="AF2:BS2" si="1">+AE2+1</f>
        <v>2001</v>
      </c>
      <c r="AG2" s="1">
        <f t="shared" si="1"/>
        <v>2002</v>
      </c>
      <c r="AH2" s="1">
        <f t="shared" si="1"/>
        <v>2003</v>
      </c>
      <c r="AI2" s="1">
        <f t="shared" si="1"/>
        <v>2004</v>
      </c>
      <c r="AJ2" s="1">
        <f t="shared" si="1"/>
        <v>2005</v>
      </c>
      <c r="AK2" s="1">
        <f t="shared" si="1"/>
        <v>2006</v>
      </c>
      <c r="AL2" s="1">
        <f t="shared" si="1"/>
        <v>2007</v>
      </c>
      <c r="AM2" s="1">
        <f t="shared" si="1"/>
        <v>2008</v>
      </c>
      <c r="AN2" s="1">
        <f t="shared" si="1"/>
        <v>2009</v>
      </c>
      <c r="AO2" s="1">
        <f t="shared" si="1"/>
        <v>2010</v>
      </c>
      <c r="AP2" s="1">
        <f t="shared" si="1"/>
        <v>2011</v>
      </c>
      <c r="AQ2" s="1">
        <f t="shared" si="1"/>
        <v>2012</v>
      </c>
      <c r="AR2" s="1">
        <f t="shared" si="1"/>
        <v>2013</v>
      </c>
      <c r="AS2" s="1">
        <f t="shared" si="1"/>
        <v>2014</v>
      </c>
      <c r="AT2" s="1">
        <f t="shared" si="1"/>
        <v>2015</v>
      </c>
      <c r="AU2" s="1">
        <f t="shared" si="1"/>
        <v>2016</v>
      </c>
      <c r="AV2" s="1">
        <f t="shared" si="1"/>
        <v>2017</v>
      </c>
      <c r="AW2" s="1">
        <f t="shared" si="1"/>
        <v>2018</v>
      </c>
      <c r="AX2" s="1">
        <f t="shared" si="1"/>
        <v>2019</v>
      </c>
      <c r="AY2" s="1">
        <f t="shared" si="1"/>
        <v>2020</v>
      </c>
      <c r="AZ2" s="1">
        <f t="shared" si="1"/>
        <v>2021</v>
      </c>
      <c r="BA2" s="1">
        <f t="shared" si="1"/>
        <v>2022</v>
      </c>
      <c r="BB2" s="1">
        <f t="shared" si="1"/>
        <v>2023</v>
      </c>
      <c r="BC2" s="1">
        <f t="shared" si="1"/>
        <v>2024</v>
      </c>
      <c r="BD2" s="1">
        <f t="shared" si="1"/>
        <v>2025</v>
      </c>
      <c r="BE2" s="1">
        <f t="shared" si="1"/>
        <v>2026</v>
      </c>
      <c r="BF2" s="1">
        <f t="shared" si="1"/>
        <v>2027</v>
      </c>
      <c r="BG2" s="1">
        <f t="shared" si="1"/>
        <v>2028</v>
      </c>
      <c r="BH2" s="1">
        <f t="shared" si="1"/>
        <v>2029</v>
      </c>
      <c r="BI2" s="1">
        <f t="shared" si="1"/>
        <v>2030</v>
      </c>
      <c r="BJ2" s="1">
        <f t="shared" si="1"/>
        <v>2031</v>
      </c>
      <c r="BK2" s="1">
        <f t="shared" si="1"/>
        <v>2032</v>
      </c>
      <c r="BL2" s="1">
        <f t="shared" si="1"/>
        <v>2033</v>
      </c>
      <c r="BM2" s="1">
        <f t="shared" si="1"/>
        <v>2034</v>
      </c>
      <c r="BN2" s="1">
        <f t="shared" si="1"/>
        <v>2035</v>
      </c>
      <c r="BO2" s="1">
        <f t="shared" si="1"/>
        <v>2036</v>
      </c>
      <c r="BP2" s="1">
        <f t="shared" si="1"/>
        <v>2037</v>
      </c>
      <c r="BQ2" s="1">
        <f t="shared" si="1"/>
        <v>2038</v>
      </c>
      <c r="BR2" s="1">
        <f t="shared" si="1"/>
        <v>2039</v>
      </c>
      <c r="BS2" s="1">
        <f t="shared" si="1"/>
        <v>2040</v>
      </c>
    </row>
    <row r="3" ht="12.75" customHeight="1">
      <c r="A3" s="3"/>
      <c r="B3" s="3" t="s">
        <v>32</v>
      </c>
      <c r="C3" s="7">
        <v>44124.0</v>
      </c>
      <c r="D3" s="7">
        <v>35812.0</v>
      </c>
      <c r="E3" s="7">
        <v>38653.0</v>
      </c>
      <c r="F3" s="7">
        <v>42638.0</v>
      </c>
      <c r="G3" s="7">
        <v>53670.0</v>
      </c>
      <c r="H3" s="7">
        <v>46127.0</v>
      </c>
      <c r="I3" s="7">
        <v>55436.0</v>
      </c>
      <c r="J3" s="7">
        <v>59373.0</v>
      </c>
      <c r="K3" s="7">
        <v>75346.0</v>
      </c>
      <c r="L3" s="7">
        <v>64366.0</v>
      </c>
      <c r="M3" s="7">
        <v>67550.0</v>
      </c>
      <c r="N3" s="7">
        <v>65557.0</v>
      </c>
      <c r="O3" s="7">
        <v>82360.0</v>
      </c>
      <c r="P3" s="7">
        <v>69244.0</v>
      </c>
      <c r="Q3" s="7">
        <v>74430.0</v>
      </c>
      <c r="R3" s="7">
        <v>78843.0</v>
      </c>
      <c r="S3" s="7">
        <v>93363.0</v>
      </c>
      <c r="T3" s="3">
        <v>76881.0</v>
      </c>
      <c r="U3" s="3">
        <v>82546.0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>
        <v>50834.0</v>
      </c>
      <c r="AT3" s="3">
        <v>63708.0</v>
      </c>
      <c r="AU3" s="3">
        <v>79785.0</v>
      </c>
      <c r="AV3" s="3">
        <v>106110.0</v>
      </c>
      <c r="AW3" s="3">
        <v>141366.0</v>
      </c>
      <c r="AX3" s="3">
        <f>SUM(D3:G3)</f>
        <v>170773</v>
      </c>
      <c r="AY3" s="3">
        <f>SUM(H3:K3)</f>
        <v>236282</v>
      </c>
      <c r="AZ3" s="3">
        <f>SUM(L3:O3)</f>
        <v>279833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</row>
    <row r="4" ht="12.75" customHeight="1">
      <c r="A4" s="3"/>
      <c r="B4" s="3" t="s">
        <v>33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>
        <v>11567.0</v>
      </c>
      <c r="AT4" s="3">
        <v>12483.0</v>
      </c>
      <c r="AU4" s="3">
        <v>13580.0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</row>
    <row r="5" ht="12.75" customHeight="1">
      <c r="A5" s="3"/>
      <c r="B5" s="3" t="s">
        <v>34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38517.0</v>
      </c>
      <c r="AT5" s="3">
        <v>50401.0</v>
      </c>
      <c r="AU5" s="3">
        <v>64887.0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</row>
    <row r="6" ht="12.75" customHeight="1">
      <c r="A6" s="3"/>
      <c r="B6" s="3" t="s">
        <v>35</v>
      </c>
      <c r="C6" s="7">
        <v>41873.0</v>
      </c>
      <c r="D6" s="7">
        <v>16192.0</v>
      </c>
      <c r="E6" s="7">
        <v>16370.0</v>
      </c>
      <c r="F6" s="7">
        <v>18348.0</v>
      </c>
      <c r="G6" s="7">
        <v>23813.0</v>
      </c>
      <c r="H6" s="7">
        <v>19106.0</v>
      </c>
      <c r="I6" s="7">
        <v>22668.0</v>
      </c>
      <c r="J6" s="7">
        <v>25171.0</v>
      </c>
      <c r="K6" s="7">
        <v>37467.0</v>
      </c>
      <c r="L6" s="7">
        <v>30649.0</v>
      </c>
      <c r="M6" s="7">
        <v>30721.0</v>
      </c>
      <c r="N6" s="7">
        <v>29145.0</v>
      </c>
      <c r="O6" s="7">
        <v>37272.0</v>
      </c>
      <c r="P6" s="7">
        <v>28759.0</v>
      </c>
      <c r="Q6" s="7">
        <v>27065.0</v>
      </c>
      <c r="R6" s="7">
        <v>27720.0</v>
      </c>
      <c r="S6" s="7">
        <v>34463.0</v>
      </c>
      <c r="T6" s="3">
        <v>29123.0</v>
      </c>
      <c r="U6" s="3">
        <v>29697.0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33510.0</v>
      </c>
      <c r="AT6" s="3">
        <v>35418.0</v>
      </c>
      <c r="AU6" s="3">
        <v>43983.0</v>
      </c>
      <c r="AV6" s="3">
        <v>103273.0</v>
      </c>
      <c r="AW6" s="3">
        <v>134099.0</v>
      </c>
      <c r="AX6" s="3">
        <f>SUM(D6:G6)</f>
        <v>74723</v>
      </c>
      <c r="AY6" s="3">
        <f>SUM(H6:K6)</f>
        <v>104412</v>
      </c>
      <c r="AZ6" s="3">
        <f>SUM(L6:O6)</f>
        <v>127787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</row>
    <row r="7" ht="12.75" customHeight="1">
      <c r="A7" s="3"/>
      <c r="B7" s="3" t="s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10938.0</v>
      </c>
      <c r="AT7" s="3">
        <v>10026.0</v>
      </c>
      <c r="AU7" s="3">
        <v>10631.0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</row>
    <row r="8" ht="12.75" customHeight="1">
      <c r="A8" s="3"/>
      <c r="B8" s="3" t="s">
        <v>34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22369.0</v>
      </c>
      <c r="AT8" s="3">
        <v>25196.0</v>
      </c>
      <c r="AU8" s="3">
        <v>33107.0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</row>
    <row r="9" ht="12.75" customHeight="1">
      <c r="A9" s="3"/>
      <c r="B9" s="3" t="s">
        <v>36</v>
      </c>
      <c r="C9" s="7">
        <v>7430.0</v>
      </c>
      <c r="D9" s="7">
        <v>7696.0</v>
      </c>
      <c r="E9" s="7">
        <v>8381.0</v>
      </c>
      <c r="F9" s="7">
        <v>8995.0</v>
      </c>
      <c r="G9" s="7">
        <v>9954.0</v>
      </c>
      <c r="H9" s="7">
        <v>10219.0</v>
      </c>
      <c r="I9" s="7">
        <v>10808.0</v>
      </c>
      <c r="J9" s="7">
        <v>11601.0</v>
      </c>
      <c r="K9" s="7">
        <v>12742.0</v>
      </c>
      <c r="L9" s="7">
        <v>13503.0</v>
      </c>
      <c r="M9" s="7">
        <v>14809.0</v>
      </c>
      <c r="N9" s="7">
        <v>16110.0</v>
      </c>
      <c r="O9" s="7">
        <v>17780.0</v>
      </c>
      <c r="P9" s="7">
        <v>18441.0</v>
      </c>
      <c r="Q9" s="7">
        <v>19739.0</v>
      </c>
      <c r="R9" s="7">
        <v>20538.0</v>
      </c>
      <c r="S9" s="7">
        <v>21378.0</v>
      </c>
      <c r="T9" s="7">
        <v>21354.0</v>
      </c>
      <c r="U9" s="7">
        <v>22140.0</v>
      </c>
      <c r="V9" s="7">
        <f t="shared" ref="V9:W9" si="2">+R9*1.2</f>
        <v>24645.6</v>
      </c>
      <c r="W9" s="7">
        <f t="shared" si="2"/>
        <v>25653.6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>
        <v>4644.0</v>
      </c>
      <c r="AT9" s="3">
        <v>7880.0</v>
      </c>
      <c r="AU9" s="3">
        <v>12219.0</v>
      </c>
      <c r="AV9" s="3">
        <v>17459.0</v>
      </c>
      <c r="AW9" s="3">
        <v>25655.0</v>
      </c>
      <c r="AX9" s="3">
        <f>SUM(D9:G9)</f>
        <v>35026</v>
      </c>
      <c r="AY9" s="3">
        <f>SUM(H9:K9)</f>
        <v>45370</v>
      </c>
      <c r="AZ9" s="3">
        <f>SUM(L9:O9)</f>
        <v>62202</v>
      </c>
      <c r="BA9" s="3">
        <f>SUM(P9:S9)</f>
        <v>80096</v>
      </c>
      <c r="BB9" s="3">
        <f>SUM(T9:W9)</f>
        <v>93793.2</v>
      </c>
      <c r="BC9" s="3">
        <f t="shared" ref="BC9:BF9" si="3">+BB9*1.3</f>
        <v>121931.16</v>
      </c>
      <c r="BD9" s="3">
        <f t="shared" si="3"/>
        <v>158510.508</v>
      </c>
      <c r="BE9" s="3">
        <f t="shared" si="3"/>
        <v>206063.6604</v>
      </c>
      <c r="BF9" s="3">
        <f t="shared" si="3"/>
        <v>267882.7585</v>
      </c>
      <c r="BG9" s="3">
        <f t="shared" ref="BG9:BI9" si="4">+BF9*1.2</f>
        <v>321459.3102</v>
      </c>
      <c r="BH9" s="3">
        <f t="shared" si="4"/>
        <v>385751.1723</v>
      </c>
      <c r="BI9" s="3">
        <f t="shared" si="4"/>
        <v>462901.4067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</row>
    <row r="10" ht="12.75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2.75" customHeight="1">
      <c r="A11" s="3"/>
      <c r="B11" s="3" t="s">
        <v>37</v>
      </c>
      <c r="C11" s="7">
        <v>39822.0</v>
      </c>
      <c r="D11" s="7">
        <v>29498.0</v>
      </c>
      <c r="E11" s="7">
        <v>31053.0</v>
      </c>
      <c r="F11" s="7">
        <v>35039.0</v>
      </c>
      <c r="G11" s="7">
        <v>45657.0</v>
      </c>
      <c r="H11" s="7">
        <v>36652.0</v>
      </c>
      <c r="I11" s="7">
        <v>45896.0</v>
      </c>
      <c r="J11" s="7">
        <v>48350.0</v>
      </c>
      <c r="K11" s="7">
        <v>66451.0</v>
      </c>
      <c r="L11" s="7">
        <v>52901.0</v>
      </c>
      <c r="M11" s="7">
        <v>53157.0</v>
      </c>
      <c r="N11" s="7">
        <v>49942.0</v>
      </c>
      <c r="O11" s="7">
        <v>66075.0</v>
      </c>
      <c r="P11" s="7">
        <v>51129.0</v>
      </c>
      <c r="Q11" s="7">
        <v>50855.0</v>
      </c>
      <c r="R11" s="7">
        <v>53489.0</v>
      </c>
      <c r="S11" s="7">
        <v>64531.0</v>
      </c>
      <c r="T11" s="7">
        <v>51096.0</v>
      </c>
      <c r="U11" s="7">
        <f t="shared" ref="U11:W11" si="5">+Q11*1.03</f>
        <v>52380.65</v>
      </c>
      <c r="V11" s="7">
        <f t="shared" si="5"/>
        <v>55093.67</v>
      </c>
      <c r="W11" s="7">
        <f t="shared" si="5"/>
        <v>66466.93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>
        <f>26939+27165+29061+39822</f>
        <v>122987</v>
      </c>
      <c r="AX11" s="3">
        <f t="shared" ref="AX11:AX16" si="8">SUM(D11:G11)</f>
        <v>141247</v>
      </c>
      <c r="AY11" s="3">
        <f t="shared" ref="AY11:AY16" si="9">SUM(H11:K11)</f>
        <v>197349</v>
      </c>
      <c r="AZ11" s="3">
        <f t="shared" ref="AZ11:AZ16" si="10">SUM(L11:O11)</f>
        <v>222075</v>
      </c>
      <c r="BA11" s="3">
        <f t="shared" ref="BA11:BA16" si="11">SUM(P11:S11)</f>
        <v>220004</v>
      </c>
      <c r="BB11" s="3">
        <f t="shared" ref="BB11:BB16" si="12">SUM(T11:W11)</f>
        <v>225037.25</v>
      </c>
      <c r="BC11" s="3">
        <f t="shared" ref="BC11:BI11" si="6">+BB11*1.05</f>
        <v>236289.1125</v>
      </c>
      <c r="BD11" s="3">
        <f t="shared" si="6"/>
        <v>248103.5681</v>
      </c>
      <c r="BE11" s="3">
        <f t="shared" si="6"/>
        <v>260508.7465</v>
      </c>
      <c r="BF11" s="3">
        <f t="shared" si="6"/>
        <v>273534.1839</v>
      </c>
      <c r="BG11" s="3">
        <f t="shared" si="6"/>
        <v>287210.8931</v>
      </c>
      <c r="BH11" s="3">
        <f t="shared" si="6"/>
        <v>301571.4377</v>
      </c>
      <c r="BI11" s="3">
        <f t="shared" si="6"/>
        <v>316650.0096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</row>
    <row r="12" ht="12.75" customHeight="1">
      <c r="A12" s="3"/>
      <c r="B12" s="3" t="s">
        <v>38</v>
      </c>
      <c r="C12" s="7">
        <v>4401.0</v>
      </c>
      <c r="D12" s="7">
        <v>4307.0</v>
      </c>
      <c r="E12" s="7">
        <v>4330.0</v>
      </c>
      <c r="F12" s="7">
        <v>4192.0</v>
      </c>
      <c r="G12" s="7">
        <v>4363.0</v>
      </c>
      <c r="H12" s="7">
        <v>4640.0</v>
      </c>
      <c r="I12" s="7">
        <v>3774.0</v>
      </c>
      <c r="J12" s="7">
        <v>3788.0</v>
      </c>
      <c r="K12" s="7">
        <v>4022.0</v>
      </c>
      <c r="L12" s="7">
        <v>3920.0</v>
      </c>
      <c r="M12" s="7">
        <v>4198.0</v>
      </c>
      <c r="N12" s="7">
        <v>4269.0</v>
      </c>
      <c r="O12" s="7">
        <v>4688.0</v>
      </c>
      <c r="P12" s="7">
        <v>4591.0</v>
      </c>
      <c r="Q12" s="7">
        <v>4721.0</v>
      </c>
      <c r="R12" s="7">
        <v>4694.0</v>
      </c>
      <c r="S12" s="7">
        <v>4957.0</v>
      </c>
      <c r="T12" s="7">
        <v>4895.0</v>
      </c>
      <c r="U12" s="7">
        <f t="shared" ref="U12:W12" si="7">+Q12</f>
        <v>4721</v>
      </c>
      <c r="V12" s="7">
        <f t="shared" si="7"/>
        <v>4694</v>
      </c>
      <c r="W12" s="7">
        <f t="shared" si="7"/>
        <v>4957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>
        <f>4263+4312+4248+4401</f>
        <v>17224</v>
      </c>
      <c r="AX12" s="3">
        <f t="shared" si="8"/>
        <v>17192</v>
      </c>
      <c r="AY12" s="3">
        <f t="shared" si="9"/>
        <v>16224</v>
      </c>
      <c r="AZ12" s="3">
        <f t="shared" si="10"/>
        <v>17075</v>
      </c>
      <c r="BA12" s="3">
        <f t="shared" si="11"/>
        <v>18963</v>
      </c>
      <c r="BB12" s="3">
        <f t="shared" si="12"/>
        <v>19267</v>
      </c>
      <c r="BC12" s="3">
        <f t="shared" ref="BC12:BI12" si="13">+BB12*1.05</f>
        <v>20230.35</v>
      </c>
      <c r="BD12" s="3">
        <f t="shared" si="13"/>
        <v>21241.8675</v>
      </c>
      <c r="BE12" s="3">
        <f t="shared" si="13"/>
        <v>22303.96088</v>
      </c>
      <c r="BF12" s="3">
        <f t="shared" si="13"/>
        <v>23419.15892</v>
      </c>
      <c r="BG12" s="3">
        <f t="shared" si="13"/>
        <v>24590.11686</v>
      </c>
      <c r="BH12" s="3">
        <f t="shared" si="13"/>
        <v>25819.62271</v>
      </c>
      <c r="BI12" s="3">
        <f t="shared" si="13"/>
        <v>27110.60384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</row>
    <row r="13" ht="12.75" customHeight="1">
      <c r="A13" s="3"/>
      <c r="B13" s="3" t="s">
        <v>39</v>
      </c>
      <c r="C13" s="7">
        <v>13383.0</v>
      </c>
      <c r="D13" s="7">
        <v>11141.0</v>
      </c>
      <c r="E13" s="7">
        <v>11962.0</v>
      </c>
      <c r="F13" s="7">
        <v>13212.0</v>
      </c>
      <c r="G13" s="7">
        <v>17446.0</v>
      </c>
      <c r="H13" s="7">
        <v>14479.0</v>
      </c>
      <c r="I13" s="7">
        <v>18195.0</v>
      </c>
      <c r="J13" s="7">
        <v>20436.0</v>
      </c>
      <c r="K13" s="7">
        <v>27327.0</v>
      </c>
      <c r="L13" s="7">
        <v>23709.0</v>
      </c>
      <c r="M13" s="7">
        <v>25085.0</v>
      </c>
      <c r="N13" s="7">
        <v>24252.0</v>
      </c>
      <c r="O13" s="7">
        <v>30320.0</v>
      </c>
      <c r="P13" s="7">
        <v>25335.0</v>
      </c>
      <c r="Q13" s="7">
        <v>27376.0</v>
      </c>
      <c r="R13" s="7">
        <v>28666.0</v>
      </c>
      <c r="S13" s="7">
        <v>36339.0</v>
      </c>
      <c r="T13" s="7">
        <v>29820.0</v>
      </c>
      <c r="U13" s="7">
        <f t="shared" ref="U13:W13" si="14">+Q13*1.03</f>
        <v>28197.28</v>
      </c>
      <c r="V13" s="7">
        <f t="shared" si="14"/>
        <v>29525.98</v>
      </c>
      <c r="W13" s="7">
        <f t="shared" si="14"/>
        <v>37429.17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f>9265+9702+10395+13383</f>
        <v>42745</v>
      </c>
      <c r="AX13" s="3">
        <f t="shared" si="8"/>
        <v>53761</v>
      </c>
      <c r="AY13" s="3">
        <f t="shared" si="9"/>
        <v>80437</v>
      </c>
      <c r="AZ13" s="3">
        <f t="shared" si="10"/>
        <v>103366</v>
      </c>
      <c r="BA13" s="3">
        <f t="shared" si="11"/>
        <v>117716</v>
      </c>
      <c r="BB13" s="3">
        <f t="shared" si="12"/>
        <v>124972.43</v>
      </c>
      <c r="BC13" s="3">
        <f t="shared" ref="BC13:BI13" si="15">+BB13*1.05</f>
        <v>131221.0515</v>
      </c>
      <c r="BD13" s="3">
        <f t="shared" si="15"/>
        <v>137782.1041</v>
      </c>
      <c r="BE13" s="3">
        <f t="shared" si="15"/>
        <v>144671.2093</v>
      </c>
      <c r="BF13" s="3">
        <f t="shared" si="15"/>
        <v>151904.7697</v>
      </c>
      <c r="BG13" s="3">
        <f t="shared" si="15"/>
        <v>159500.0082</v>
      </c>
      <c r="BH13" s="3">
        <f t="shared" si="15"/>
        <v>167475.0086</v>
      </c>
      <c r="BI13" s="3">
        <f t="shared" si="15"/>
        <v>175848.7591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</row>
    <row r="14" ht="12.75" customHeight="1">
      <c r="A14" s="3"/>
      <c r="B14" s="3" t="s">
        <v>40</v>
      </c>
      <c r="C14" s="7">
        <v>3959.0</v>
      </c>
      <c r="D14" s="7">
        <v>4342.0</v>
      </c>
      <c r="E14" s="7">
        <v>4676.0</v>
      </c>
      <c r="F14" s="7">
        <v>4957.0</v>
      </c>
      <c r="G14" s="7">
        <v>5235.0</v>
      </c>
      <c r="H14" s="7">
        <v>5556.0</v>
      </c>
      <c r="I14" s="7">
        <v>6018.0</v>
      </c>
      <c r="J14" s="7">
        <v>6572.0</v>
      </c>
      <c r="K14" s="7">
        <v>7061.0</v>
      </c>
      <c r="L14" s="7">
        <v>7580.0</v>
      </c>
      <c r="M14" s="7">
        <v>7917.0</v>
      </c>
      <c r="N14" s="7">
        <v>8148.0</v>
      </c>
      <c r="O14" s="7">
        <v>8123.0</v>
      </c>
      <c r="P14" s="7">
        <v>8410.0</v>
      </c>
      <c r="Q14" s="7">
        <v>8716.0</v>
      </c>
      <c r="R14" s="7">
        <v>8903.0</v>
      </c>
      <c r="S14" s="7">
        <v>9189.0</v>
      </c>
      <c r="T14" s="7">
        <v>9657.0</v>
      </c>
      <c r="U14" s="7">
        <f t="shared" ref="U14:W14" si="16">+Q14*1.08</f>
        <v>9413.28</v>
      </c>
      <c r="V14" s="7">
        <f t="shared" si="16"/>
        <v>9615.24</v>
      </c>
      <c r="W14" s="7">
        <f t="shared" si="16"/>
        <v>9924.12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f>3102+3408+3698+3959</f>
        <v>14167</v>
      </c>
      <c r="AX14" s="3">
        <f t="shared" si="8"/>
        <v>19210</v>
      </c>
      <c r="AY14" s="3">
        <f t="shared" si="9"/>
        <v>25207</v>
      </c>
      <c r="AZ14" s="3">
        <f t="shared" si="10"/>
        <v>31768</v>
      </c>
      <c r="BA14" s="3">
        <f t="shared" si="11"/>
        <v>35218</v>
      </c>
      <c r="BB14" s="3">
        <f t="shared" si="12"/>
        <v>38609.64</v>
      </c>
      <c r="BC14" s="3">
        <f t="shared" ref="BC14:BF14" si="17">+BB14*1.1</f>
        <v>42470.604</v>
      </c>
      <c r="BD14" s="3">
        <f t="shared" si="17"/>
        <v>46717.6644</v>
      </c>
      <c r="BE14" s="3">
        <f t="shared" si="17"/>
        <v>51389.43084</v>
      </c>
      <c r="BF14" s="3">
        <f t="shared" si="17"/>
        <v>56528.37392</v>
      </c>
      <c r="BG14" s="3">
        <f t="shared" ref="BG14:BI14" si="18">+BF14*1.05</f>
        <v>59354.79262</v>
      </c>
      <c r="BH14" s="3">
        <f t="shared" si="18"/>
        <v>62322.53225</v>
      </c>
      <c r="BI14" s="3">
        <f t="shared" si="18"/>
        <v>65438.65886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</row>
    <row r="15" ht="12.75" customHeight="1">
      <c r="A15" s="3"/>
      <c r="B15" s="3" t="s">
        <v>41</v>
      </c>
      <c r="C15" s="7">
        <v>3388.0</v>
      </c>
      <c r="D15" s="7">
        <v>2716.0</v>
      </c>
      <c r="E15" s="7">
        <v>3002.0</v>
      </c>
      <c r="F15" s="7">
        <v>3586.0</v>
      </c>
      <c r="G15" s="7">
        <v>4782.0</v>
      </c>
      <c r="H15" s="7">
        <v>3906.0</v>
      </c>
      <c r="I15" s="7">
        <v>4221.0</v>
      </c>
      <c r="J15" s="7">
        <v>5398.0</v>
      </c>
      <c r="K15" s="7">
        <v>7350.0</v>
      </c>
      <c r="L15" s="7">
        <v>6381.0</v>
      </c>
      <c r="M15" s="7">
        <v>7451.0</v>
      </c>
      <c r="N15" s="7">
        <v>7612.0</v>
      </c>
      <c r="O15" s="7">
        <v>9716.0</v>
      </c>
      <c r="P15" s="7">
        <v>7877.0</v>
      </c>
      <c r="Q15" s="7">
        <v>8757.0</v>
      </c>
      <c r="R15" s="7">
        <v>9548.0</v>
      </c>
      <c r="S15" s="7">
        <v>11557.0</v>
      </c>
      <c r="T15" s="7">
        <v>9509.0</v>
      </c>
      <c r="U15" s="7">
        <f t="shared" ref="U15:W15" si="19">+Q15*1.1</f>
        <v>9632.7</v>
      </c>
      <c r="V15" s="7">
        <f t="shared" si="19"/>
        <v>10502.8</v>
      </c>
      <c r="W15" s="7">
        <f t="shared" si="19"/>
        <v>12712.7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f>2031+2194+2495+3388</f>
        <v>10108</v>
      </c>
      <c r="AX15" s="3">
        <f t="shared" si="8"/>
        <v>14086</v>
      </c>
      <c r="AY15" s="3">
        <f t="shared" si="9"/>
        <v>20875</v>
      </c>
      <c r="AZ15" s="3">
        <f t="shared" si="10"/>
        <v>31160</v>
      </c>
      <c r="BA15" s="3">
        <f t="shared" si="11"/>
        <v>37739</v>
      </c>
      <c r="BB15" s="3">
        <f t="shared" si="12"/>
        <v>42357.2</v>
      </c>
      <c r="BC15" s="3">
        <f t="shared" ref="BC15:BF15" si="20">+BB15*1.1</f>
        <v>46592.92</v>
      </c>
      <c r="BD15" s="3">
        <f t="shared" si="20"/>
        <v>51252.212</v>
      </c>
      <c r="BE15" s="3">
        <f t="shared" si="20"/>
        <v>56377.4332</v>
      </c>
      <c r="BF15" s="3">
        <f t="shared" si="20"/>
        <v>62015.17652</v>
      </c>
      <c r="BG15" s="3">
        <f t="shared" ref="BG15:BI15" si="21">+BF15*1.05</f>
        <v>65115.93535</v>
      </c>
      <c r="BH15" s="3">
        <f t="shared" si="21"/>
        <v>68371.73211</v>
      </c>
      <c r="BI15" s="3">
        <f t="shared" si="21"/>
        <v>71790.31872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</row>
    <row r="16" ht="12.75" customHeight="1">
      <c r="A16" s="3"/>
      <c r="B16" s="3" t="s">
        <v>42</v>
      </c>
      <c r="C16" s="7"/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602.0</v>
      </c>
      <c r="L16" s="7">
        <v>524.0</v>
      </c>
      <c r="M16" s="7">
        <v>463.0</v>
      </c>
      <c r="N16" s="7">
        <v>479.0</v>
      </c>
      <c r="O16" s="7">
        <v>710.0</v>
      </c>
      <c r="P16" s="7">
        <v>661.0</v>
      </c>
      <c r="Q16" s="7">
        <v>1070.0</v>
      </c>
      <c r="R16" s="7">
        <v>1263.0</v>
      </c>
      <c r="S16" s="7">
        <v>1253.0</v>
      </c>
      <c r="T16" s="7">
        <v>1027.0</v>
      </c>
      <c r="U16" s="7">
        <f t="shared" ref="U16:W16" si="22">+Q16</f>
        <v>1070</v>
      </c>
      <c r="V16" s="7">
        <f t="shared" si="22"/>
        <v>1263</v>
      </c>
      <c r="W16" s="7">
        <f t="shared" si="22"/>
        <v>1253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f t="shared" si="8"/>
        <v>0</v>
      </c>
      <c r="AY16" s="3">
        <f t="shared" si="9"/>
        <v>602</v>
      </c>
      <c r="AZ16" s="3">
        <f t="shared" si="10"/>
        <v>2176</v>
      </c>
      <c r="BA16" s="3">
        <f t="shared" si="11"/>
        <v>4247</v>
      </c>
      <c r="BB16" s="3">
        <f t="shared" si="12"/>
        <v>4613</v>
      </c>
      <c r="BC16" s="3">
        <f t="shared" ref="BC16:BI16" si="23">+BB16*1.05</f>
        <v>4843.65</v>
      </c>
      <c r="BD16" s="3">
        <f t="shared" si="23"/>
        <v>5085.8325</v>
      </c>
      <c r="BE16" s="3">
        <f t="shared" si="23"/>
        <v>5340.124125</v>
      </c>
      <c r="BF16" s="3">
        <f t="shared" si="23"/>
        <v>5607.130331</v>
      </c>
      <c r="BG16" s="3">
        <f t="shared" si="23"/>
        <v>5887.486848</v>
      </c>
      <c r="BH16" s="3">
        <f t="shared" si="23"/>
        <v>6181.86119</v>
      </c>
      <c r="BI16" s="3">
        <f t="shared" si="23"/>
        <v>6490.95425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</row>
    <row r="17" ht="12.75" customHeight="1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BA17" s="3"/>
      <c r="BB17" s="3"/>
    </row>
    <row r="18" ht="12.75" customHeight="1">
      <c r="A18" s="3"/>
      <c r="B18" s="3" t="s">
        <v>43</v>
      </c>
      <c r="C18" s="7">
        <v>44700.0</v>
      </c>
      <c r="D18" s="7">
        <v>34283.0</v>
      </c>
      <c r="E18" s="7">
        <v>35856.0</v>
      </c>
      <c r="F18" s="7">
        <v>39726.0</v>
      </c>
      <c r="G18" s="7">
        <v>50542.0</v>
      </c>
      <c r="H18" s="7">
        <v>41841.0</v>
      </c>
      <c r="I18" s="7">
        <v>50244.0</v>
      </c>
      <c r="J18" s="7">
        <v>52774.0</v>
      </c>
      <c r="K18" s="7">
        <v>71056.0</v>
      </c>
      <c r="L18" s="7">
        <v>57491.0</v>
      </c>
      <c r="M18" s="7">
        <v>58004.0</v>
      </c>
      <c r="N18" s="7">
        <v>54876.0</v>
      </c>
      <c r="O18" s="7">
        <v>71416.0</v>
      </c>
      <c r="P18" s="7">
        <v>56455.0</v>
      </c>
      <c r="Q18" s="7">
        <v>56575.0</v>
      </c>
      <c r="R18" s="7">
        <v>59340.0</v>
      </c>
      <c r="S18" s="7">
        <v>70531.0</v>
      </c>
      <c r="T18" s="3">
        <v>56981.0</v>
      </c>
      <c r="U18" s="3">
        <v>59032.0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>
        <v>118573.0</v>
      </c>
      <c r="AW18" s="3">
        <v>141915.0</v>
      </c>
      <c r="AX18" s="3">
        <f t="shared" ref="AX18:AX19" si="24">SUM(D18:G18)</f>
        <v>160407</v>
      </c>
      <c r="AY18" s="3">
        <f t="shared" ref="AY18:AY19" si="25">SUM(H18:K18)</f>
        <v>215915</v>
      </c>
      <c r="AZ18" s="3">
        <f t="shared" ref="AZ18:AZ19" si="26">SUM(L18:O18)</f>
        <v>241787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</row>
    <row r="19" ht="12.75" customHeight="1">
      <c r="A19" s="3"/>
      <c r="B19" s="3" t="s">
        <v>44</v>
      </c>
      <c r="C19" s="7">
        <v>27683.0</v>
      </c>
      <c r="D19" s="7">
        <v>25417.0</v>
      </c>
      <c r="E19" s="7">
        <v>27548.0</v>
      </c>
      <c r="F19" s="7">
        <v>30255.0</v>
      </c>
      <c r="G19" s="7">
        <v>36895.0</v>
      </c>
      <c r="H19" s="7">
        <v>33611.0</v>
      </c>
      <c r="I19" s="7">
        <v>38668.0</v>
      </c>
      <c r="J19" s="7">
        <v>43371.0</v>
      </c>
      <c r="K19" s="7">
        <v>54499.0</v>
      </c>
      <c r="L19" s="7">
        <v>51027.0</v>
      </c>
      <c r="M19" s="7">
        <v>55076.0</v>
      </c>
      <c r="N19" s="7">
        <v>55936.0</v>
      </c>
      <c r="O19" s="7">
        <v>65996.0</v>
      </c>
      <c r="P19" s="7">
        <v>59989.0</v>
      </c>
      <c r="Q19" s="7">
        <v>64659.0</v>
      </c>
      <c r="R19" s="7">
        <v>67761.0</v>
      </c>
      <c r="S19" s="7">
        <v>78673.0</v>
      </c>
      <c r="T19" s="3">
        <v>70377.0</v>
      </c>
      <c r="U19" s="3">
        <v>75351.0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>
        <v>59293.0</v>
      </c>
      <c r="AW19" s="3">
        <v>90972.0</v>
      </c>
      <c r="AX19" s="3">
        <f t="shared" si="24"/>
        <v>120115</v>
      </c>
      <c r="AY19" s="3">
        <f t="shared" si="25"/>
        <v>170149</v>
      </c>
      <c r="AZ19" s="3">
        <f t="shared" si="26"/>
        <v>228035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</row>
    <row r="20" ht="12.75" customHeight="1">
      <c r="A20" s="8"/>
      <c r="B20" s="8" t="s">
        <v>45</v>
      </c>
      <c r="C20" s="9">
        <f t="shared" ref="C20:Q20" si="27">C18+C19</f>
        <v>72383</v>
      </c>
      <c r="D20" s="9">
        <f t="shared" si="27"/>
        <v>59700</v>
      </c>
      <c r="E20" s="9">
        <f t="shared" si="27"/>
        <v>63404</v>
      </c>
      <c r="F20" s="9">
        <f t="shared" si="27"/>
        <v>69981</v>
      </c>
      <c r="G20" s="9">
        <f t="shared" si="27"/>
        <v>87437</v>
      </c>
      <c r="H20" s="9">
        <f t="shared" si="27"/>
        <v>75452</v>
      </c>
      <c r="I20" s="9">
        <f t="shared" si="27"/>
        <v>88912</v>
      </c>
      <c r="J20" s="9">
        <f t="shared" si="27"/>
        <v>96145</v>
      </c>
      <c r="K20" s="9">
        <f t="shared" si="27"/>
        <v>125555</v>
      </c>
      <c r="L20" s="9">
        <f t="shared" si="27"/>
        <v>108518</v>
      </c>
      <c r="M20" s="9">
        <f t="shared" si="27"/>
        <v>113080</v>
      </c>
      <c r="N20" s="9">
        <f t="shared" si="27"/>
        <v>110812</v>
      </c>
      <c r="O20" s="9">
        <f t="shared" si="27"/>
        <v>137412</v>
      </c>
      <c r="P20" s="9">
        <f t="shared" si="27"/>
        <v>116444</v>
      </c>
      <c r="Q20" s="9">
        <f t="shared" si="27"/>
        <v>121234</v>
      </c>
      <c r="R20" s="9">
        <f>+R18+R19</f>
        <v>127101</v>
      </c>
      <c r="S20" s="9">
        <f>+S19+S18</f>
        <v>149204</v>
      </c>
      <c r="T20" s="9">
        <f>T19+T18</f>
        <v>127358</v>
      </c>
      <c r="U20" s="9">
        <f>+U18+U19</f>
        <v>134383</v>
      </c>
      <c r="V20" s="9">
        <f t="shared" ref="V20:W20" si="28">SUM(V9:V16)</f>
        <v>135340.29</v>
      </c>
      <c r="W20" s="9">
        <f t="shared" si="28"/>
        <v>158396.52</v>
      </c>
      <c r="X20" s="8"/>
      <c r="Y20" s="8"/>
      <c r="Z20" s="8">
        <v>0.511</v>
      </c>
      <c r="AA20" s="8">
        <v>15.746</v>
      </c>
      <c r="AB20" s="8">
        <v>147.787</v>
      </c>
      <c r="AC20" s="8">
        <v>609.819</v>
      </c>
      <c r="AD20" s="8">
        <v>1639.839</v>
      </c>
      <c r="AE20" s="8">
        <v>2761.983</v>
      </c>
      <c r="AF20" s="8">
        <v>3122.433</v>
      </c>
      <c r="AG20" s="8">
        <v>3932.936</v>
      </c>
      <c r="AH20" s="8">
        <v>5263.699</v>
      </c>
      <c r="AI20" s="8">
        <v>6921.0</v>
      </c>
      <c r="AJ20" s="8">
        <v>8490.0</v>
      </c>
      <c r="AK20" s="8">
        <v>10711.0</v>
      </c>
      <c r="AL20" s="8">
        <v>14835.0</v>
      </c>
      <c r="AM20" s="8">
        <v>19166.0</v>
      </c>
      <c r="AN20" s="8">
        <v>24509.0</v>
      </c>
      <c r="AO20" s="8">
        <v>34204.0</v>
      </c>
      <c r="AP20" s="8">
        <v>48077.0</v>
      </c>
      <c r="AQ20" s="8">
        <v>61093.0</v>
      </c>
      <c r="AR20" s="8">
        <v>74452.0</v>
      </c>
      <c r="AS20" s="8">
        <f t="shared" ref="AS20:AU20" si="29">+AS3+AS6+AS9</f>
        <v>88988</v>
      </c>
      <c r="AT20" s="8">
        <f t="shared" si="29"/>
        <v>107006</v>
      </c>
      <c r="AU20" s="8">
        <f t="shared" si="29"/>
        <v>135987</v>
      </c>
      <c r="AV20" s="9">
        <f t="shared" ref="AV20:AZ20" si="30">AV18+AV19</f>
        <v>177866</v>
      </c>
      <c r="AW20" s="9">
        <f t="shared" si="30"/>
        <v>232887</v>
      </c>
      <c r="AX20" s="9">
        <f t="shared" si="30"/>
        <v>280522</v>
      </c>
      <c r="AY20" s="9">
        <f t="shared" si="30"/>
        <v>386064</v>
      </c>
      <c r="AZ20" s="9">
        <f t="shared" si="30"/>
        <v>469822</v>
      </c>
      <c r="BA20" s="8">
        <f t="shared" ref="BA20:BI20" si="31">SUM(BA9:BA16)</f>
        <v>513983</v>
      </c>
      <c r="BB20" s="8">
        <f t="shared" si="31"/>
        <v>548649.72</v>
      </c>
      <c r="BC20" s="8">
        <f t="shared" si="31"/>
        <v>603578.848</v>
      </c>
      <c r="BD20" s="8">
        <f t="shared" si="31"/>
        <v>668693.7566</v>
      </c>
      <c r="BE20" s="8">
        <f t="shared" si="31"/>
        <v>746654.5653</v>
      </c>
      <c r="BF20" s="8">
        <f t="shared" si="31"/>
        <v>840891.5518</v>
      </c>
      <c r="BG20" s="8">
        <f t="shared" si="31"/>
        <v>923118.5432</v>
      </c>
      <c r="BH20" s="8">
        <f t="shared" si="31"/>
        <v>1017493.367</v>
      </c>
      <c r="BI20" s="8">
        <f t="shared" si="31"/>
        <v>1126230.711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</row>
    <row r="21" ht="12.75" customHeight="1">
      <c r="A21" s="3"/>
      <c r="B21" s="3" t="s">
        <v>46</v>
      </c>
      <c r="C21" s="7">
        <v>44786.0</v>
      </c>
      <c r="D21" s="7">
        <v>33920.0</v>
      </c>
      <c r="E21" s="7">
        <v>36337.0</v>
      </c>
      <c r="F21" s="7">
        <v>41302.0</v>
      </c>
      <c r="G21" s="7">
        <v>53977.0</v>
      </c>
      <c r="H21" s="7">
        <v>44257.0</v>
      </c>
      <c r="I21" s="7">
        <v>52660.0</v>
      </c>
      <c r="J21" s="7">
        <v>57106.0</v>
      </c>
      <c r="K21" s="7">
        <v>79284.0</v>
      </c>
      <c r="L21" s="7">
        <v>62403.0</v>
      </c>
      <c r="M21" s="7">
        <v>64176.0</v>
      </c>
      <c r="N21" s="7">
        <v>62930.0</v>
      </c>
      <c r="O21" s="7">
        <v>82835.0</v>
      </c>
      <c r="P21" s="7">
        <v>66499.0</v>
      </c>
      <c r="Q21" s="7">
        <v>66424.0</v>
      </c>
      <c r="R21" s="7">
        <v>70268.0</v>
      </c>
      <c r="S21" s="7">
        <v>85640.0</v>
      </c>
      <c r="T21" s="7">
        <v>67791.0</v>
      </c>
      <c r="U21" s="7">
        <v>69373.0</v>
      </c>
      <c r="V21" s="7">
        <f t="shared" ref="V21:W21" si="32">SUM(V11:V13)*0.68+V9*0.5</f>
        <v>73056.082</v>
      </c>
      <c r="W21" s="7">
        <f t="shared" si="32"/>
        <v>86846.908</v>
      </c>
      <c r="X21" s="3"/>
      <c r="Y21" s="3"/>
      <c r="Z21" s="3"/>
      <c r="AA21" s="3"/>
      <c r="AB21" s="3"/>
      <c r="AC21" s="3"/>
      <c r="AD21" s="3"/>
      <c r="AE21" s="3"/>
      <c r="AF21" s="3">
        <v>2323.875</v>
      </c>
      <c r="AG21" s="3">
        <v>2940.318</v>
      </c>
      <c r="AH21" s="3">
        <v>4006.531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>
        <v>62752.0</v>
      </c>
      <c r="AT21" s="3">
        <v>71651.0</v>
      </c>
      <c r="AU21" s="3">
        <v>88265.0</v>
      </c>
      <c r="AV21" s="3">
        <v>111934.0</v>
      </c>
      <c r="AW21" s="3">
        <v>139156.0</v>
      </c>
      <c r="AX21" s="3">
        <f t="shared" ref="AX21:AX22" si="35">SUM(D21:G21)</f>
        <v>165536</v>
      </c>
      <c r="AY21" s="3">
        <f t="shared" ref="AY21:AY22" si="36">SUM(H21:K21)</f>
        <v>233307</v>
      </c>
      <c r="AZ21" s="3">
        <f t="shared" ref="AZ21:AZ22" si="37">SUM(L21:O21)</f>
        <v>272344</v>
      </c>
      <c r="BA21" s="3">
        <f t="shared" ref="BA21:BA22" si="38">SUM(P21:S21)</f>
        <v>288831</v>
      </c>
      <c r="BB21" s="3">
        <f t="shared" ref="BB21:BB22" si="39">SUM(T21:W21)</f>
        <v>297066.99</v>
      </c>
      <c r="BC21" s="7">
        <f t="shared" ref="BC21:BI21" si="33">SUM(BC11:BC13)*0.8+BC9*0.7</f>
        <v>395544.2232</v>
      </c>
      <c r="BD21" s="7">
        <f t="shared" si="33"/>
        <v>436659.3874</v>
      </c>
      <c r="BE21" s="7">
        <f t="shared" si="33"/>
        <v>486231.6956</v>
      </c>
      <c r="BF21" s="7">
        <f t="shared" si="33"/>
        <v>546604.421</v>
      </c>
      <c r="BG21" s="7">
        <f t="shared" si="33"/>
        <v>602062.3317</v>
      </c>
      <c r="BH21" s="7">
        <f t="shared" si="33"/>
        <v>665918.6758</v>
      </c>
      <c r="BI21" s="7">
        <f t="shared" si="33"/>
        <v>739718.4827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</row>
    <row r="22" ht="12.75" customHeight="1">
      <c r="A22" s="3"/>
      <c r="B22" s="3" t="s">
        <v>47</v>
      </c>
      <c r="C22" s="7">
        <v>10028.0</v>
      </c>
      <c r="D22" s="7">
        <v>8601.0</v>
      </c>
      <c r="E22" s="7">
        <v>9271.0</v>
      </c>
      <c r="F22" s="7">
        <v>10167.0</v>
      </c>
      <c r="G22" s="7">
        <v>12192.0</v>
      </c>
      <c r="H22" s="7">
        <v>11531.0</v>
      </c>
      <c r="I22" s="7">
        <v>13806.0</v>
      </c>
      <c r="J22" s="7">
        <v>14705.0</v>
      </c>
      <c r="K22" s="7">
        <v>18474.0</v>
      </c>
      <c r="L22" s="7">
        <v>16530.0</v>
      </c>
      <c r="M22" s="7">
        <v>17638.0</v>
      </c>
      <c r="N22" s="7">
        <v>18498.0</v>
      </c>
      <c r="O22" s="7">
        <v>22445.0</v>
      </c>
      <c r="P22" s="7">
        <v>20271.0</v>
      </c>
      <c r="Q22" s="7">
        <v>20342.0</v>
      </c>
      <c r="R22" s="7">
        <v>20583.0</v>
      </c>
      <c r="S22" s="7">
        <v>23103.0</v>
      </c>
      <c r="T22" s="7">
        <v>20905.0</v>
      </c>
      <c r="U22" s="7">
        <v>21305.0</v>
      </c>
      <c r="V22" s="7">
        <f t="shared" ref="V22:W22" si="34">(V13+V11)*0.25</f>
        <v>21154.9125</v>
      </c>
      <c r="W22" s="7">
        <f t="shared" si="34"/>
        <v>25974.025</v>
      </c>
      <c r="X22" s="3"/>
      <c r="Y22" s="3"/>
      <c r="Z22" s="3"/>
      <c r="AA22" s="3"/>
      <c r="AB22" s="3"/>
      <c r="AC22" s="3"/>
      <c r="AD22" s="3"/>
      <c r="AE22" s="3"/>
      <c r="AF22" s="3">
        <v>798.558</v>
      </c>
      <c r="AG22" s="3">
        <v>392.467</v>
      </c>
      <c r="AH22" s="3">
        <v>477.032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>
        <v>10766.0</v>
      </c>
      <c r="AT22" s="3">
        <v>13410.0</v>
      </c>
      <c r="AU22" s="3">
        <v>17619.0</v>
      </c>
      <c r="AV22" s="3">
        <v>25249.0</v>
      </c>
      <c r="AW22" s="3">
        <v>34027.0</v>
      </c>
      <c r="AX22" s="3">
        <f t="shared" si="35"/>
        <v>40231</v>
      </c>
      <c r="AY22" s="3">
        <f t="shared" si="36"/>
        <v>58516</v>
      </c>
      <c r="AZ22" s="3">
        <f t="shared" si="37"/>
        <v>75111</v>
      </c>
      <c r="BA22" s="3">
        <f t="shared" si="38"/>
        <v>84299</v>
      </c>
      <c r="BB22" s="3">
        <f t="shared" si="39"/>
        <v>89338.9375</v>
      </c>
      <c r="BC22" s="7">
        <f t="shared" ref="BC22:BI22" si="40">(BC13+BC11)*0.1</f>
        <v>36751.0164</v>
      </c>
      <c r="BD22" s="7">
        <f t="shared" si="40"/>
        <v>38588.56722</v>
      </c>
      <c r="BE22" s="7">
        <f t="shared" si="40"/>
        <v>40517.99558</v>
      </c>
      <c r="BF22" s="7">
        <f t="shared" si="40"/>
        <v>42543.89536</v>
      </c>
      <c r="BG22" s="7">
        <f t="shared" si="40"/>
        <v>44671.09013</v>
      </c>
      <c r="BH22" s="7">
        <f t="shared" si="40"/>
        <v>46904.64463</v>
      </c>
      <c r="BI22" s="7">
        <f t="shared" si="40"/>
        <v>49249.87687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</row>
    <row r="23" ht="12.75" customHeight="1">
      <c r="A23" s="3"/>
      <c r="B23" s="3" t="s">
        <v>48</v>
      </c>
      <c r="C23" s="7">
        <f t="shared" ref="C23:W23" si="41">C20-C21-C22</f>
        <v>17569</v>
      </c>
      <c r="D23" s="7">
        <f t="shared" si="41"/>
        <v>17179</v>
      </c>
      <c r="E23" s="7">
        <f t="shared" si="41"/>
        <v>17796</v>
      </c>
      <c r="F23" s="7">
        <f t="shared" si="41"/>
        <v>18512</v>
      </c>
      <c r="G23" s="7">
        <f t="shared" si="41"/>
        <v>21268</v>
      </c>
      <c r="H23" s="7">
        <f t="shared" si="41"/>
        <v>19664</v>
      </c>
      <c r="I23" s="7">
        <f t="shared" si="41"/>
        <v>22446</v>
      </c>
      <c r="J23" s="7">
        <f t="shared" si="41"/>
        <v>24334</v>
      </c>
      <c r="K23" s="7">
        <f t="shared" si="41"/>
        <v>27797</v>
      </c>
      <c r="L23" s="7">
        <f t="shared" si="41"/>
        <v>29585</v>
      </c>
      <c r="M23" s="7">
        <f t="shared" si="41"/>
        <v>31266</v>
      </c>
      <c r="N23" s="7">
        <f t="shared" si="41"/>
        <v>29384</v>
      </c>
      <c r="O23" s="7">
        <f t="shared" si="41"/>
        <v>32132</v>
      </c>
      <c r="P23" s="7">
        <f t="shared" si="41"/>
        <v>29674</v>
      </c>
      <c r="Q23" s="7">
        <f t="shared" si="41"/>
        <v>34468</v>
      </c>
      <c r="R23" s="7">
        <f t="shared" si="41"/>
        <v>36250</v>
      </c>
      <c r="S23" s="7">
        <f t="shared" si="41"/>
        <v>40461</v>
      </c>
      <c r="T23" s="7">
        <f t="shared" si="41"/>
        <v>38662</v>
      </c>
      <c r="U23" s="7">
        <f t="shared" si="41"/>
        <v>43705</v>
      </c>
      <c r="V23" s="7">
        <f t="shared" si="41"/>
        <v>41129.2955</v>
      </c>
      <c r="W23" s="7">
        <f t="shared" si="41"/>
        <v>45575.587</v>
      </c>
      <c r="X23" s="3"/>
      <c r="Y23" s="3"/>
      <c r="Z23" s="3"/>
      <c r="AA23" s="3"/>
      <c r="AB23" s="3"/>
      <c r="AC23" s="3"/>
      <c r="AD23" s="3"/>
      <c r="AE23" s="3"/>
      <c r="AF23" s="3">
        <f t="shared" ref="AF23:AH23" si="42">AF20-AF21-AF22</f>
        <v>0</v>
      </c>
      <c r="AG23" s="3">
        <f t="shared" si="42"/>
        <v>600.151</v>
      </c>
      <c r="AH23" s="3">
        <f t="shared" si="42"/>
        <v>780.136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7">
        <f t="shared" ref="AS23:BI23" si="43">AS20-AS21-AS22</f>
        <v>15470</v>
      </c>
      <c r="AT23" s="7">
        <f t="shared" si="43"/>
        <v>21945</v>
      </c>
      <c r="AU23" s="7">
        <f t="shared" si="43"/>
        <v>30103</v>
      </c>
      <c r="AV23" s="7">
        <f t="shared" si="43"/>
        <v>40683</v>
      </c>
      <c r="AW23" s="7">
        <f t="shared" si="43"/>
        <v>59704</v>
      </c>
      <c r="AX23" s="7">
        <f t="shared" si="43"/>
        <v>74755</v>
      </c>
      <c r="AY23" s="7">
        <f t="shared" si="43"/>
        <v>94241</v>
      </c>
      <c r="AZ23" s="7">
        <f t="shared" si="43"/>
        <v>122367</v>
      </c>
      <c r="BA23" s="7">
        <f t="shared" si="43"/>
        <v>140853</v>
      </c>
      <c r="BB23" s="7">
        <f t="shared" si="43"/>
        <v>162243.7925</v>
      </c>
      <c r="BC23" s="7">
        <f t="shared" si="43"/>
        <v>171283.6084</v>
      </c>
      <c r="BD23" s="7">
        <f t="shared" si="43"/>
        <v>193445.802</v>
      </c>
      <c r="BE23" s="7">
        <f t="shared" si="43"/>
        <v>219904.874</v>
      </c>
      <c r="BF23" s="7">
        <f t="shared" si="43"/>
        <v>251743.2355</v>
      </c>
      <c r="BG23" s="7">
        <f t="shared" si="43"/>
        <v>276385.1214</v>
      </c>
      <c r="BH23" s="7">
        <f t="shared" si="43"/>
        <v>304670.0464</v>
      </c>
      <c r="BI23" s="7">
        <f t="shared" si="43"/>
        <v>337262.3515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</row>
    <row r="24" ht="12.75" customHeight="1">
      <c r="A24" s="3"/>
      <c r="B24" s="3" t="s">
        <v>49</v>
      </c>
      <c r="C24" s="7">
        <v>7669.0</v>
      </c>
      <c r="D24" s="7">
        <v>7927.0</v>
      </c>
      <c r="E24" s="7">
        <v>9065.0</v>
      </c>
      <c r="F24" s="7">
        <v>9200.0</v>
      </c>
      <c r="G24" s="7">
        <v>9740.0</v>
      </c>
      <c r="H24" s="7">
        <v>9325.0</v>
      </c>
      <c r="I24" s="7">
        <v>10388.0</v>
      </c>
      <c r="J24" s="7">
        <v>10976.0</v>
      </c>
      <c r="K24" s="7">
        <v>12049.0</v>
      </c>
      <c r="L24" s="7">
        <v>12488.0</v>
      </c>
      <c r="M24" s="7">
        <v>13871.0</v>
      </c>
      <c r="N24" s="7">
        <v>14380.0</v>
      </c>
      <c r="O24" s="7">
        <v>15313.0</v>
      </c>
      <c r="P24" s="7">
        <v>14842.0</v>
      </c>
      <c r="Q24" s="7">
        <v>18072.0</v>
      </c>
      <c r="R24" s="7">
        <v>19485.0</v>
      </c>
      <c r="S24" s="7">
        <v>20814.0</v>
      </c>
      <c r="T24" s="7">
        <v>20450.0</v>
      </c>
      <c r="U24" s="7">
        <v>21931.0</v>
      </c>
      <c r="V24" s="7">
        <f t="shared" ref="V24:W24" si="44">+R24*1.1</f>
        <v>21433.5</v>
      </c>
      <c r="W24" s="7">
        <f t="shared" si="44"/>
        <v>22895.4</v>
      </c>
      <c r="X24" s="3"/>
      <c r="Y24" s="3"/>
      <c r="Z24" s="3"/>
      <c r="AA24" s="3"/>
      <c r="AB24" s="3"/>
      <c r="AC24" s="3"/>
      <c r="AD24" s="3"/>
      <c r="AE24" s="3"/>
      <c r="AF24" s="3">
        <v>241.165</v>
      </c>
      <c r="AG24" s="3">
        <v>215.617</v>
      </c>
      <c r="AH24" s="3">
        <v>207.809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9275.0</v>
      </c>
      <c r="AT24" s="3">
        <v>12540.0</v>
      </c>
      <c r="AU24" s="3">
        <v>16085.0</v>
      </c>
      <c r="AV24" s="3">
        <v>22620.0</v>
      </c>
      <c r="AW24" s="3">
        <v>28837.0</v>
      </c>
      <c r="AX24" s="3">
        <f t="shared" ref="AX24:AX26" si="47">SUM(D24:G24)</f>
        <v>35932</v>
      </c>
      <c r="AY24" s="3">
        <f t="shared" ref="AY24:AY26" si="48">SUM(H24:K24)</f>
        <v>42738</v>
      </c>
      <c r="AZ24" s="3">
        <f t="shared" ref="AZ24:AZ26" si="49">SUM(L24:O24)</f>
        <v>56052</v>
      </c>
      <c r="BA24" s="3">
        <f t="shared" ref="BA24:BA26" si="50">SUM(P24:S24)</f>
        <v>73213</v>
      </c>
      <c r="BB24" s="3">
        <f t="shared" ref="BB24:BB26" si="51">SUM(T24:W24)</f>
        <v>86709.9</v>
      </c>
      <c r="BC24" s="3">
        <f t="shared" ref="BC24:BI24" si="45">+BB24*1.03</f>
        <v>89311.197</v>
      </c>
      <c r="BD24" s="3">
        <f t="shared" si="45"/>
        <v>91990.53291</v>
      </c>
      <c r="BE24" s="3">
        <f t="shared" si="45"/>
        <v>94750.2489</v>
      </c>
      <c r="BF24" s="3">
        <f t="shared" si="45"/>
        <v>97592.75636</v>
      </c>
      <c r="BG24" s="3">
        <f t="shared" si="45"/>
        <v>100520.5391</v>
      </c>
      <c r="BH24" s="3">
        <f t="shared" si="45"/>
        <v>103536.1552</v>
      </c>
      <c r="BI24" s="3">
        <f t="shared" si="45"/>
        <v>106642.2399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</row>
    <row r="25" ht="12.75" customHeight="1">
      <c r="A25" s="3"/>
      <c r="B25" s="3" t="s">
        <v>50</v>
      </c>
      <c r="C25" s="7">
        <v>4911.0</v>
      </c>
      <c r="D25" s="7">
        <v>3664.0</v>
      </c>
      <c r="E25" s="7">
        <v>4291.0</v>
      </c>
      <c r="F25" s="7">
        <v>4752.0</v>
      </c>
      <c r="G25" s="7">
        <v>6172.0</v>
      </c>
      <c r="H25" s="7">
        <v>4828.0</v>
      </c>
      <c r="I25" s="7">
        <v>4345.0</v>
      </c>
      <c r="J25" s="7">
        <v>5434.0</v>
      </c>
      <c r="K25" s="7">
        <v>7403.0</v>
      </c>
      <c r="L25" s="7">
        <v>6207.0</v>
      </c>
      <c r="M25" s="7">
        <v>7524.0</v>
      </c>
      <c r="N25" s="7">
        <v>8010.0</v>
      </c>
      <c r="O25" s="7">
        <v>10810.0</v>
      </c>
      <c r="P25" s="7">
        <v>8320.0</v>
      </c>
      <c r="Q25" s="7">
        <v>10086.0</v>
      </c>
      <c r="R25" s="7">
        <v>11014.0</v>
      </c>
      <c r="S25" s="7">
        <v>12818.0</v>
      </c>
      <c r="T25" s="7">
        <v>10172.0</v>
      </c>
      <c r="U25" s="7">
        <v>10745.0</v>
      </c>
      <c r="V25" s="7">
        <f t="shared" ref="V25:W25" si="46">+R25*1.05</f>
        <v>11564.7</v>
      </c>
      <c r="W25" s="7">
        <f t="shared" si="46"/>
        <v>13458.9</v>
      </c>
      <c r="X25" s="3"/>
      <c r="Y25" s="3"/>
      <c r="Z25" s="3"/>
      <c r="AA25" s="3"/>
      <c r="AB25" s="3"/>
      <c r="AC25" s="3"/>
      <c r="AD25" s="3"/>
      <c r="AE25" s="3"/>
      <c r="AF25" s="3">
        <v>138.283</v>
      </c>
      <c r="AG25" s="3">
        <v>125.383</v>
      </c>
      <c r="AH25" s="3">
        <v>122.787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>
        <v>4332.0</v>
      </c>
      <c r="AT25" s="3">
        <v>5254.0</v>
      </c>
      <c r="AU25" s="3">
        <v>7233.0</v>
      </c>
      <c r="AV25" s="3">
        <v>10069.0</v>
      </c>
      <c r="AW25" s="3">
        <v>13814.0</v>
      </c>
      <c r="AX25" s="3">
        <f t="shared" si="47"/>
        <v>18879</v>
      </c>
      <c r="AY25" s="3">
        <f t="shared" si="48"/>
        <v>22010</v>
      </c>
      <c r="AZ25" s="3">
        <f t="shared" si="49"/>
        <v>32551</v>
      </c>
      <c r="BA25" s="3">
        <f t="shared" si="50"/>
        <v>42238</v>
      </c>
      <c r="BB25" s="3">
        <f t="shared" si="51"/>
        <v>45940.6</v>
      </c>
      <c r="BC25" s="3">
        <f t="shared" ref="BC25:BI25" si="52">+BB25*1.03</f>
        <v>47318.818</v>
      </c>
      <c r="BD25" s="3">
        <f t="shared" si="52"/>
        <v>48738.38254</v>
      </c>
      <c r="BE25" s="3">
        <f t="shared" si="52"/>
        <v>50200.53402</v>
      </c>
      <c r="BF25" s="3">
        <f t="shared" si="52"/>
        <v>51706.55004</v>
      </c>
      <c r="BG25" s="3">
        <f t="shared" si="52"/>
        <v>53257.74654</v>
      </c>
      <c r="BH25" s="3">
        <f t="shared" si="52"/>
        <v>54855.47893</v>
      </c>
      <c r="BI25" s="3">
        <f t="shared" si="52"/>
        <v>56501.1433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</row>
    <row r="26" ht="12.75" customHeight="1">
      <c r="B26" s="3" t="s">
        <v>51</v>
      </c>
      <c r="C26" s="7">
        <v>1117.0</v>
      </c>
      <c r="D26" s="7">
        <v>1173.0</v>
      </c>
      <c r="E26" s="7">
        <v>1270.0</v>
      </c>
      <c r="F26" s="7">
        <v>1348.0</v>
      </c>
      <c r="G26" s="7">
        <v>1412.0</v>
      </c>
      <c r="H26" s="7">
        <v>1452.0</v>
      </c>
      <c r="I26" s="7">
        <v>1580.0</v>
      </c>
      <c r="J26" s="7">
        <v>1668.0</v>
      </c>
      <c r="K26" s="7">
        <v>1968.0</v>
      </c>
      <c r="L26" s="7">
        <v>1987.0</v>
      </c>
      <c r="M26" s="7">
        <v>2158.0</v>
      </c>
      <c r="N26" s="7">
        <v>2153.0</v>
      </c>
      <c r="O26" s="7">
        <v>2525.0</v>
      </c>
      <c r="P26" s="7">
        <v>2594.0</v>
      </c>
      <c r="Q26" s="7">
        <v>2903.0</v>
      </c>
      <c r="R26" s="7">
        <v>3061.0</v>
      </c>
      <c r="S26" s="7">
        <v>3333.0</v>
      </c>
      <c r="T26" s="7">
        <v>3043.0</v>
      </c>
      <c r="U26" s="7">
        <v>3202.0</v>
      </c>
      <c r="V26" s="7">
        <f t="shared" ref="V26:W26" si="53">+R26*1.05</f>
        <v>3214.05</v>
      </c>
      <c r="W26" s="7">
        <f t="shared" si="53"/>
        <v>3499.65</v>
      </c>
      <c r="AF26" s="3">
        <v>89.862</v>
      </c>
      <c r="AG26" s="3">
        <v>79.049</v>
      </c>
      <c r="AH26" s="3">
        <v>88.302</v>
      </c>
      <c r="AS26" s="3">
        <v>1552.0</v>
      </c>
      <c r="AT26" s="3">
        <v>1747.0</v>
      </c>
      <c r="AU26" s="3">
        <v>2432.0</v>
      </c>
      <c r="AV26" s="3">
        <v>3674.0</v>
      </c>
      <c r="AW26" s="3">
        <v>4336.0</v>
      </c>
      <c r="AX26" s="3">
        <f t="shared" si="47"/>
        <v>5203</v>
      </c>
      <c r="AY26" s="3">
        <f t="shared" si="48"/>
        <v>6668</v>
      </c>
      <c r="AZ26" s="3">
        <f t="shared" si="49"/>
        <v>8823</v>
      </c>
      <c r="BA26" s="3">
        <f t="shared" si="50"/>
        <v>11891</v>
      </c>
      <c r="BB26" s="3">
        <f t="shared" si="51"/>
        <v>12958.7</v>
      </c>
      <c r="BC26" s="3">
        <f t="shared" ref="BC26:BI26" si="54">+BB26*1.03</f>
        <v>13347.461</v>
      </c>
      <c r="BD26" s="3">
        <f t="shared" si="54"/>
        <v>13747.88483</v>
      </c>
      <c r="BE26" s="3">
        <f t="shared" si="54"/>
        <v>14160.32137</v>
      </c>
      <c r="BF26" s="3">
        <f t="shared" si="54"/>
        <v>14585.13102</v>
      </c>
      <c r="BG26" s="3">
        <f t="shared" si="54"/>
        <v>15022.68495</v>
      </c>
      <c r="BH26" s="3">
        <f t="shared" si="54"/>
        <v>15473.3655</v>
      </c>
      <c r="BI26" s="3">
        <f t="shared" si="54"/>
        <v>15937.56646</v>
      </c>
    </row>
    <row r="27" ht="12.75" customHeight="1">
      <c r="B27" s="3" t="s">
        <v>52</v>
      </c>
      <c r="C27" s="7">
        <f t="shared" ref="C27:W27" si="55">SUM(C24:C26)</f>
        <v>13697</v>
      </c>
      <c r="D27" s="7">
        <f t="shared" si="55"/>
        <v>12764</v>
      </c>
      <c r="E27" s="7">
        <f t="shared" si="55"/>
        <v>14626</v>
      </c>
      <c r="F27" s="7">
        <f t="shared" si="55"/>
        <v>15300</v>
      </c>
      <c r="G27" s="7">
        <f t="shared" si="55"/>
        <v>17324</v>
      </c>
      <c r="H27" s="7">
        <f t="shared" si="55"/>
        <v>15605</v>
      </c>
      <c r="I27" s="7">
        <f t="shared" si="55"/>
        <v>16313</v>
      </c>
      <c r="J27" s="7">
        <f t="shared" si="55"/>
        <v>18078</v>
      </c>
      <c r="K27" s="7">
        <f t="shared" si="55"/>
        <v>21420</v>
      </c>
      <c r="L27" s="7">
        <f t="shared" si="55"/>
        <v>20682</v>
      </c>
      <c r="M27" s="7">
        <f t="shared" si="55"/>
        <v>23553</v>
      </c>
      <c r="N27" s="7">
        <f t="shared" si="55"/>
        <v>24543</v>
      </c>
      <c r="O27" s="7">
        <f t="shared" si="55"/>
        <v>28648</v>
      </c>
      <c r="P27" s="7">
        <f t="shared" si="55"/>
        <v>25756</v>
      </c>
      <c r="Q27" s="7">
        <f t="shared" si="55"/>
        <v>31061</v>
      </c>
      <c r="R27" s="7">
        <f t="shared" si="55"/>
        <v>33560</v>
      </c>
      <c r="S27" s="7">
        <f t="shared" si="55"/>
        <v>36965</v>
      </c>
      <c r="T27" s="7">
        <f t="shared" si="55"/>
        <v>33665</v>
      </c>
      <c r="U27" s="7">
        <f t="shared" si="55"/>
        <v>35878</v>
      </c>
      <c r="V27" s="7">
        <f t="shared" si="55"/>
        <v>36212.25</v>
      </c>
      <c r="W27" s="7">
        <f t="shared" si="55"/>
        <v>39853.95</v>
      </c>
      <c r="AF27" s="3">
        <f t="shared" ref="AF27:AH27" si="56">AF26+AF25+AF24</f>
        <v>469.31</v>
      </c>
      <c r="AG27" s="3">
        <f t="shared" si="56"/>
        <v>420.049</v>
      </c>
      <c r="AH27" s="3">
        <f t="shared" si="56"/>
        <v>418.898</v>
      </c>
      <c r="AS27" s="7">
        <f t="shared" ref="AS27:BI27" si="57">SUM(AS24:AS26)</f>
        <v>15159</v>
      </c>
      <c r="AT27" s="7">
        <f t="shared" si="57"/>
        <v>19541</v>
      </c>
      <c r="AU27" s="7">
        <f t="shared" si="57"/>
        <v>25750</v>
      </c>
      <c r="AV27" s="7">
        <f t="shared" si="57"/>
        <v>36363</v>
      </c>
      <c r="AW27" s="7">
        <f t="shared" si="57"/>
        <v>46987</v>
      </c>
      <c r="AX27" s="7">
        <f t="shared" si="57"/>
        <v>60014</v>
      </c>
      <c r="AY27" s="7">
        <f t="shared" si="57"/>
        <v>71416</v>
      </c>
      <c r="AZ27" s="7">
        <f t="shared" si="57"/>
        <v>97426</v>
      </c>
      <c r="BA27" s="7">
        <f t="shared" si="57"/>
        <v>127342</v>
      </c>
      <c r="BB27" s="7">
        <f t="shared" si="57"/>
        <v>145609.2</v>
      </c>
      <c r="BC27" s="7">
        <f t="shared" si="57"/>
        <v>149977.476</v>
      </c>
      <c r="BD27" s="7">
        <f t="shared" si="57"/>
        <v>154476.8003</v>
      </c>
      <c r="BE27" s="7">
        <f t="shared" si="57"/>
        <v>159111.1043</v>
      </c>
      <c r="BF27" s="7">
        <f t="shared" si="57"/>
        <v>163884.4374</v>
      </c>
      <c r="BG27" s="7">
        <f t="shared" si="57"/>
        <v>168800.9705</v>
      </c>
      <c r="BH27" s="7">
        <f t="shared" si="57"/>
        <v>173864.9997</v>
      </c>
      <c r="BI27" s="7">
        <f t="shared" si="57"/>
        <v>179080.9496</v>
      </c>
    </row>
    <row r="28" ht="12.75" customHeight="1">
      <c r="B28" s="3" t="s">
        <v>53</v>
      </c>
      <c r="C28" s="7">
        <f t="shared" ref="C28:W28" si="58">C23-C27</f>
        <v>3872</v>
      </c>
      <c r="D28" s="7">
        <f t="shared" si="58"/>
        <v>4415</v>
      </c>
      <c r="E28" s="7">
        <f t="shared" si="58"/>
        <v>3170</v>
      </c>
      <c r="F28" s="7">
        <f t="shared" si="58"/>
        <v>3212</v>
      </c>
      <c r="G28" s="7">
        <f t="shared" si="58"/>
        <v>3944</v>
      </c>
      <c r="H28" s="7">
        <f t="shared" si="58"/>
        <v>4059</v>
      </c>
      <c r="I28" s="7">
        <f t="shared" si="58"/>
        <v>6133</v>
      </c>
      <c r="J28" s="7">
        <f t="shared" si="58"/>
        <v>6256</v>
      </c>
      <c r="K28" s="7">
        <f t="shared" si="58"/>
        <v>6377</v>
      </c>
      <c r="L28" s="7">
        <f t="shared" si="58"/>
        <v>8903</v>
      </c>
      <c r="M28" s="7">
        <f t="shared" si="58"/>
        <v>7713</v>
      </c>
      <c r="N28" s="7">
        <f t="shared" si="58"/>
        <v>4841</v>
      </c>
      <c r="O28" s="7">
        <f t="shared" si="58"/>
        <v>3484</v>
      </c>
      <c r="P28" s="7">
        <f t="shared" si="58"/>
        <v>3918</v>
      </c>
      <c r="Q28" s="7">
        <f t="shared" si="58"/>
        <v>3407</v>
      </c>
      <c r="R28" s="7">
        <f t="shared" si="58"/>
        <v>2690</v>
      </c>
      <c r="S28" s="7">
        <f t="shared" si="58"/>
        <v>3496</v>
      </c>
      <c r="T28" s="7">
        <f t="shared" si="58"/>
        <v>4997</v>
      </c>
      <c r="U28" s="7">
        <f t="shared" si="58"/>
        <v>7827</v>
      </c>
      <c r="V28" s="7">
        <f t="shared" si="58"/>
        <v>4917.0455</v>
      </c>
      <c r="W28" s="7">
        <f t="shared" si="58"/>
        <v>5721.637</v>
      </c>
      <c r="AF28" s="3">
        <f t="shared" ref="AF28:AH28" si="59">AF23-AF27</f>
        <v>-469.31</v>
      </c>
      <c r="AG28" s="3">
        <f t="shared" si="59"/>
        <v>180.102</v>
      </c>
      <c r="AH28" s="3">
        <f t="shared" si="59"/>
        <v>361.238</v>
      </c>
      <c r="AS28" s="7">
        <f t="shared" ref="AS28:BI28" si="60">AS23-AS27</f>
        <v>311</v>
      </c>
      <c r="AT28" s="7">
        <f t="shared" si="60"/>
        <v>2404</v>
      </c>
      <c r="AU28" s="7">
        <f t="shared" si="60"/>
        <v>4353</v>
      </c>
      <c r="AV28" s="7">
        <f t="shared" si="60"/>
        <v>4320</v>
      </c>
      <c r="AW28" s="7">
        <f t="shared" si="60"/>
        <v>12717</v>
      </c>
      <c r="AX28" s="7">
        <f t="shared" si="60"/>
        <v>14741</v>
      </c>
      <c r="AY28" s="7">
        <f t="shared" si="60"/>
        <v>22825</v>
      </c>
      <c r="AZ28" s="7">
        <f t="shared" si="60"/>
        <v>24941</v>
      </c>
      <c r="BA28" s="7">
        <f t="shared" si="60"/>
        <v>13511</v>
      </c>
      <c r="BB28" s="7">
        <f t="shared" si="60"/>
        <v>16634.5925</v>
      </c>
      <c r="BC28" s="7">
        <f t="shared" si="60"/>
        <v>21306.1324</v>
      </c>
      <c r="BD28" s="7">
        <f t="shared" si="60"/>
        <v>38969.00174</v>
      </c>
      <c r="BE28" s="7">
        <f t="shared" si="60"/>
        <v>60793.76975</v>
      </c>
      <c r="BF28" s="7">
        <f t="shared" si="60"/>
        <v>87858.79806</v>
      </c>
      <c r="BG28" s="7">
        <f t="shared" si="60"/>
        <v>107584.1508</v>
      </c>
      <c r="BH28" s="7">
        <f t="shared" si="60"/>
        <v>130805.0468</v>
      </c>
      <c r="BI28" s="7">
        <f t="shared" si="60"/>
        <v>158181.4018</v>
      </c>
    </row>
    <row r="29" ht="12.75" customHeight="1">
      <c r="A29" s="3"/>
      <c r="B29" s="3" t="s">
        <v>54</v>
      </c>
      <c r="C29" s="7">
        <f>-86+150-387-199</f>
        <v>-522</v>
      </c>
      <c r="D29" s="7">
        <f>5+183-366+164</f>
        <v>-14</v>
      </c>
      <c r="E29" s="7">
        <f>-86+215-383-27</f>
        <v>-281</v>
      </c>
      <c r="F29" s="7">
        <f>-55+224-396-353</f>
        <v>-580</v>
      </c>
      <c r="G29" s="7">
        <f>-65+211-455+418</f>
        <v>109</v>
      </c>
      <c r="H29" s="7">
        <f>-70+202-402-406</f>
        <v>-676</v>
      </c>
      <c r="I29" s="7">
        <f>-290+135-403+646</f>
        <v>88</v>
      </c>
      <c r="J29" s="7">
        <f>-62+118-428+925</f>
        <v>553</v>
      </c>
      <c r="K29" s="7">
        <f>496+100-414+1206</f>
        <v>1388</v>
      </c>
      <c r="L29" s="7">
        <f>-38+105-399+1697</f>
        <v>1365</v>
      </c>
      <c r="M29" s="7">
        <f>-11+106-435+1261</f>
        <v>921</v>
      </c>
      <c r="N29" s="7">
        <f>11+119-493-163</f>
        <v>-526</v>
      </c>
      <c r="O29" s="7">
        <f>-24+118-482+11838</f>
        <v>11450</v>
      </c>
      <c r="P29" s="7">
        <f>-249+108-472-8570</f>
        <v>-9183</v>
      </c>
      <c r="Q29" s="7">
        <f>159-584</f>
        <v>-425</v>
      </c>
      <c r="R29" s="7">
        <f>-165+277-617+759</f>
        <v>254</v>
      </c>
      <c r="S29" s="7">
        <f>445-694</f>
        <v>-249</v>
      </c>
      <c r="T29" s="3">
        <f>-223+611-823-443</f>
        <v>-878</v>
      </c>
      <c r="U29" s="3">
        <f>-146+661-840+61</f>
        <v>-264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>
        <f>29.103-139.232</f>
        <v>-110.129</v>
      </c>
      <c r="AG29" s="3">
        <f>23.687-142.925</f>
        <v>-119.238</v>
      </c>
      <c r="AH29" s="3">
        <f>21.955-129.979</f>
        <v>-108.024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f>-133+39-210-118</f>
        <v>-422</v>
      </c>
      <c r="AT29" s="3">
        <f>-171+50-459-256</f>
        <v>-836</v>
      </c>
      <c r="AU29" s="3">
        <f>-167+100-484+90</f>
        <v>-461</v>
      </c>
      <c r="AV29" s="3">
        <f>-214+202-848+346</f>
        <v>-514</v>
      </c>
      <c r="AW29" s="3">
        <f>-296+440-1417-183</f>
        <v>-1456</v>
      </c>
      <c r="AX29" s="3">
        <f>SUM(D29:G29)</f>
        <v>-766</v>
      </c>
      <c r="AY29" s="3">
        <f>SUM(H29:K29)</f>
        <v>1353</v>
      </c>
      <c r="AZ29" s="3">
        <f>SUM(L29:O29)</f>
        <v>13210</v>
      </c>
      <c r="BA29" s="3">
        <f>SUM(P29:S29)</f>
        <v>-9603</v>
      </c>
      <c r="BB29" s="3">
        <f>SUM(T29:W29)</f>
        <v>-1142</v>
      </c>
      <c r="BC29" s="3">
        <f t="shared" ref="BC29:BI29" si="61">+BB46*$BL$45</f>
        <v>99.20880125</v>
      </c>
      <c r="BD29" s="3">
        <f t="shared" si="61"/>
        <v>281.1542015</v>
      </c>
      <c r="BE29" s="3">
        <f t="shared" si="61"/>
        <v>614.780527</v>
      </c>
      <c r="BF29" s="3">
        <f t="shared" si="61"/>
        <v>1136.753204</v>
      </c>
      <c r="BG29" s="3">
        <f t="shared" si="61"/>
        <v>1893.21539</v>
      </c>
      <c r="BH29" s="3">
        <f t="shared" si="61"/>
        <v>2823.773003</v>
      </c>
      <c r="BI29" s="3">
        <f t="shared" si="61"/>
        <v>3959.617971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</row>
    <row r="30" ht="12.75" customHeight="1">
      <c r="A30" s="3"/>
      <c r="B30" s="3" t="s">
        <v>55</v>
      </c>
      <c r="C30" s="7">
        <f t="shared" ref="C30:W30" si="62">C28+C29</f>
        <v>3350</v>
      </c>
      <c r="D30" s="7">
        <f t="shared" si="62"/>
        <v>4401</v>
      </c>
      <c r="E30" s="7">
        <f t="shared" si="62"/>
        <v>2889</v>
      </c>
      <c r="F30" s="7">
        <f t="shared" si="62"/>
        <v>2632</v>
      </c>
      <c r="G30" s="7">
        <f t="shared" si="62"/>
        <v>4053</v>
      </c>
      <c r="H30" s="7">
        <f t="shared" si="62"/>
        <v>3383</v>
      </c>
      <c r="I30" s="7">
        <f t="shared" si="62"/>
        <v>6221</v>
      </c>
      <c r="J30" s="7">
        <f t="shared" si="62"/>
        <v>6809</v>
      </c>
      <c r="K30" s="7">
        <f t="shared" si="62"/>
        <v>7765</v>
      </c>
      <c r="L30" s="7">
        <f t="shared" si="62"/>
        <v>10268</v>
      </c>
      <c r="M30" s="7">
        <f t="shared" si="62"/>
        <v>8634</v>
      </c>
      <c r="N30" s="7">
        <f t="shared" si="62"/>
        <v>4315</v>
      </c>
      <c r="O30" s="7">
        <f t="shared" si="62"/>
        <v>14934</v>
      </c>
      <c r="P30" s="7">
        <f t="shared" si="62"/>
        <v>-5265</v>
      </c>
      <c r="Q30" s="7">
        <f t="shared" si="62"/>
        <v>2982</v>
      </c>
      <c r="R30" s="7">
        <f t="shared" si="62"/>
        <v>2944</v>
      </c>
      <c r="S30" s="7">
        <f t="shared" si="62"/>
        <v>3247</v>
      </c>
      <c r="T30" s="7">
        <f t="shared" si="62"/>
        <v>4119</v>
      </c>
      <c r="U30" s="7">
        <f t="shared" si="62"/>
        <v>7563</v>
      </c>
      <c r="V30" s="7">
        <f t="shared" si="62"/>
        <v>4917.0455</v>
      </c>
      <c r="W30" s="7">
        <f t="shared" si="62"/>
        <v>5721.637</v>
      </c>
      <c r="X30" s="3"/>
      <c r="Y30" s="3"/>
      <c r="Z30" s="3"/>
      <c r="AA30" s="3"/>
      <c r="AB30" s="3"/>
      <c r="AC30" s="3"/>
      <c r="AD30" s="3"/>
      <c r="AE30" s="3"/>
      <c r="AF30" s="3">
        <f t="shared" ref="AF30:AH30" si="63">AF28+AF29</f>
        <v>-579.439</v>
      </c>
      <c r="AG30" s="3">
        <f t="shared" si="63"/>
        <v>60.864</v>
      </c>
      <c r="AH30" s="3">
        <f t="shared" si="63"/>
        <v>253.214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7">
        <f t="shared" ref="AS30:BI30" si="64">AS28+AS29</f>
        <v>-111</v>
      </c>
      <c r="AT30" s="7">
        <f t="shared" si="64"/>
        <v>1568</v>
      </c>
      <c r="AU30" s="7">
        <f t="shared" si="64"/>
        <v>3892</v>
      </c>
      <c r="AV30" s="7">
        <f t="shared" si="64"/>
        <v>3806</v>
      </c>
      <c r="AW30" s="7">
        <f t="shared" si="64"/>
        <v>11261</v>
      </c>
      <c r="AX30" s="7">
        <f t="shared" si="64"/>
        <v>13975</v>
      </c>
      <c r="AY30" s="7">
        <f t="shared" si="64"/>
        <v>24178</v>
      </c>
      <c r="AZ30" s="7">
        <f t="shared" si="64"/>
        <v>38151</v>
      </c>
      <c r="BA30" s="7">
        <f t="shared" si="64"/>
        <v>3908</v>
      </c>
      <c r="BB30" s="7">
        <f t="shared" si="64"/>
        <v>15492.5925</v>
      </c>
      <c r="BC30" s="7">
        <f t="shared" si="64"/>
        <v>21405.3412</v>
      </c>
      <c r="BD30" s="7">
        <f t="shared" si="64"/>
        <v>39250.15594</v>
      </c>
      <c r="BE30" s="7">
        <f t="shared" si="64"/>
        <v>61408.55028</v>
      </c>
      <c r="BF30" s="7">
        <f t="shared" si="64"/>
        <v>88995.55126</v>
      </c>
      <c r="BG30" s="7">
        <f t="shared" si="64"/>
        <v>109477.3662</v>
      </c>
      <c r="BH30" s="7">
        <f t="shared" si="64"/>
        <v>133628.8198</v>
      </c>
      <c r="BI30" s="7">
        <f t="shared" si="64"/>
        <v>162141.0198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</row>
    <row r="31" ht="12.75" customHeight="1">
      <c r="A31" s="3"/>
      <c r="B31" s="3" t="s">
        <v>56</v>
      </c>
      <c r="C31" s="7">
        <f>327-4</f>
        <v>323</v>
      </c>
      <c r="D31" s="7">
        <f>836+4</f>
        <v>840</v>
      </c>
      <c r="E31" s="7">
        <f>257+7</f>
        <v>264</v>
      </c>
      <c r="F31" s="7">
        <f>494+4</f>
        <v>498</v>
      </c>
      <c r="G31" s="7">
        <f>786-1</f>
        <v>785</v>
      </c>
      <c r="H31" s="7">
        <f>744+104</f>
        <v>848</v>
      </c>
      <c r="I31" s="7">
        <f>984-6</f>
        <v>978</v>
      </c>
      <c r="J31" s="7">
        <f>569-91</f>
        <v>478</v>
      </c>
      <c r="K31" s="7">
        <f>566-23</f>
        <v>543</v>
      </c>
      <c r="L31" s="7">
        <f>2156+5</f>
        <v>2161</v>
      </c>
      <c r="M31" s="7">
        <f>868-12</f>
        <v>856</v>
      </c>
      <c r="N31" s="7">
        <f>1155+4</f>
        <v>1159</v>
      </c>
      <c r="O31" s="7">
        <f>612-1</f>
        <v>611</v>
      </c>
      <c r="P31" s="7">
        <f>-1422+1</f>
        <v>-1421</v>
      </c>
      <c r="Q31" s="7">
        <v>0.0</v>
      </c>
      <c r="R31" s="7">
        <f>69+3</f>
        <v>72</v>
      </c>
      <c r="S31" s="7">
        <v>0.0</v>
      </c>
      <c r="T31" s="7">
        <f>948-1</f>
        <v>947</v>
      </c>
      <c r="U31" s="7">
        <f>804+9</f>
        <v>813</v>
      </c>
      <c r="V31" s="7">
        <f t="shared" ref="V31:W31" si="65">+V30*0.15</f>
        <v>737.556825</v>
      </c>
      <c r="W31" s="7">
        <f t="shared" si="65"/>
        <v>858.24555</v>
      </c>
      <c r="X31" s="3"/>
      <c r="Y31" s="3"/>
      <c r="Z31" s="3"/>
      <c r="AA31" s="3"/>
      <c r="AB31" s="3"/>
      <c r="AC31" s="3"/>
      <c r="AD31" s="3"/>
      <c r="AE31" s="3"/>
      <c r="AF31" s="3">
        <v>0.0</v>
      </c>
      <c r="AG31" s="3">
        <v>0.0</v>
      </c>
      <c r="AH31" s="3">
        <v>0.0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f>167-37</f>
        <v>130</v>
      </c>
      <c r="AT31" s="3">
        <f>950+22</f>
        <v>972</v>
      </c>
      <c r="AU31" s="3">
        <f>1425+96</f>
        <v>1521</v>
      </c>
      <c r="AV31" s="3">
        <f>769+4</f>
        <v>773</v>
      </c>
      <c r="AW31" s="3">
        <f>1197-9</f>
        <v>1188</v>
      </c>
      <c r="AX31" s="3">
        <f>SUM(D31:G31)</f>
        <v>2387</v>
      </c>
      <c r="AY31" s="3">
        <f>SUM(H31:K31)</f>
        <v>2847</v>
      </c>
      <c r="AZ31" s="3">
        <f>SUM(L31:O31)</f>
        <v>4787</v>
      </c>
      <c r="BA31" s="3">
        <f>SUM(P31:S31)</f>
        <v>-1349</v>
      </c>
      <c r="BB31" s="3">
        <f>SUM(T31:W31)</f>
        <v>3355.802375</v>
      </c>
      <c r="BC31" s="3">
        <f t="shared" ref="BC31:BI31" si="66">+BC30*0.15</f>
        <v>3210.80118</v>
      </c>
      <c r="BD31" s="3">
        <f t="shared" si="66"/>
        <v>5887.523391</v>
      </c>
      <c r="BE31" s="3">
        <f t="shared" si="66"/>
        <v>9211.282542</v>
      </c>
      <c r="BF31" s="3">
        <f t="shared" si="66"/>
        <v>13349.33269</v>
      </c>
      <c r="BG31" s="3">
        <f t="shared" si="66"/>
        <v>16421.60493</v>
      </c>
      <c r="BH31" s="3">
        <f t="shared" si="66"/>
        <v>20044.32296</v>
      </c>
      <c r="BI31" s="3">
        <f t="shared" si="66"/>
        <v>24321.15297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</row>
    <row r="32" ht="12.75" customHeight="1">
      <c r="A32" s="3"/>
      <c r="B32" s="3" t="s">
        <v>57</v>
      </c>
      <c r="C32" s="7">
        <f t="shared" ref="C32:W32" si="67">C30-C31</f>
        <v>3027</v>
      </c>
      <c r="D32" s="7">
        <f t="shared" si="67"/>
        <v>3561</v>
      </c>
      <c r="E32" s="7">
        <f t="shared" si="67"/>
        <v>2625</v>
      </c>
      <c r="F32" s="7">
        <f t="shared" si="67"/>
        <v>2134</v>
      </c>
      <c r="G32" s="7">
        <f t="shared" si="67"/>
        <v>3268</v>
      </c>
      <c r="H32" s="7">
        <f t="shared" si="67"/>
        <v>2535</v>
      </c>
      <c r="I32" s="7">
        <f t="shared" si="67"/>
        <v>5243</v>
      </c>
      <c r="J32" s="7">
        <f t="shared" si="67"/>
        <v>6331</v>
      </c>
      <c r="K32" s="7">
        <f t="shared" si="67"/>
        <v>7222</v>
      </c>
      <c r="L32" s="7">
        <f t="shared" si="67"/>
        <v>8107</v>
      </c>
      <c r="M32" s="7">
        <f t="shared" si="67"/>
        <v>7778</v>
      </c>
      <c r="N32" s="7">
        <f t="shared" si="67"/>
        <v>3156</v>
      </c>
      <c r="O32" s="7">
        <f t="shared" si="67"/>
        <v>14323</v>
      </c>
      <c r="P32" s="7">
        <f t="shared" si="67"/>
        <v>-3844</v>
      </c>
      <c r="Q32" s="7">
        <f t="shared" si="67"/>
        <v>2982</v>
      </c>
      <c r="R32" s="7">
        <f t="shared" si="67"/>
        <v>2872</v>
      </c>
      <c r="S32" s="7">
        <f t="shared" si="67"/>
        <v>3247</v>
      </c>
      <c r="T32" s="7">
        <f t="shared" si="67"/>
        <v>3172</v>
      </c>
      <c r="U32" s="7">
        <f t="shared" si="67"/>
        <v>6750</v>
      </c>
      <c r="V32" s="7">
        <f t="shared" si="67"/>
        <v>4179.488675</v>
      </c>
      <c r="W32" s="7">
        <f t="shared" si="67"/>
        <v>4863.39145</v>
      </c>
      <c r="X32" s="3"/>
      <c r="Y32" s="3"/>
      <c r="Z32" s="3"/>
      <c r="AA32" s="3"/>
      <c r="AB32" s="3"/>
      <c r="AC32" s="3"/>
      <c r="AD32" s="3"/>
      <c r="AE32" s="3"/>
      <c r="AF32" s="3">
        <f t="shared" ref="AF32:AH32" si="68">AF30-AF31</f>
        <v>-579.439</v>
      </c>
      <c r="AG32" s="3">
        <f t="shared" si="68"/>
        <v>60.864</v>
      </c>
      <c r="AH32" s="3">
        <f t="shared" si="68"/>
        <v>253.214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7">
        <f t="shared" ref="AS32:BI32" si="69">AS30-AS31</f>
        <v>-241</v>
      </c>
      <c r="AT32" s="7">
        <f t="shared" si="69"/>
        <v>596</v>
      </c>
      <c r="AU32" s="7">
        <f t="shared" si="69"/>
        <v>2371</v>
      </c>
      <c r="AV32" s="7">
        <f t="shared" si="69"/>
        <v>3033</v>
      </c>
      <c r="AW32" s="7">
        <f t="shared" si="69"/>
        <v>10073</v>
      </c>
      <c r="AX32" s="7">
        <f t="shared" si="69"/>
        <v>11588</v>
      </c>
      <c r="AY32" s="7">
        <f t="shared" si="69"/>
        <v>21331</v>
      </c>
      <c r="AZ32" s="7">
        <f t="shared" si="69"/>
        <v>33364</v>
      </c>
      <c r="BA32" s="7">
        <f t="shared" si="69"/>
        <v>5257</v>
      </c>
      <c r="BB32" s="7">
        <f t="shared" si="69"/>
        <v>12136.79013</v>
      </c>
      <c r="BC32" s="7">
        <f t="shared" si="69"/>
        <v>18194.54002</v>
      </c>
      <c r="BD32" s="7">
        <f t="shared" si="69"/>
        <v>33362.63255</v>
      </c>
      <c r="BE32" s="7">
        <f t="shared" si="69"/>
        <v>52197.26774</v>
      </c>
      <c r="BF32" s="7">
        <f t="shared" si="69"/>
        <v>75646.21857</v>
      </c>
      <c r="BG32" s="7">
        <f t="shared" si="69"/>
        <v>93055.7613</v>
      </c>
      <c r="BH32" s="7">
        <f t="shared" si="69"/>
        <v>113584.4968</v>
      </c>
      <c r="BI32" s="7">
        <f t="shared" si="69"/>
        <v>137819.8668</v>
      </c>
      <c r="BJ32" s="3">
        <f t="shared" ref="BJ32:DS32" si="70">+BI32*(1+$BL$46)</f>
        <v>137819.8668</v>
      </c>
      <c r="BK32" s="3">
        <f t="shared" si="70"/>
        <v>137819.8668</v>
      </c>
      <c r="BL32" s="3">
        <f t="shared" si="70"/>
        <v>137819.8668</v>
      </c>
      <c r="BM32" s="3">
        <f t="shared" si="70"/>
        <v>137819.8668</v>
      </c>
      <c r="BN32" s="3">
        <f t="shared" si="70"/>
        <v>137819.8668</v>
      </c>
      <c r="BO32" s="3">
        <f t="shared" si="70"/>
        <v>137819.8668</v>
      </c>
      <c r="BP32" s="3">
        <f t="shared" si="70"/>
        <v>137819.8668</v>
      </c>
      <c r="BQ32" s="3">
        <f t="shared" si="70"/>
        <v>137819.8668</v>
      </c>
      <c r="BR32" s="3">
        <f t="shared" si="70"/>
        <v>137819.8668</v>
      </c>
      <c r="BS32" s="3">
        <f t="shared" si="70"/>
        <v>137819.8668</v>
      </c>
      <c r="BT32" s="3">
        <f t="shared" si="70"/>
        <v>137819.8668</v>
      </c>
      <c r="BU32" s="3">
        <f t="shared" si="70"/>
        <v>137819.8668</v>
      </c>
      <c r="BV32" s="3">
        <f t="shared" si="70"/>
        <v>137819.8668</v>
      </c>
      <c r="BW32" s="3">
        <f t="shared" si="70"/>
        <v>137819.8668</v>
      </c>
      <c r="BX32" s="3">
        <f t="shared" si="70"/>
        <v>137819.8668</v>
      </c>
      <c r="BY32" s="3">
        <f t="shared" si="70"/>
        <v>137819.8668</v>
      </c>
      <c r="BZ32" s="3">
        <f t="shared" si="70"/>
        <v>137819.8668</v>
      </c>
      <c r="CA32" s="3">
        <f t="shared" si="70"/>
        <v>137819.8668</v>
      </c>
      <c r="CB32" s="3">
        <f t="shared" si="70"/>
        <v>137819.8668</v>
      </c>
      <c r="CC32" s="3">
        <f t="shared" si="70"/>
        <v>137819.8668</v>
      </c>
      <c r="CD32" s="3">
        <f t="shared" si="70"/>
        <v>137819.8668</v>
      </c>
      <c r="CE32" s="3">
        <f t="shared" si="70"/>
        <v>137819.8668</v>
      </c>
      <c r="CF32" s="3">
        <f t="shared" si="70"/>
        <v>137819.8668</v>
      </c>
      <c r="CG32" s="3">
        <f t="shared" si="70"/>
        <v>137819.8668</v>
      </c>
      <c r="CH32" s="3">
        <f t="shared" si="70"/>
        <v>137819.8668</v>
      </c>
      <c r="CI32" s="3">
        <f t="shared" si="70"/>
        <v>137819.8668</v>
      </c>
      <c r="CJ32" s="3">
        <f t="shared" si="70"/>
        <v>137819.8668</v>
      </c>
      <c r="CK32" s="3">
        <f t="shared" si="70"/>
        <v>137819.8668</v>
      </c>
      <c r="CL32" s="3">
        <f t="shared" si="70"/>
        <v>137819.8668</v>
      </c>
      <c r="CM32" s="3">
        <f t="shared" si="70"/>
        <v>137819.8668</v>
      </c>
      <c r="CN32" s="3">
        <f t="shared" si="70"/>
        <v>137819.8668</v>
      </c>
      <c r="CO32" s="3">
        <f t="shared" si="70"/>
        <v>137819.8668</v>
      </c>
      <c r="CP32" s="3">
        <f t="shared" si="70"/>
        <v>137819.8668</v>
      </c>
      <c r="CQ32" s="3">
        <f t="shared" si="70"/>
        <v>137819.8668</v>
      </c>
      <c r="CR32" s="3">
        <f t="shared" si="70"/>
        <v>137819.8668</v>
      </c>
      <c r="CS32" s="3">
        <f t="shared" si="70"/>
        <v>137819.8668</v>
      </c>
      <c r="CT32" s="3">
        <f t="shared" si="70"/>
        <v>137819.8668</v>
      </c>
      <c r="CU32" s="3">
        <f t="shared" si="70"/>
        <v>137819.8668</v>
      </c>
      <c r="CV32" s="3">
        <f t="shared" si="70"/>
        <v>137819.8668</v>
      </c>
      <c r="CW32" s="3">
        <f t="shared" si="70"/>
        <v>137819.8668</v>
      </c>
      <c r="CX32" s="3">
        <f t="shared" si="70"/>
        <v>137819.8668</v>
      </c>
      <c r="CY32" s="3">
        <f t="shared" si="70"/>
        <v>137819.8668</v>
      </c>
      <c r="CZ32" s="3">
        <f t="shared" si="70"/>
        <v>137819.8668</v>
      </c>
      <c r="DA32" s="3">
        <f t="shared" si="70"/>
        <v>137819.8668</v>
      </c>
      <c r="DB32" s="3">
        <f t="shared" si="70"/>
        <v>137819.8668</v>
      </c>
      <c r="DC32" s="3">
        <f t="shared" si="70"/>
        <v>137819.8668</v>
      </c>
      <c r="DD32" s="3">
        <f t="shared" si="70"/>
        <v>137819.8668</v>
      </c>
      <c r="DE32" s="3">
        <f t="shared" si="70"/>
        <v>137819.8668</v>
      </c>
      <c r="DF32" s="3">
        <f t="shared" si="70"/>
        <v>137819.8668</v>
      </c>
      <c r="DG32" s="3">
        <f t="shared" si="70"/>
        <v>137819.8668</v>
      </c>
      <c r="DH32" s="3">
        <f t="shared" si="70"/>
        <v>137819.8668</v>
      </c>
      <c r="DI32" s="3">
        <f t="shared" si="70"/>
        <v>137819.8668</v>
      </c>
      <c r="DJ32" s="3">
        <f t="shared" si="70"/>
        <v>137819.8668</v>
      </c>
      <c r="DK32" s="3">
        <f t="shared" si="70"/>
        <v>137819.8668</v>
      </c>
      <c r="DL32" s="3">
        <f t="shared" si="70"/>
        <v>137819.8668</v>
      </c>
      <c r="DM32" s="3">
        <f t="shared" si="70"/>
        <v>137819.8668</v>
      </c>
      <c r="DN32" s="3">
        <f t="shared" si="70"/>
        <v>137819.8668</v>
      </c>
      <c r="DO32" s="3">
        <f t="shared" si="70"/>
        <v>137819.8668</v>
      </c>
      <c r="DP32" s="3">
        <f t="shared" si="70"/>
        <v>137819.8668</v>
      </c>
      <c r="DQ32" s="3">
        <f t="shared" si="70"/>
        <v>137819.8668</v>
      </c>
      <c r="DR32" s="3">
        <f t="shared" si="70"/>
        <v>137819.8668</v>
      </c>
      <c r="DS32" s="3">
        <f t="shared" si="70"/>
        <v>137819.8668</v>
      </c>
    </row>
    <row r="33" ht="12.75" customHeight="1">
      <c r="B33" s="3" t="s">
        <v>58</v>
      </c>
      <c r="C33" s="10">
        <f t="shared" ref="C33:W33" si="71">C32/C34</f>
        <v>6.041916168</v>
      </c>
      <c r="D33" s="10">
        <f t="shared" si="71"/>
        <v>7.093625498</v>
      </c>
      <c r="E33" s="10">
        <f t="shared" si="71"/>
        <v>5.218687873</v>
      </c>
      <c r="F33" s="10">
        <f t="shared" si="71"/>
        <v>4.234126984</v>
      </c>
      <c r="G33" s="10">
        <f t="shared" si="71"/>
        <v>6.471287129</v>
      </c>
      <c r="H33" s="10">
        <f t="shared" si="71"/>
        <v>5.009881423</v>
      </c>
      <c r="I33" s="10">
        <f t="shared" si="71"/>
        <v>10.30058939</v>
      </c>
      <c r="J33" s="10">
        <f t="shared" si="71"/>
        <v>12.36523438</v>
      </c>
      <c r="K33" s="10">
        <f t="shared" si="71"/>
        <v>14.07797271</v>
      </c>
      <c r="L33" s="10">
        <f t="shared" si="71"/>
        <v>15.80311891</v>
      </c>
      <c r="M33" s="10">
        <f t="shared" si="71"/>
        <v>0.7561734396</v>
      </c>
      <c r="N33" s="10">
        <f t="shared" si="71"/>
        <v>6.12815534</v>
      </c>
      <c r="O33" s="10">
        <f t="shared" si="71"/>
        <v>1.387349864</v>
      </c>
      <c r="P33" s="10">
        <f t="shared" si="71"/>
        <v>-7.552062868</v>
      </c>
      <c r="Q33" s="10">
        <f t="shared" si="71"/>
        <v>0.2930712531</v>
      </c>
      <c r="R33" s="10">
        <f t="shared" si="71"/>
        <v>0.2779982577</v>
      </c>
      <c r="S33" s="10">
        <f t="shared" si="71"/>
        <v>0.3149980598</v>
      </c>
      <c r="T33" s="10">
        <f t="shared" si="71"/>
        <v>0.3065622886</v>
      </c>
      <c r="U33" s="10">
        <f t="shared" si="71"/>
        <v>0.645994832</v>
      </c>
      <c r="V33" s="10">
        <f t="shared" si="71"/>
        <v>0.3999893459</v>
      </c>
      <c r="W33" s="10">
        <f t="shared" si="71"/>
        <v>0.4654408508</v>
      </c>
      <c r="AF33" s="5">
        <f t="shared" ref="AF33:AH33" si="72">AF32/AF34</f>
        <v>-1.590943162</v>
      </c>
      <c r="AG33" s="5">
        <f t="shared" si="72"/>
        <v>0.160861395</v>
      </c>
      <c r="AH33" s="5">
        <f t="shared" si="72"/>
        <v>0.6038220874</v>
      </c>
      <c r="AS33" s="10">
        <f t="shared" ref="AS33:BI33" si="73">AS32/AS34</f>
        <v>-0.5216450216</v>
      </c>
      <c r="AT33" s="10">
        <f t="shared" si="73"/>
        <v>1.249475891</v>
      </c>
      <c r="AU33" s="10">
        <f t="shared" si="73"/>
        <v>4.898760331</v>
      </c>
      <c r="AV33" s="10">
        <f t="shared" si="73"/>
        <v>6.152129817</v>
      </c>
      <c r="AW33" s="10">
        <f t="shared" si="73"/>
        <v>20.146</v>
      </c>
      <c r="AX33" s="10">
        <f t="shared" si="73"/>
        <v>23.01489573</v>
      </c>
      <c r="AY33" s="10">
        <f t="shared" si="73"/>
        <v>41.8254902</v>
      </c>
      <c r="AZ33" s="10">
        <f t="shared" si="73"/>
        <v>6.167667991</v>
      </c>
      <c r="BA33" s="10">
        <f t="shared" si="73"/>
        <v>0.5166584767</v>
      </c>
      <c r="BB33" s="10">
        <f t="shared" si="73"/>
        <v>1.164368027</v>
      </c>
      <c r="BC33" s="10">
        <f t="shared" si="73"/>
        <v>1.745530774</v>
      </c>
      <c r="BD33" s="10">
        <f t="shared" si="73"/>
        <v>3.200713057</v>
      </c>
      <c r="BE33" s="10">
        <f t="shared" si="73"/>
        <v>5.007652683</v>
      </c>
      <c r="BF33" s="10">
        <f t="shared" si="73"/>
        <v>7.25727621</v>
      </c>
      <c r="BG33" s="10">
        <f t="shared" si="73"/>
        <v>8.927496647</v>
      </c>
      <c r="BH33" s="10">
        <f t="shared" si="73"/>
        <v>10.89696328</v>
      </c>
      <c r="BI33" s="10">
        <f t="shared" si="73"/>
        <v>13.22203356</v>
      </c>
    </row>
    <row r="34" ht="12.75" customHeight="1">
      <c r="B34" s="3" t="s">
        <v>1</v>
      </c>
      <c r="C34" s="4">
        <v>501.0</v>
      </c>
      <c r="D34" s="4">
        <v>502.0</v>
      </c>
      <c r="E34" s="4">
        <v>503.0</v>
      </c>
      <c r="F34" s="4">
        <v>504.0</v>
      </c>
      <c r="G34" s="4">
        <v>505.0</v>
      </c>
      <c r="H34" s="4">
        <v>506.0</v>
      </c>
      <c r="I34" s="4">
        <v>509.0</v>
      </c>
      <c r="J34" s="4">
        <v>512.0</v>
      </c>
      <c r="K34" s="4">
        <v>513.0</v>
      </c>
      <c r="L34" s="4">
        <v>513.0</v>
      </c>
      <c r="M34" s="7">
        <v>10286.0</v>
      </c>
      <c r="N34" s="4">
        <v>515.0</v>
      </c>
      <c r="O34" s="4">
        <v>10324.0</v>
      </c>
      <c r="P34" s="4">
        <v>509.0</v>
      </c>
      <c r="Q34" s="7">
        <v>10175.0</v>
      </c>
      <c r="R34" s="7">
        <v>10331.0</v>
      </c>
      <c r="S34" s="7">
        <v>10308.0</v>
      </c>
      <c r="T34" s="7">
        <v>10347.0</v>
      </c>
      <c r="U34" s="7">
        <v>10449.0</v>
      </c>
      <c r="V34" s="7">
        <f t="shared" ref="V34:W34" si="74">+U34</f>
        <v>10449</v>
      </c>
      <c r="W34" s="7">
        <f t="shared" si="74"/>
        <v>10449</v>
      </c>
      <c r="AD34" s="3">
        <v>161.096869</v>
      </c>
      <c r="AF34" s="3">
        <v>364.211</v>
      </c>
      <c r="AG34" s="3">
        <v>378.363</v>
      </c>
      <c r="AH34" s="3">
        <v>419.352</v>
      </c>
      <c r="AS34" s="3">
        <v>462.0</v>
      </c>
      <c r="AT34" s="3">
        <v>477.0</v>
      </c>
      <c r="AU34" s="3">
        <v>484.0</v>
      </c>
      <c r="AV34" s="7">
        <v>493.0</v>
      </c>
      <c r="AW34" s="7">
        <v>500.0</v>
      </c>
      <c r="AX34" s="7">
        <f>AVERAGE(D34:G34)</f>
        <v>503.5</v>
      </c>
      <c r="AY34" s="7">
        <f>AVERAGE(H34:K34)</f>
        <v>510</v>
      </c>
      <c r="AZ34" s="7">
        <f>AVERAGE(L34:O34)</f>
        <v>5409.5</v>
      </c>
      <c r="BA34" s="3">
        <f>Q34</f>
        <v>10175</v>
      </c>
      <c r="BB34" s="3">
        <f>AVERAGE(T34:W34)</f>
        <v>10423.5</v>
      </c>
      <c r="BC34" s="3">
        <f t="shared" ref="BC34:BI34" si="75">+BB34</f>
        <v>10423.5</v>
      </c>
      <c r="BD34" s="3">
        <f t="shared" si="75"/>
        <v>10423.5</v>
      </c>
      <c r="BE34" s="3">
        <f t="shared" si="75"/>
        <v>10423.5</v>
      </c>
      <c r="BF34" s="3">
        <f t="shared" si="75"/>
        <v>10423.5</v>
      </c>
      <c r="BG34" s="3">
        <f t="shared" si="75"/>
        <v>10423.5</v>
      </c>
      <c r="BH34" s="3">
        <f t="shared" si="75"/>
        <v>10423.5</v>
      </c>
      <c r="BI34" s="3">
        <f t="shared" si="75"/>
        <v>10423.5</v>
      </c>
    </row>
    <row r="35" ht="12.75" customHeight="1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2.75" customHeight="1">
      <c r="A36" s="11"/>
      <c r="B36" s="8" t="s">
        <v>59</v>
      </c>
      <c r="C36" s="12"/>
      <c r="D36" s="12"/>
      <c r="E36" s="12"/>
      <c r="F36" s="12"/>
      <c r="G36" s="13">
        <f t="shared" ref="G36:W36" si="76">G20/C20-1</f>
        <v>0.2079770112</v>
      </c>
      <c r="H36" s="13">
        <f t="shared" si="76"/>
        <v>0.2638525963</v>
      </c>
      <c r="I36" s="13">
        <f t="shared" si="76"/>
        <v>0.4023090026</v>
      </c>
      <c r="J36" s="13">
        <f t="shared" si="76"/>
        <v>0.3738729084</v>
      </c>
      <c r="K36" s="13">
        <f t="shared" si="76"/>
        <v>0.4359481684</v>
      </c>
      <c r="L36" s="13">
        <f t="shared" si="76"/>
        <v>0.4382388803</v>
      </c>
      <c r="M36" s="13">
        <f t="shared" si="76"/>
        <v>0.271819327</v>
      </c>
      <c r="N36" s="13">
        <f t="shared" si="76"/>
        <v>0.1525508347</v>
      </c>
      <c r="O36" s="13">
        <f t="shared" si="76"/>
        <v>0.09443670105</v>
      </c>
      <c r="P36" s="13">
        <f t="shared" si="76"/>
        <v>0.07303857425</v>
      </c>
      <c r="Q36" s="13">
        <f t="shared" si="76"/>
        <v>0.07210824195</v>
      </c>
      <c r="R36" s="13">
        <f t="shared" si="76"/>
        <v>0.1469967152</v>
      </c>
      <c r="S36" s="13">
        <f t="shared" si="76"/>
        <v>0.08581492155</v>
      </c>
      <c r="T36" s="13">
        <f t="shared" si="76"/>
        <v>0.09372745698</v>
      </c>
      <c r="U36" s="13">
        <f t="shared" si="76"/>
        <v>0.108459673</v>
      </c>
      <c r="V36" s="13">
        <f t="shared" si="76"/>
        <v>0.06482474567</v>
      </c>
      <c r="W36" s="13">
        <f t="shared" si="76"/>
        <v>0.06161041259</v>
      </c>
      <c r="X36" s="11"/>
      <c r="Y36" s="11"/>
      <c r="Z36" s="11"/>
      <c r="AA36" s="11"/>
      <c r="AB36" s="11"/>
      <c r="AC36" s="14">
        <f t="shared" ref="AC36:BI36" si="77">AC20/AB20-1</f>
        <v>3.126337229</v>
      </c>
      <c r="AD36" s="14">
        <f t="shared" si="77"/>
        <v>1.689058557</v>
      </c>
      <c r="AE36" s="14">
        <f t="shared" si="77"/>
        <v>0.6843013247</v>
      </c>
      <c r="AF36" s="14">
        <f t="shared" si="77"/>
        <v>0.1305040618</v>
      </c>
      <c r="AG36" s="14">
        <f t="shared" si="77"/>
        <v>0.2595741846</v>
      </c>
      <c r="AH36" s="14">
        <f t="shared" si="77"/>
        <v>0.3383637567</v>
      </c>
      <c r="AI36" s="14">
        <f t="shared" si="77"/>
        <v>0.3148548198</v>
      </c>
      <c r="AJ36" s="14">
        <f t="shared" si="77"/>
        <v>0.2267013437</v>
      </c>
      <c r="AK36" s="14">
        <f t="shared" si="77"/>
        <v>0.2616018846</v>
      </c>
      <c r="AL36" s="14">
        <f t="shared" si="77"/>
        <v>0.3850247409</v>
      </c>
      <c r="AM36" s="14">
        <f t="shared" si="77"/>
        <v>0.2919447253</v>
      </c>
      <c r="AN36" s="14">
        <f t="shared" si="77"/>
        <v>0.2787749139</v>
      </c>
      <c r="AO36" s="14">
        <f t="shared" si="77"/>
        <v>0.3955689747</v>
      </c>
      <c r="AP36" s="14">
        <f t="shared" si="77"/>
        <v>0.4055958367</v>
      </c>
      <c r="AQ36" s="14">
        <f t="shared" si="77"/>
        <v>0.2707323668</v>
      </c>
      <c r="AR36" s="14">
        <f t="shared" si="77"/>
        <v>0.218666623</v>
      </c>
      <c r="AS36" s="14">
        <f t="shared" si="77"/>
        <v>0.1952398861</v>
      </c>
      <c r="AT36" s="14">
        <f t="shared" si="77"/>
        <v>0.2024767384</v>
      </c>
      <c r="AU36" s="14">
        <f t="shared" si="77"/>
        <v>0.2708352803</v>
      </c>
      <c r="AV36" s="14">
        <f t="shared" si="77"/>
        <v>0.3079632612</v>
      </c>
      <c r="AW36" s="14">
        <f t="shared" si="77"/>
        <v>0.3093396152</v>
      </c>
      <c r="AX36" s="14">
        <f t="shared" si="77"/>
        <v>0.2045412582</v>
      </c>
      <c r="AY36" s="14">
        <f t="shared" si="77"/>
        <v>0.376234306</v>
      </c>
      <c r="AZ36" s="14">
        <f t="shared" si="77"/>
        <v>0.2169536657</v>
      </c>
      <c r="BA36" s="14">
        <f t="shared" si="77"/>
        <v>0.09399517264</v>
      </c>
      <c r="BB36" s="14">
        <f t="shared" si="77"/>
        <v>0.06744721129</v>
      </c>
      <c r="BC36" s="14">
        <f t="shared" si="77"/>
        <v>0.1001169344</v>
      </c>
      <c r="BD36" s="14">
        <f t="shared" si="77"/>
        <v>0.1078813627</v>
      </c>
      <c r="BE36" s="14">
        <f t="shared" si="77"/>
        <v>0.1165867153</v>
      </c>
      <c r="BF36" s="14">
        <f t="shared" si="77"/>
        <v>0.1262122954</v>
      </c>
      <c r="BG36" s="14">
        <f t="shared" si="77"/>
        <v>0.09778548874</v>
      </c>
      <c r="BH36" s="14">
        <f t="shared" si="77"/>
        <v>0.1022347827</v>
      </c>
      <c r="BI36" s="14">
        <f t="shared" si="77"/>
        <v>0.1068678654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</row>
    <row r="37" ht="12.75" customHeight="1">
      <c r="B37" s="3" t="s">
        <v>60</v>
      </c>
      <c r="C37" s="4"/>
      <c r="D37" s="15"/>
      <c r="E37" s="15"/>
      <c r="F37" s="15"/>
      <c r="G37" s="15"/>
      <c r="H37" s="15">
        <f t="shared" ref="H37:U37" si="78">+H18/D18-1</f>
        <v>0.2204591197</v>
      </c>
      <c r="I37" s="15">
        <f t="shared" si="78"/>
        <v>0.4012717537</v>
      </c>
      <c r="J37" s="15">
        <f t="shared" si="78"/>
        <v>0.3284498817</v>
      </c>
      <c r="K37" s="15">
        <f t="shared" si="78"/>
        <v>0.405880258</v>
      </c>
      <c r="L37" s="15">
        <f t="shared" si="78"/>
        <v>0.3740350374</v>
      </c>
      <c r="M37" s="15">
        <f t="shared" si="78"/>
        <v>0.154446302</v>
      </c>
      <c r="N37" s="15">
        <f t="shared" si="78"/>
        <v>0.03983021943</v>
      </c>
      <c r="O37" s="15">
        <f t="shared" si="78"/>
        <v>0.005066426481</v>
      </c>
      <c r="P37" s="15">
        <f t="shared" si="78"/>
        <v>-0.01802021186</v>
      </c>
      <c r="Q37" s="15">
        <f t="shared" si="78"/>
        <v>-0.02463623198</v>
      </c>
      <c r="R37" s="15">
        <f t="shared" si="78"/>
        <v>0.08134703696</v>
      </c>
      <c r="S37" s="15">
        <f t="shared" si="78"/>
        <v>-0.01239218102</v>
      </c>
      <c r="T37" s="15">
        <f t="shared" si="78"/>
        <v>0.009317155256</v>
      </c>
      <c r="U37" s="15">
        <f t="shared" si="78"/>
        <v>0.04342907645</v>
      </c>
      <c r="V37" s="15"/>
      <c r="W37" s="15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</row>
    <row r="38" ht="12.75" customHeight="1">
      <c r="B38" s="3" t="s">
        <v>61</v>
      </c>
      <c r="C38" s="4"/>
      <c r="D38" s="15"/>
      <c r="E38" s="15"/>
      <c r="F38" s="15"/>
      <c r="G38" s="15"/>
      <c r="H38" s="15">
        <f t="shared" ref="H38:U38" si="79">+H19/D19-1</f>
        <v>0.3223826573</v>
      </c>
      <c r="I38" s="15">
        <f t="shared" si="79"/>
        <v>0.4036590678</v>
      </c>
      <c r="J38" s="15">
        <f t="shared" si="79"/>
        <v>0.4335151215</v>
      </c>
      <c r="K38" s="15">
        <f t="shared" si="79"/>
        <v>0.4771378236</v>
      </c>
      <c r="L38" s="15">
        <f t="shared" si="79"/>
        <v>0.5181636964</v>
      </c>
      <c r="M38" s="15">
        <f t="shared" si="79"/>
        <v>0.4243301955</v>
      </c>
      <c r="N38" s="15">
        <f t="shared" si="79"/>
        <v>0.2897097139</v>
      </c>
      <c r="O38" s="15">
        <f t="shared" si="79"/>
        <v>0.2109579992</v>
      </c>
      <c r="P38" s="15">
        <f t="shared" si="79"/>
        <v>0.1756325083</v>
      </c>
      <c r="Q38" s="15">
        <f t="shared" si="79"/>
        <v>0.1739959329</v>
      </c>
      <c r="R38" s="15">
        <f t="shared" si="79"/>
        <v>0.2114023169</v>
      </c>
      <c r="S38" s="15">
        <f t="shared" si="79"/>
        <v>0.1920873992</v>
      </c>
      <c r="T38" s="15">
        <f t="shared" si="79"/>
        <v>0.1731650803</v>
      </c>
      <c r="U38" s="15">
        <f t="shared" si="79"/>
        <v>0.1653598107</v>
      </c>
      <c r="V38" s="15"/>
      <c r="W38" s="15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ht="12.75" customHeight="1">
      <c r="B39" s="3" t="s">
        <v>62</v>
      </c>
      <c r="C39" s="4"/>
      <c r="D39" s="4"/>
      <c r="E39" s="4"/>
      <c r="F39" s="4"/>
      <c r="G39" s="15">
        <f t="shared" ref="G39:W39" si="80">+G11/C11-1</f>
        <v>0.1465270454</v>
      </c>
      <c r="H39" s="15">
        <f t="shared" si="80"/>
        <v>0.2425249169</v>
      </c>
      <c r="I39" s="15">
        <f t="shared" si="80"/>
        <v>0.4779892442</v>
      </c>
      <c r="J39" s="15">
        <f t="shared" si="80"/>
        <v>0.3798909786</v>
      </c>
      <c r="K39" s="15">
        <f t="shared" si="80"/>
        <v>0.4554394726</v>
      </c>
      <c r="L39" s="15">
        <f t="shared" si="80"/>
        <v>0.4433318782</v>
      </c>
      <c r="M39" s="15">
        <f t="shared" si="80"/>
        <v>0.1582055081</v>
      </c>
      <c r="N39" s="15">
        <f t="shared" si="80"/>
        <v>0.03292657704</v>
      </c>
      <c r="O39" s="15">
        <f t="shared" si="80"/>
        <v>-0.005658304615</v>
      </c>
      <c r="P39" s="15">
        <f t="shared" si="80"/>
        <v>-0.03349653126</v>
      </c>
      <c r="Q39" s="15">
        <f t="shared" si="80"/>
        <v>-0.0433056794</v>
      </c>
      <c r="R39" s="15">
        <f t="shared" si="80"/>
        <v>0.07102238597</v>
      </c>
      <c r="S39" s="15">
        <f t="shared" si="80"/>
        <v>-0.02336738555</v>
      </c>
      <c r="T39" s="15">
        <f t="shared" si="80"/>
        <v>-0.0006454262747</v>
      </c>
      <c r="U39" s="15">
        <f t="shared" si="80"/>
        <v>0.03</v>
      </c>
      <c r="V39" s="15">
        <f t="shared" si="80"/>
        <v>0.03</v>
      </c>
      <c r="W39" s="15">
        <f t="shared" si="80"/>
        <v>0.03</v>
      </c>
      <c r="AW39" s="16"/>
      <c r="AX39" s="16">
        <f t="shared" ref="AX39:BI39" si="81">AX11/AW11-1</f>
        <v>0.1484709766</v>
      </c>
      <c r="AY39" s="16">
        <f t="shared" si="81"/>
        <v>0.3971907368</v>
      </c>
      <c r="AZ39" s="16">
        <f t="shared" si="81"/>
        <v>0.1252907286</v>
      </c>
      <c r="BA39" s="16">
        <f t="shared" si="81"/>
        <v>-0.009325678262</v>
      </c>
      <c r="BB39" s="16">
        <f t="shared" si="81"/>
        <v>0.02287799313</v>
      </c>
      <c r="BC39" s="16">
        <f t="shared" si="81"/>
        <v>0.05</v>
      </c>
      <c r="BD39" s="16">
        <f t="shared" si="81"/>
        <v>0.05</v>
      </c>
      <c r="BE39" s="16">
        <f t="shared" si="81"/>
        <v>0.05</v>
      </c>
      <c r="BF39" s="16">
        <f t="shared" si="81"/>
        <v>0.05</v>
      </c>
      <c r="BG39" s="16">
        <f t="shared" si="81"/>
        <v>0.05</v>
      </c>
      <c r="BH39" s="16">
        <f t="shared" si="81"/>
        <v>0.05</v>
      </c>
      <c r="BI39" s="16">
        <f t="shared" si="81"/>
        <v>0.05</v>
      </c>
    </row>
    <row r="40" ht="12.75" customHeight="1">
      <c r="B40" s="3" t="s">
        <v>63</v>
      </c>
      <c r="C40" s="4"/>
      <c r="D40" s="4"/>
      <c r="E40" s="4"/>
      <c r="F40" s="4"/>
      <c r="G40" s="15">
        <f t="shared" ref="G40:W40" si="82">+G13/C13-1</f>
        <v>0.3035941119</v>
      </c>
      <c r="H40" s="15">
        <f t="shared" si="82"/>
        <v>0.2996140382</v>
      </c>
      <c r="I40" s="15">
        <f t="shared" si="82"/>
        <v>0.5210667113</v>
      </c>
      <c r="J40" s="15">
        <f t="shared" si="82"/>
        <v>0.5467756585</v>
      </c>
      <c r="K40" s="15">
        <f t="shared" si="82"/>
        <v>0.5663762467</v>
      </c>
      <c r="L40" s="15">
        <f t="shared" si="82"/>
        <v>0.6374749637</v>
      </c>
      <c r="M40" s="15">
        <f t="shared" si="82"/>
        <v>0.3786754603</v>
      </c>
      <c r="N40" s="15">
        <f t="shared" si="82"/>
        <v>0.1867293012</v>
      </c>
      <c r="O40" s="15">
        <f t="shared" si="82"/>
        <v>0.1095253778</v>
      </c>
      <c r="P40" s="15">
        <f t="shared" si="82"/>
        <v>0.06858155131</v>
      </c>
      <c r="Q40" s="15">
        <f t="shared" si="82"/>
        <v>0.09132947977</v>
      </c>
      <c r="R40" s="15">
        <f t="shared" si="82"/>
        <v>0.1820056078</v>
      </c>
      <c r="S40" s="15">
        <f t="shared" si="82"/>
        <v>0.1985158311</v>
      </c>
      <c r="T40" s="15">
        <f t="shared" si="82"/>
        <v>0.1770278271</v>
      </c>
      <c r="U40" s="15">
        <f t="shared" si="82"/>
        <v>0.03</v>
      </c>
      <c r="V40" s="15">
        <f t="shared" si="82"/>
        <v>0.03</v>
      </c>
      <c r="W40" s="15">
        <f t="shared" si="82"/>
        <v>0.03</v>
      </c>
      <c r="AW40" s="16"/>
      <c r="AX40" s="16">
        <f t="shared" ref="AX40:BI40" si="83">AX13/AW13-1</f>
        <v>0.2577143526</v>
      </c>
      <c r="AY40" s="16">
        <f t="shared" si="83"/>
        <v>0.4961961273</v>
      </c>
      <c r="AZ40" s="16">
        <f t="shared" si="83"/>
        <v>0.285055385</v>
      </c>
      <c r="BA40" s="16">
        <f t="shared" si="83"/>
        <v>0.1388270805</v>
      </c>
      <c r="BB40" s="16">
        <f t="shared" si="83"/>
        <v>0.06164353189</v>
      </c>
      <c r="BC40" s="16">
        <f t="shared" si="83"/>
        <v>0.05</v>
      </c>
      <c r="BD40" s="16">
        <f t="shared" si="83"/>
        <v>0.05</v>
      </c>
      <c r="BE40" s="16">
        <f t="shared" si="83"/>
        <v>0.05</v>
      </c>
      <c r="BF40" s="16">
        <f t="shared" si="83"/>
        <v>0.05</v>
      </c>
      <c r="BG40" s="16">
        <f t="shared" si="83"/>
        <v>0.05</v>
      </c>
      <c r="BH40" s="16">
        <f t="shared" si="83"/>
        <v>0.05</v>
      </c>
      <c r="BI40" s="16">
        <f t="shared" si="83"/>
        <v>0.05</v>
      </c>
    </row>
    <row r="41" ht="12.75" customHeight="1">
      <c r="B41" s="3" t="s">
        <v>64</v>
      </c>
      <c r="C41" s="4"/>
      <c r="D41" s="4"/>
      <c r="E41" s="4"/>
      <c r="F41" s="4"/>
      <c r="G41" s="15">
        <f t="shared" ref="G41:W41" si="84">+G14/C14-1</f>
        <v>0.322303612</v>
      </c>
      <c r="H41" s="15">
        <f t="shared" si="84"/>
        <v>0.2795946568</v>
      </c>
      <c r="I41" s="15">
        <f t="shared" si="84"/>
        <v>0.2869974337</v>
      </c>
      <c r="J41" s="15">
        <f t="shared" si="84"/>
        <v>0.3258018963</v>
      </c>
      <c r="K41" s="15">
        <f t="shared" si="84"/>
        <v>0.3488061127</v>
      </c>
      <c r="L41" s="15">
        <f t="shared" si="84"/>
        <v>0.3642908567</v>
      </c>
      <c r="M41" s="15">
        <f t="shared" si="84"/>
        <v>0.31555334</v>
      </c>
      <c r="N41" s="15">
        <f t="shared" si="84"/>
        <v>0.2398052343</v>
      </c>
      <c r="O41" s="15">
        <f t="shared" si="84"/>
        <v>0.1504036255</v>
      </c>
      <c r="P41" s="15">
        <f t="shared" si="84"/>
        <v>0.1094986807</v>
      </c>
      <c r="Q41" s="15">
        <f t="shared" si="84"/>
        <v>0.1009220664</v>
      </c>
      <c r="R41" s="15">
        <f t="shared" si="84"/>
        <v>0.09266077565</v>
      </c>
      <c r="S41" s="15">
        <f t="shared" si="84"/>
        <v>0.1312323033</v>
      </c>
      <c r="T41" s="15">
        <f t="shared" si="84"/>
        <v>0.1482758621</v>
      </c>
      <c r="U41" s="15">
        <f t="shared" si="84"/>
        <v>0.08</v>
      </c>
      <c r="V41" s="15">
        <f t="shared" si="84"/>
        <v>0.08</v>
      </c>
      <c r="W41" s="15">
        <f t="shared" si="84"/>
        <v>0.08</v>
      </c>
      <c r="AW41" s="16"/>
      <c r="AX41" s="16">
        <f t="shared" ref="AX41:BI41" si="85">AX14/AW14-1</f>
        <v>0.3559680949</v>
      </c>
      <c r="AY41" s="16">
        <f t="shared" si="85"/>
        <v>0.3121811556</v>
      </c>
      <c r="AZ41" s="16">
        <f t="shared" si="85"/>
        <v>0.2602848415</v>
      </c>
      <c r="BA41" s="16">
        <f t="shared" si="85"/>
        <v>0.1085998489</v>
      </c>
      <c r="BB41" s="16">
        <f t="shared" si="85"/>
        <v>0.09630416264</v>
      </c>
      <c r="BC41" s="16">
        <f t="shared" si="85"/>
        <v>0.1</v>
      </c>
      <c r="BD41" s="16">
        <f t="shared" si="85"/>
        <v>0.1</v>
      </c>
      <c r="BE41" s="16">
        <f t="shared" si="85"/>
        <v>0.1</v>
      </c>
      <c r="BF41" s="16">
        <f t="shared" si="85"/>
        <v>0.1</v>
      </c>
      <c r="BG41" s="16">
        <f t="shared" si="85"/>
        <v>0.05</v>
      </c>
      <c r="BH41" s="16">
        <f t="shared" si="85"/>
        <v>0.05</v>
      </c>
      <c r="BI41" s="16">
        <f t="shared" si="85"/>
        <v>0.05</v>
      </c>
    </row>
    <row r="42" ht="12.75" customHeight="1">
      <c r="B42" s="3" t="s">
        <v>65</v>
      </c>
      <c r="C42" s="4"/>
      <c r="D42" s="4"/>
      <c r="E42" s="4"/>
      <c r="F42" s="4"/>
      <c r="G42" s="15">
        <f t="shared" ref="G42:W42" si="86">+G15/C15-1</f>
        <v>0.4114521842</v>
      </c>
      <c r="H42" s="15">
        <f t="shared" si="86"/>
        <v>0.4381443299</v>
      </c>
      <c r="I42" s="15">
        <f t="shared" si="86"/>
        <v>0.4060626249</v>
      </c>
      <c r="J42" s="15">
        <f t="shared" si="86"/>
        <v>0.5052983826</v>
      </c>
      <c r="K42" s="15">
        <f t="shared" si="86"/>
        <v>0.5370138018</v>
      </c>
      <c r="L42" s="15">
        <f t="shared" si="86"/>
        <v>0.633640553</v>
      </c>
      <c r="M42" s="15">
        <f t="shared" si="86"/>
        <v>0.7652215115</v>
      </c>
      <c r="N42" s="15">
        <f t="shared" si="86"/>
        <v>0.4101519081</v>
      </c>
      <c r="O42" s="15">
        <f t="shared" si="86"/>
        <v>0.3219047619</v>
      </c>
      <c r="P42" s="15">
        <f t="shared" si="86"/>
        <v>0.2344460116</v>
      </c>
      <c r="Q42" s="15">
        <f t="shared" si="86"/>
        <v>0.1752784861</v>
      </c>
      <c r="R42" s="15">
        <f t="shared" si="86"/>
        <v>0.2543352601</v>
      </c>
      <c r="S42" s="15">
        <f t="shared" si="86"/>
        <v>0.189481268</v>
      </c>
      <c r="T42" s="15">
        <f t="shared" si="86"/>
        <v>0.2071854767</v>
      </c>
      <c r="U42" s="15">
        <f t="shared" si="86"/>
        <v>0.1</v>
      </c>
      <c r="V42" s="15">
        <f t="shared" si="86"/>
        <v>0.1</v>
      </c>
      <c r="W42" s="15">
        <f t="shared" si="86"/>
        <v>0.1</v>
      </c>
      <c r="AW42" s="16"/>
      <c r="AX42" s="16">
        <f t="shared" ref="AX42:BI42" si="87">AX15/AW15-1</f>
        <v>0.3935496636</v>
      </c>
      <c r="AY42" s="16">
        <f t="shared" si="87"/>
        <v>0.4819679114</v>
      </c>
      <c r="AZ42" s="16">
        <f t="shared" si="87"/>
        <v>0.4926946108</v>
      </c>
      <c r="BA42" s="16">
        <f t="shared" si="87"/>
        <v>0.2111360719</v>
      </c>
      <c r="BB42" s="16">
        <f t="shared" si="87"/>
        <v>0.1223720819</v>
      </c>
      <c r="BC42" s="16">
        <f t="shared" si="87"/>
        <v>0.1</v>
      </c>
      <c r="BD42" s="16">
        <f t="shared" si="87"/>
        <v>0.1</v>
      </c>
      <c r="BE42" s="16">
        <f t="shared" si="87"/>
        <v>0.1</v>
      </c>
      <c r="BF42" s="16">
        <f t="shared" si="87"/>
        <v>0.1</v>
      </c>
      <c r="BG42" s="16">
        <f t="shared" si="87"/>
        <v>0.05</v>
      </c>
      <c r="BH42" s="16">
        <f t="shared" si="87"/>
        <v>0.05</v>
      </c>
      <c r="BI42" s="16">
        <f t="shared" si="87"/>
        <v>0.05</v>
      </c>
    </row>
    <row r="43" ht="12.75" customHeight="1">
      <c r="B43" s="3" t="s">
        <v>66</v>
      </c>
      <c r="C43" s="4"/>
      <c r="D43" s="4"/>
      <c r="E43" s="4"/>
      <c r="F43" s="4"/>
      <c r="G43" s="15">
        <f t="shared" ref="G43:W43" si="88">G9/C9-1</f>
        <v>0.3397039031</v>
      </c>
      <c r="H43" s="15">
        <f t="shared" si="88"/>
        <v>0.3278326403</v>
      </c>
      <c r="I43" s="15">
        <f t="shared" si="88"/>
        <v>0.2895835819</v>
      </c>
      <c r="J43" s="15">
        <f t="shared" si="88"/>
        <v>0.2897165092</v>
      </c>
      <c r="K43" s="15">
        <f t="shared" si="88"/>
        <v>0.2800884067</v>
      </c>
      <c r="L43" s="15">
        <f t="shared" si="88"/>
        <v>0.3213621685</v>
      </c>
      <c r="M43" s="15">
        <f t="shared" si="88"/>
        <v>0.3701887491</v>
      </c>
      <c r="N43" s="15">
        <f t="shared" si="88"/>
        <v>0.3886733902</v>
      </c>
      <c r="O43" s="15">
        <f t="shared" si="88"/>
        <v>0.3953853398</v>
      </c>
      <c r="P43" s="15">
        <f t="shared" si="88"/>
        <v>0.3656965119</v>
      </c>
      <c r="Q43" s="15">
        <f t="shared" si="88"/>
        <v>0.3329056655</v>
      </c>
      <c r="R43" s="15">
        <f t="shared" si="88"/>
        <v>0.2748603352</v>
      </c>
      <c r="S43" s="15">
        <f t="shared" si="88"/>
        <v>0.2023622047</v>
      </c>
      <c r="T43" s="15">
        <f t="shared" si="88"/>
        <v>0.1579632341</v>
      </c>
      <c r="U43" s="15">
        <f t="shared" si="88"/>
        <v>0.1216373676</v>
      </c>
      <c r="V43" s="15">
        <f t="shared" si="88"/>
        <v>0.2</v>
      </c>
      <c r="W43" s="15">
        <f t="shared" si="88"/>
        <v>0.2</v>
      </c>
      <c r="AT43" s="16">
        <f t="shared" ref="AT43:BI43" si="89">AT9/AS9-1</f>
        <v>0.6968130922</v>
      </c>
      <c r="AU43" s="16">
        <f t="shared" si="89"/>
        <v>0.5506345178</v>
      </c>
      <c r="AV43" s="16">
        <f t="shared" si="89"/>
        <v>0.4288403306</v>
      </c>
      <c r="AW43" s="16">
        <f t="shared" si="89"/>
        <v>0.4694426943</v>
      </c>
      <c r="AX43" s="16">
        <f t="shared" si="89"/>
        <v>0.3652699279</v>
      </c>
      <c r="AY43" s="16">
        <f t="shared" si="89"/>
        <v>0.295323474</v>
      </c>
      <c r="AZ43" s="16">
        <f t="shared" si="89"/>
        <v>0.3709940489</v>
      </c>
      <c r="BA43" s="16">
        <f t="shared" si="89"/>
        <v>0.2876756374</v>
      </c>
      <c r="BB43" s="16">
        <f t="shared" si="89"/>
        <v>0.1710097883</v>
      </c>
      <c r="BC43" s="16">
        <f t="shared" si="89"/>
        <v>0.3</v>
      </c>
      <c r="BD43" s="16">
        <f t="shared" si="89"/>
        <v>0.3</v>
      </c>
      <c r="BE43" s="16">
        <f t="shared" si="89"/>
        <v>0.3</v>
      </c>
      <c r="BF43" s="16">
        <f t="shared" si="89"/>
        <v>0.3</v>
      </c>
      <c r="BG43" s="16">
        <f t="shared" si="89"/>
        <v>0.2</v>
      </c>
      <c r="BH43" s="16">
        <f t="shared" si="89"/>
        <v>0.2</v>
      </c>
      <c r="BI43" s="16">
        <f t="shared" si="89"/>
        <v>0.2</v>
      </c>
    </row>
    <row r="44" ht="12.75" customHeight="1">
      <c r="B44" s="3" t="s">
        <v>48</v>
      </c>
      <c r="C44" s="17">
        <f t="shared" ref="C44:W44" si="90">C23/C20</f>
        <v>0.2427227388</v>
      </c>
      <c r="D44" s="17">
        <f t="shared" si="90"/>
        <v>0.2877554439</v>
      </c>
      <c r="E44" s="17">
        <f t="shared" si="90"/>
        <v>0.280676298</v>
      </c>
      <c r="F44" s="17">
        <f t="shared" si="90"/>
        <v>0.2645289436</v>
      </c>
      <c r="G44" s="17">
        <f t="shared" si="90"/>
        <v>0.2432379885</v>
      </c>
      <c r="H44" s="17">
        <f t="shared" si="90"/>
        <v>0.2606160208</v>
      </c>
      <c r="I44" s="17">
        <f t="shared" si="90"/>
        <v>0.2524518625</v>
      </c>
      <c r="J44" s="17">
        <f t="shared" si="90"/>
        <v>0.2530968849</v>
      </c>
      <c r="K44" s="17">
        <f t="shared" si="90"/>
        <v>0.221393015</v>
      </c>
      <c r="L44" s="17">
        <f t="shared" si="90"/>
        <v>0.2726275825</v>
      </c>
      <c r="M44" s="17">
        <f t="shared" si="90"/>
        <v>0.2764945172</v>
      </c>
      <c r="N44" s="17">
        <f t="shared" si="90"/>
        <v>0.2651698372</v>
      </c>
      <c r="O44" s="17">
        <f t="shared" si="90"/>
        <v>0.2338369284</v>
      </c>
      <c r="P44" s="17">
        <f t="shared" si="90"/>
        <v>0.2548349421</v>
      </c>
      <c r="Q44" s="17">
        <f t="shared" si="90"/>
        <v>0.2843096821</v>
      </c>
      <c r="R44" s="17">
        <f t="shared" si="90"/>
        <v>0.2852062533</v>
      </c>
      <c r="S44" s="17">
        <f t="shared" si="90"/>
        <v>0.2711790569</v>
      </c>
      <c r="T44" s="17">
        <f t="shared" si="90"/>
        <v>0.3035694656</v>
      </c>
      <c r="U44" s="17">
        <f t="shared" si="90"/>
        <v>0.3252271493</v>
      </c>
      <c r="V44" s="17">
        <f t="shared" si="90"/>
        <v>0.3038954291</v>
      </c>
      <c r="W44" s="17">
        <f t="shared" si="90"/>
        <v>0.2877309868</v>
      </c>
      <c r="AS44" s="18">
        <f t="shared" ref="AS44:BI44" si="91">AS23/AS20</f>
        <v>0.1738436643</v>
      </c>
      <c r="AT44" s="18">
        <f t="shared" si="91"/>
        <v>0.205081958</v>
      </c>
      <c r="AU44" s="18">
        <f t="shared" si="91"/>
        <v>0.2213667483</v>
      </c>
      <c r="AV44" s="18">
        <f t="shared" si="91"/>
        <v>0.2287283685</v>
      </c>
      <c r="AW44" s="18">
        <f t="shared" si="91"/>
        <v>0.2563646747</v>
      </c>
      <c r="AX44" s="18">
        <f t="shared" si="91"/>
        <v>0.266485338</v>
      </c>
      <c r="AY44" s="18">
        <f t="shared" si="91"/>
        <v>0.2441071947</v>
      </c>
      <c r="AZ44" s="18">
        <f t="shared" si="91"/>
        <v>0.2604539592</v>
      </c>
      <c r="BA44" s="18">
        <f t="shared" si="91"/>
        <v>0.2740421376</v>
      </c>
      <c r="BB44" s="18">
        <f t="shared" si="91"/>
        <v>0.2957147094</v>
      </c>
      <c r="BC44" s="18">
        <f t="shared" si="91"/>
        <v>0.2837800048</v>
      </c>
      <c r="BD44" s="18">
        <f t="shared" si="91"/>
        <v>0.2892890806</v>
      </c>
      <c r="BE44" s="18">
        <f t="shared" si="91"/>
        <v>0.2945202297</v>
      </c>
      <c r="BF44" s="18">
        <f t="shared" si="91"/>
        <v>0.2993765783</v>
      </c>
      <c r="BG44" s="18">
        <f t="shared" si="91"/>
        <v>0.2994037152</v>
      </c>
      <c r="BH44" s="18">
        <f t="shared" si="91"/>
        <v>0.2994319731</v>
      </c>
      <c r="BI44" s="18">
        <f t="shared" si="91"/>
        <v>0.2994611567</v>
      </c>
      <c r="BK44" s="1" t="s">
        <v>67</v>
      </c>
      <c r="BL44" s="19">
        <v>0.05</v>
      </c>
    </row>
    <row r="45" ht="12.75" customHeight="1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BK45" s="1" t="s">
        <v>68</v>
      </c>
      <c r="BL45" s="16">
        <v>0.01</v>
      </c>
    </row>
    <row r="46" ht="12.75" customHeight="1">
      <c r="B46" s="3" t="s">
        <v>69</v>
      </c>
      <c r="C46" s="4"/>
      <c r="D46" s="4"/>
      <c r="E46" s="4"/>
      <c r="F46" s="4"/>
      <c r="G46" s="4"/>
      <c r="H46" s="4"/>
      <c r="I46" s="4"/>
      <c r="J46" s="4"/>
      <c r="K46" s="7">
        <f t="shared" ref="K46:U46" si="92">+K47-K60</f>
        <v>52580</v>
      </c>
      <c r="L46" s="7">
        <f t="shared" si="92"/>
        <v>41402</v>
      </c>
      <c r="M46" s="7">
        <f t="shared" si="92"/>
        <v>39615</v>
      </c>
      <c r="N46" s="7">
        <f t="shared" si="92"/>
        <v>28933</v>
      </c>
      <c r="O46" s="7">
        <f t="shared" si="92"/>
        <v>47305</v>
      </c>
      <c r="P46" s="7">
        <f t="shared" si="92"/>
        <v>18829</v>
      </c>
      <c r="Q46" s="7">
        <f t="shared" si="92"/>
        <v>2657</v>
      </c>
      <c r="R46" s="7">
        <f t="shared" si="92"/>
        <v>-257</v>
      </c>
      <c r="S46" s="7">
        <f t="shared" si="92"/>
        <v>2876</v>
      </c>
      <c r="T46" s="7">
        <f t="shared" si="92"/>
        <v>-2679</v>
      </c>
      <c r="U46" s="7">
        <f t="shared" si="92"/>
        <v>878</v>
      </c>
      <c r="V46" s="7">
        <f t="shared" ref="V46:W46" si="93">+U46+V32</f>
        <v>5057.488675</v>
      </c>
      <c r="W46" s="7">
        <f t="shared" si="93"/>
        <v>9920.880125</v>
      </c>
      <c r="X46" s="7"/>
      <c r="Y46" s="7"/>
      <c r="Z46" s="7"/>
      <c r="AA46" s="7"/>
      <c r="AB46" s="7"/>
      <c r="BA46" s="3">
        <f>+S46</f>
        <v>2876</v>
      </c>
      <c r="BB46" s="3">
        <f>+W46</f>
        <v>9920.880125</v>
      </c>
      <c r="BC46" s="3">
        <f t="shared" ref="BC46:BI46" si="94">+BB46+BC32</f>
        <v>28115.42015</v>
      </c>
      <c r="BD46" s="3">
        <f t="shared" si="94"/>
        <v>61478.0527</v>
      </c>
      <c r="BE46" s="3">
        <f t="shared" si="94"/>
        <v>113675.3204</v>
      </c>
      <c r="BF46" s="3">
        <f t="shared" si="94"/>
        <v>189321.539</v>
      </c>
      <c r="BG46" s="3">
        <f t="shared" si="94"/>
        <v>282377.3003</v>
      </c>
      <c r="BH46" s="3">
        <f t="shared" si="94"/>
        <v>395961.7971</v>
      </c>
      <c r="BI46" s="3">
        <f t="shared" si="94"/>
        <v>533781.6639</v>
      </c>
      <c r="BK46" s="1" t="s">
        <v>70</v>
      </c>
      <c r="BL46" s="16">
        <v>0.0</v>
      </c>
    </row>
    <row r="47" ht="12.75" customHeight="1">
      <c r="A47" s="3"/>
      <c r="B47" s="3" t="s">
        <v>6</v>
      </c>
      <c r="C47" s="7"/>
      <c r="D47" s="7"/>
      <c r="E47" s="7"/>
      <c r="F47" s="7"/>
      <c r="G47" s="7"/>
      <c r="H47" s="7"/>
      <c r="I47" s="7"/>
      <c r="J47" s="7"/>
      <c r="K47" s="7">
        <f>42122+42274</f>
        <v>84396</v>
      </c>
      <c r="L47" s="7">
        <f>33834+39436</f>
        <v>73270</v>
      </c>
      <c r="M47" s="7">
        <f>40380+49514</f>
        <v>89894</v>
      </c>
      <c r="N47" s="7">
        <f>29944+49044</f>
        <v>78988</v>
      </c>
      <c r="O47" s="7">
        <f>36220+59829</f>
        <v>96049</v>
      </c>
      <c r="P47" s="7">
        <f>36393+29992</f>
        <v>66385</v>
      </c>
      <c r="Q47" s="7">
        <f>37478+23232</f>
        <v>60710</v>
      </c>
      <c r="R47" s="7">
        <f>34947+23715</f>
        <v>58662</v>
      </c>
      <c r="S47" s="7">
        <f>53888+16138</f>
        <v>70026</v>
      </c>
      <c r="T47" s="3">
        <f>49343+15062</f>
        <v>64405</v>
      </c>
      <c r="U47" s="3">
        <f>49529+14441</f>
        <v>63970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 t="s">
        <v>71</v>
      </c>
      <c r="BL47" s="3">
        <f t="array" ref="BL47">NPV(BL44,BB32:DS32)+Main!K5-Main!K6</f>
        <v>2177328.273</v>
      </c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</row>
    <row r="48" ht="12.75" customHeight="1">
      <c r="A48" s="3"/>
      <c r="B48" s="3" t="s">
        <v>72</v>
      </c>
      <c r="C48" s="7"/>
      <c r="D48" s="7"/>
      <c r="E48" s="7"/>
      <c r="F48" s="7"/>
      <c r="G48" s="7"/>
      <c r="H48" s="7"/>
      <c r="I48" s="7"/>
      <c r="J48" s="7"/>
      <c r="K48" s="7">
        <v>23795.0</v>
      </c>
      <c r="L48" s="7">
        <v>23849.0</v>
      </c>
      <c r="M48" s="7">
        <v>24119.0</v>
      </c>
      <c r="N48" s="7">
        <v>30933.0</v>
      </c>
      <c r="O48" s="7">
        <v>32640.0</v>
      </c>
      <c r="P48" s="7">
        <v>34987.0</v>
      </c>
      <c r="Q48" s="7">
        <v>38153.0</v>
      </c>
      <c r="R48" s="7">
        <v>36647.0</v>
      </c>
      <c r="S48" s="7">
        <v>34405.0</v>
      </c>
      <c r="T48" s="3">
        <v>34170.0</v>
      </c>
      <c r="U48" s="3">
        <v>36587.0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20" t="s">
        <v>73</v>
      </c>
      <c r="BL48" s="5">
        <f>+BL47/Main!K3</f>
        <v>210.756778</v>
      </c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</row>
    <row r="49" ht="12.75" customHeight="1">
      <c r="A49" s="3"/>
      <c r="B49" s="3" t="s">
        <v>74</v>
      </c>
      <c r="C49" s="7"/>
      <c r="D49" s="7"/>
      <c r="E49" s="7"/>
      <c r="F49" s="7"/>
      <c r="G49" s="7"/>
      <c r="H49" s="7"/>
      <c r="I49" s="7"/>
      <c r="J49" s="7"/>
      <c r="K49" s="7">
        <v>24542.0</v>
      </c>
      <c r="L49" s="7">
        <v>24289.0</v>
      </c>
      <c r="M49" s="7">
        <v>26835.0</v>
      </c>
      <c r="N49" s="7">
        <v>28610.0</v>
      </c>
      <c r="O49" s="7">
        <v>32891.0</v>
      </c>
      <c r="P49" s="7">
        <v>32504.0</v>
      </c>
      <c r="Q49" s="7">
        <v>34804.0</v>
      </c>
      <c r="R49" s="7">
        <v>36154.0</v>
      </c>
      <c r="S49" s="7">
        <v>42360.0</v>
      </c>
      <c r="T49" s="3">
        <v>37646.0</v>
      </c>
      <c r="U49" s="3">
        <v>39925.0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20" t="s">
        <v>75</v>
      </c>
      <c r="BL49" s="21">
        <f>(BL48/Main!K2)-1</f>
        <v>0.5043310348</v>
      </c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</row>
    <row r="50" ht="12.75" customHeight="1">
      <c r="A50" s="3"/>
      <c r="B50" s="3" t="s">
        <v>76</v>
      </c>
      <c r="C50" s="7"/>
      <c r="D50" s="7"/>
      <c r="E50" s="7"/>
      <c r="F50" s="7"/>
      <c r="G50" s="7"/>
      <c r="H50" s="7"/>
      <c r="I50" s="7"/>
      <c r="J50" s="7"/>
      <c r="K50" s="7">
        <v>113114.0</v>
      </c>
      <c r="L50" s="7">
        <v>121461.0</v>
      </c>
      <c r="M50" s="7">
        <v>133502.0</v>
      </c>
      <c r="N50" s="7">
        <v>147152.0</v>
      </c>
      <c r="O50" s="7">
        <v>160281.0</v>
      </c>
      <c r="P50" s="7">
        <v>168468.0</v>
      </c>
      <c r="Q50" s="7">
        <v>173706.0</v>
      </c>
      <c r="R50" s="7">
        <v>177195.0</v>
      </c>
      <c r="S50" s="7">
        <v>186715.0</v>
      </c>
      <c r="T50" s="3">
        <v>190754.0</v>
      </c>
      <c r="U50" s="3">
        <v>193784.0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</row>
    <row r="51" ht="12.75" customHeight="1">
      <c r="A51" s="3"/>
      <c r="B51" s="3" t="s">
        <v>77</v>
      </c>
      <c r="C51" s="7"/>
      <c r="D51" s="7"/>
      <c r="E51" s="7"/>
      <c r="F51" s="7"/>
      <c r="G51" s="7"/>
      <c r="H51" s="7"/>
      <c r="I51" s="7"/>
      <c r="J51" s="7"/>
      <c r="K51" s="7">
        <v>37553.0</v>
      </c>
      <c r="L51" s="7">
        <v>39328.0</v>
      </c>
      <c r="M51" s="7">
        <v>43346.0</v>
      </c>
      <c r="N51" s="7">
        <v>52151.0</v>
      </c>
      <c r="O51" s="7">
        <v>56082.0</v>
      </c>
      <c r="P51" s="7">
        <v>56161.0</v>
      </c>
      <c r="Q51" s="7">
        <v>58430.0</v>
      </c>
      <c r="R51" s="7">
        <v>62033.0</v>
      </c>
      <c r="S51" s="7">
        <v>66123.0</v>
      </c>
      <c r="T51" s="3">
        <v>68262.0</v>
      </c>
      <c r="U51" s="3">
        <v>70332.0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</row>
    <row r="52" ht="12.75" customHeight="1">
      <c r="A52" s="3"/>
      <c r="B52" s="3" t="s">
        <v>78</v>
      </c>
      <c r="C52" s="7"/>
      <c r="D52" s="7"/>
      <c r="E52" s="7"/>
      <c r="F52" s="7"/>
      <c r="G52" s="7"/>
      <c r="H52" s="7"/>
      <c r="I52" s="7"/>
      <c r="J52" s="7"/>
      <c r="K52" s="7">
        <v>15017.0</v>
      </c>
      <c r="L52" s="7">
        <v>15220.0</v>
      </c>
      <c r="M52" s="7">
        <v>15350.0</v>
      </c>
      <c r="N52" s="7">
        <v>15345.0</v>
      </c>
      <c r="O52" s="7">
        <v>15371.0</v>
      </c>
      <c r="P52" s="7">
        <v>20229.0</v>
      </c>
      <c r="Q52" s="7">
        <v>20195.0</v>
      </c>
      <c r="R52" s="7">
        <v>20168.0</v>
      </c>
      <c r="S52" s="7">
        <v>20288.0</v>
      </c>
      <c r="T52" s="3">
        <f>22749</f>
        <v>22749</v>
      </c>
      <c r="U52" s="3">
        <v>22785.0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</row>
    <row r="53" ht="12.75" customHeight="1">
      <c r="A53" s="3"/>
      <c r="B53" s="3" t="s">
        <v>79</v>
      </c>
      <c r="C53" s="7"/>
      <c r="D53" s="7"/>
      <c r="E53" s="7"/>
      <c r="F53" s="7"/>
      <c r="G53" s="7"/>
      <c r="H53" s="7"/>
      <c r="I53" s="7"/>
      <c r="J53" s="7"/>
      <c r="K53" s="7">
        <v>22778.0</v>
      </c>
      <c r="L53" s="7">
        <v>25660.0</v>
      </c>
      <c r="M53" s="7">
        <v>27273.0</v>
      </c>
      <c r="N53" s="7">
        <v>29227.0</v>
      </c>
      <c r="O53" s="7">
        <v>27235.0</v>
      </c>
      <c r="P53" s="7">
        <v>32033.0</v>
      </c>
      <c r="Q53" s="7">
        <v>33730.0</v>
      </c>
      <c r="R53" s="7">
        <v>37503.0</v>
      </c>
      <c r="S53" s="7">
        <v>42758.0</v>
      </c>
      <c r="T53" s="3">
        <v>46392.0</v>
      </c>
      <c r="U53" s="3">
        <v>50224.0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</row>
    <row r="54" ht="12.75" customHeight="1">
      <c r="A54" s="3"/>
      <c r="B54" s="3" t="s">
        <v>80</v>
      </c>
      <c r="C54" s="7"/>
      <c r="D54" s="7"/>
      <c r="E54" s="7"/>
      <c r="F54" s="7"/>
      <c r="G54" s="7"/>
      <c r="H54" s="7"/>
      <c r="I54" s="7"/>
      <c r="J54" s="7"/>
      <c r="K54" s="7">
        <f t="shared" ref="K54:U54" si="95">SUM(K47:K53)</f>
        <v>321195</v>
      </c>
      <c r="L54" s="7">
        <f t="shared" si="95"/>
        <v>323077</v>
      </c>
      <c r="M54" s="7">
        <f t="shared" si="95"/>
        <v>360319</v>
      </c>
      <c r="N54" s="7">
        <f t="shared" si="95"/>
        <v>382406</v>
      </c>
      <c r="O54" s="7">
        <f t="shared" si="95"/>
        <v>420549</v>
      </c>
      <c r="P54" s="7">
        <f t="shared" si="95"/>
        <v>410767</v>
      </c>
      <c r="Q54" s="7">
        <f t="shared" si="95"/>
        <v>419728</v>
      </c>
      <c r="R54" s="7">
        <f t="shared" si="95"/>
        <v>428362</v>
      </c>
      <c r="S54" s="7">
        <f t="shared" si="95"/>
        <v>462675</v>
      </c>
      <c r="T54" s="7">
        <f t="shared" si="95"/>
        <v>464378</v>
      </c>
      <c r="U54" s="7">
        <f t="shared" si="95"/>
        <v>477607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</row>
    <row r="55" ht="12.75" customHeight="1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2.75" customHeight="1">
      <c r="A56" s="3"/>
      <c r="B56" s="3" t="s">
        <v>81</v>
      </c>
      <c r="C56" s="7"/>
      <c r="D56" s="7"/>
      <c r="E56" s="7"/>
      <c r="F56" s="7"/>
      <c r="G56" s="7"/>
      <c r="H56" s="7"/>
      <c r="I56" s="7"/>
      <c r="J56" s="7"/>
      <c r="K56" s="7">
        <v>72539.0</v>
      </c>
      <c r="L56" s="7">
        <v>63926.0</v>
      </c>
      <c r="M56" s="7">
        <v>66090.0</v>
      </c>
      <c r="N56" s="7">
        <v>71474.0</v>
      </c>
      <c r="O56" s="7">
        <v>78664.0</v>
      </c>
      <c r="P56" s="7">
        <v>68547.0</v>
      </c>
      <c r="Q56" s="7">
        <v>71219.0</v>
      </c>
      <c r="R56" s="7">
        <v>67760.0</v>
      </c>
      <c r="S56" s="7">
        <v>79600.0</v>
      </c>
      <c r="T56" s="3">
        <v>66907.0</v>
      </c>
      <c r="U56" s="3">
        <v>69481.0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</row>
    <row r="57" ht="12.75" customHeight="1">
      <c r="A57" s="3"/>
      <c r="B57" s="3" t="s">
        <v>82</v>
      </c>
      <c r="C57" s="7"/>
      <c r="D57" s="7"/>
      <c r="E57" s="7"/>
      <c r="F57" s="7"/>
      <c r="G57" s="7"/>
      <c r="H57" s="7"/>
      <c r="I57" s="7"/>
      <c r="J57" s="7"/>
      <c r="K57" s="7">
        <v>44138.0</v>
      </c>
      <c r="L57" s="7">
        <v>40939.0</v>
      </c>
      <c r="M57" s="7">
        <v>41007.0</v>
      </c>
      <c r="N57" s="7">
        <v>41546.0</v>
      </c>
      <c r="O57" s="7">
        <v>51775.0</v>
      </c>
      <c r="P57" s="7">
        <v>58141.0</v>
      </c>
      <c r="Q57" s="7">
        <v>56254.0</v>
      </c>
      <c r="R57" s="7">
        <v>59974.0</v>
      </c>
      <c r="S57" s="7">
        <v>62566.0</v>
      </c>
      <c r="T57" s="3">
        <v>66382.0</v>
      </c>
      <c r="U57" s="3">
        <v>64235.0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</row>
    <row r="58" ht="12.75" customHeight="1">
      <c r="A58" s="3"/>
      <c r="B58" s="3" t="s">
        <v>83</v>
      </c>
      <c r="C58" s="7"/>
      <c r="D58" s="7"/>
      <c r="E58" s="7"/>
      <c r="F58" s="7"/>
      <c r="G58" s="7"/>
      <c r="H58" s="7"/>
      <c r="I58" s="7"/>
      <c r="J58" s="7"/>
      <c r="K58" s="7">
        <v>9708.0</v>
      </c>
      <c r="L58" s="7">
        <v>10539.0</v>
      </c>
      <c r="M58" s="7">
        <v>10695.0</v>
      </c>
      <c r="N58" s="7">
        <v>10974.0</v>
      </c>
      <c r="O58" s="7">
        <v>11827.0</v>
      </c>
      <c r="P58" s="7">
        <v>12820.0</v>
      </c>
      <c r="Q58" s="7">
        <v>12818.0</v>
      </c>
      <c r="R58" s="7">
        <v>12629.0</v>
      </c>
      <c r="S58" s="7">
        <v>13227.0</v>
      </c>
      <c r="T58" s="3">
        <v>14281.0</v>
      </c>
      <c r="U58" s="3">
        <v>14522.0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</row>
    <row r="59" ht="12.75" customHeight="1">
      <c r="A59" s="3"/>
      <c r="B59" s="3" t="s">
        <v>77</v>
      </c>
      <c r="C59" s="7"/>
      <c r="D59" s="7"/>
      <c r="E59" s="7"/>
      <c r="F59" s="7"/>
      <c r="G59" s="7"/>
      <c r="H59" s="7"/>
      <c r="I59" s="7"/>
      <c r="J59" s="7"/>
      <c r="K59" s="7">
        <v>52573.0</v>
      </c>
      <c r="L59" s="7">
        <v>53067.0</v>
      </c>
      <c r="M59" s="7">
        <v>56297.0</v>
      </c>
      <c r="N59" s="7">
        <v>63848.0</v>
      </c>
      <c r="O59" s="7">
        <v>67651.0</v>
      </c>
      <c r="P59" s="7">
        <v>65731.0</v>
      </c>
      <c r="Q59" s="7">
        <v>66524.0</v>
      </c>
      <c r="R59" s="7">
        <v>69332.0</v>
      </c>
      <c r="S59" s="7">
        <v>72968.0</v>
      </c>
      <c r="T59" s="3">
        <v>74267.0</v>
      </c>
      <c r="U59" s="3">
        <v>75822.0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</row>
    <row r="60" ht="12.75" customHeight="1">
      <c r="A60" s="3"/>
      <c r="B60" s="3" t="s">
        <v>8</v>
      </c>
      <c r="C60" s="7"/>
      <c r="D60" s="7"/>
      <c r="E60" s="7"/>
      <c r="F60" s="7"/>
      <c r="G60" s="7"/>
      <c r="H60" s="7"/>
      <c r="I60" s="7"/>
      <c r="J60" s="7"/>
      <c r="K60" s="7">
        <v>31816.0</v>
      </c>
      <c r="L60" s="7">
        <v>31868.0</v>
      </c>
      <c r="M60" s="7">
        <v>50279.0</v>
      </c>
      <c r="N60" s="7">
        <v>50055.0</v>
      </c>
      <c r="O60" s="7">
        <v>48744.0</v>
      </c>
      <c r="P60" s="7">
        <v>47556.0</v>
      </c>
      <c r="Q60" s="7">
        <v>58053.0</v>
      </c>
      <c r="R60" s="7">
        <v>58919.0</v>
      </c>
      <c r="S60" s="7">
        <v>67150.0</v>
      </c>
      <c r="T60" s="3">
        <v>67084.0</v>
      </c>
      <c r="U60" s="3">
        <v>63092.0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</row>
    <row r="61" ht="12.75" customHeight="1">
      <c r="A61" s="3"/>
      <c r="B61" s="3" t="s">
        <v>84</v>
      </c>
      <c r="C61" s="7"/>
      <c r="D61" s="7"/>
      <c r="E61" s="7"/>
      <c r="F61" s="7"/>
      <c r="G61" s="7"/>
      <c r="H61" s="7"/>
      <c r="I61" s="7"/>
      <c r="J61" s="7"/>
      <c r="K61" s="7">
        <v>17017.0</v>
      </c>
      <c r="L61" s="7">
        <v>19418.0</v>
      </c>
      <c r="M61" s="7">
        <v>21148.0</v>
      </c>
      <c r="N61" s="7">
        <v>23945.0</v>
      </c>
      <c r="O61" s="7">
        <v>23643.0</v>
      </c>
      <c r="P61" s="7">
        <v>23971.0</v>
      </c>
      <c r="Q61" s="7">
        <v>23458.0</v>
      </c>
      <c r="R61" s="7">
        <v>22259.0</v>
      </c>
      <c r="S61" s="7">
        <v>21121.0</v>
      </c>
      <c r="T61" s="3">
        <v>20931.0</v>
      </c>
      <c r="U61" s="3">
        <v>21853.0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</row>
    <row r="62" ht="12.75" customHeight="1">
      <c r="A62" s="3"/>
      <c r="B62" s="3" t="s">
        <v>85</v>
      </c>
      <c r="C62" s="7"/>
      <c r="D62" s="7"/>
      <c r="E62" s="7"/>
      <c r="F62" s="7"/>
      <c r="G62" s="7"/>
      <c r="H62" s="7"/>
      <c r="I62" s="7"/>
      <c r="J62" s="7"/>
      <c r="K62" s="7">
        <v>93404.0</v>
      </c>
      <c r="L62" s="7">
        <v>103320.0</v>
      </c>
      <c r="M62" s="7">
        <v>114803.0</v>
      </c>
      <c r="N62" s="7">
        <v>120564.0</v>
      </c>
      <c r="O62" s="7">
        <v>138245.0</v>
      </c>
      <c r="P62" s="7">
        <v>134001.0</v>
      </c>
      <c r="Q62" s="7">
        <v>131402.0</v>
      </c>
      <c r="R62" s="7">
        <v>137489.0</v>
      </c>
      <c r="S62" s="7">
        <v>146043.0</v>
      </c>
      <c r="T62" s="3">
        <v>154526.0</v>
      </c>
      <c r="U62" s="3">
        <v>168602.0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</row>
    <row r="63" ht="12.75" customHeight="1">
      <c r="A63" s="3"/>
      <c r="B63" s="3" t="s">
        <v>86</v>
      </c>
      <c r="C63" s="7"/>
      <c r="D63" s="7"/>
      <c r="E63" s="7"/>
      <c r="F63" s="7"/>
      <c r="G63" s="7"/>
      <c r="H63" s="7"/>
      <c r="I63" s="7"/>
      <c r="J63" s="7"/>
      <c r="K63" s="7">
        <f t="shared" ref="K63:U63" si="96">SUM(K56:K62)</f>
        <v>321195</v>
      </c>
      <c r="L63" s="7">
        <f t="shared" si="96"/>
        <v>323077</v>
      </c>
      <c r="M63" s="7">
        <f t="shared" si="96"/>
        <v>360319</v>
      </c>
      <c r="N63" s="7">
        <f t="shared" si="96"/>
        <v>382406</v>
      </c>
      <c r="O63" s="7">
        <f t="shared" si="96"/>
        <v>420549</v>
      </c>
      <c r="P63" s="7">
        <f t="shared" si="96"/>
        <v>410767</v>
      </c>
      <c r="Q63" s="7">
        <f t="shared" si="96"/>
        <v>419728</v>
      </c>
      <c r="R63" s="7">
        <f t="shared" si="96"/>
        <v>428362</v>
      </c>
      <c r="S63" s="7">
        <f t="shared" si="96"/>
        <v>462675</v>
      </c>
      <c r="T63" s="7">
        <f t="shared" si="96"/>
        <v>464378</v>
      </c>
      <c r="U63" s="7">
        <f t="shared" si="96"/>
        <v>477607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</row>
    <row r="64" ht="12.75" customHeight="1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2.75" customHeight="1">
      <c r="A65" s="3"/>
      <c r="B65" s="3" t="s">
        <v>87</v>
      </c>
      <c r="C65" s="7"/>
      <c r="D65" s="7"/>
      <c r="E65" s="7"/>
      <c r="F65" s="7"/>
      <c r="G65" s="7"/>
      <c r="H65" s="7"/>
      <c r="I65" s="7"/>
      <c r="J65" s="7"/>
      <c r="K65" s="7">
        <f t="shared" ref="K65:U65" si="97">+K32</f>
        <v>7222</v>
      </c>
      <c r="L65" s="7">
        <f t="shared" si="97"/>
        <v>8107</v>
      </c>
      <c r="M65" s="7">
        <f t="shared" si="97"/>
        <v>7778</v>
      </c>
      <c r="N65" s="7">
        <f t="shared" si="97"/>
        <v>3156</v>
      </c>
      <c r="O65" s="7">
        <f t="shared" si="97"/>
        <v>14323</v>
      </c>
      <c r="P65" s="7">
        <f t="shared" si="97"/>
        <v>-3844</v>
      </c>
      <c r="Q65" s="7">
        <f t="shared" si="97"/>
        <v>2982</v>
      </c>
      <c r="R65" s="7">
        <f t="shared" si="97"/>
        <v>2872</v>
      </c>
      <c r="S65" s="7">
        <f t="shared" si="97"/>
        <v>3247</v>
      </c>
      <c r="T65" s="7">
        <f t="shared" si="97"/>
        <v>3172</v>
      </c>
      <c r="U65" s="7">
        <f t="shared" si="97"/>
        <v>6750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</row>
    <row r="66" ht="12.75" customHeight="1">
      <c r="A66" s="3"/>
      <c r="B66" s="3" t="s">
        <v>88</v>
      </c>
      <c r="C66" s="7"/>
      <c r="D66" s="7"/>
      <c r="E66" s="7"/>
      <c r="F66" s="7"/>
      <c r="G66" s="7"/>
      <c r="H66" s="7"/>
      <c r="I66" s="7"/>
      <c r="J66" s="7"/>
      <c r="K66" s="7">
        <v>7222.0</v>
      </c>
      <c r="L66" s="7">
        <v>8107.0</v>
      </c>
      <c r="M66" s="7">
        <v>7778.0</v>
      </c>
      <c r="N66" s="7">
        <v>3156.0</v>
      </c>
      <c r="O66" s="7">
        <v>14323.0</v>
      </c>
      <c r="P66" s="7">
        <v>-3844.0</v>
      </c>
      <c r="Q66" s="7">
        <v>-2028.0</v>
      </c>
      <c r="R66" s="7">
        <v>2872.0</v>
      </c>
      <c r="S66" s="7">
        <v>278.0</v>
      </c>
      <c r="T66" s="7">
        <v>3172.0</v>
      </c>
      <c r="U66" s="3">
        <v>6750.0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</row>
    <row r="67" ht="12.75" customHeight="1">
      <c r="A67" s="3"/>
      <c r="B67" s="3" t="s">
        <v>89</v>
      </c>
      <c r="C67" s="7"/>
      <c r="D67" s="7"/>
      <c r="E67" s="7"/>
      <c r="F67" s="7"/>
      <c r="G67" s="7"/>
      <c r="H67" s="7"/>
      <c r="I67" s="7"/>
      <c r="J67" s="7"/>
      <c r="K67" s="7">
        <v>7618.0</v>
      </c>
      <c r="L67" s="7">
        <v>7508.0</v>
      </c>
      <c r="M67" s="7">
        <v>8038.0</v>
      </c>
      <c r="N67" s="7">
        <v>8948.0</v>
      </c>
      <c r="O67" s="7">
        <v>9802.0</v>
      </c>
      <c r="P67" s="7">
        <v>8978.0</v>
      </c>
      <c r="Q67" s="7">
        <v>9594.0</v>
      </c>
      <c r="R67" s="7">
        <v>10204.0</v>
      </c>
      <c r="S67" s="7">
        <v>12685.0</v>
      </c>
      <c r="T67" s="3">
        <v>11123.0</v>
      </c>
      <c r="U67" s="3">
        <v>11589.0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</row>
    <row r="68" ht="12.75" customHeight="1">
      <c r="A68" s="3"/>
      <c r="B68" s="3" t="s">
        <v>90</v>
      </c>
      <c r="C68" s="7"/>
      <c r="D68" s="7"/>
      <c r="E68" s="7"/>
      <c r="F68" s="7"/>
      <c r="G68" s="7"/>
      <c r="H68" s="7"/>
      <c r="I68" s="7"/>
      <c r="J68" s="7"/>
      <c r="K68" s="7">
        <v>2562.0</v>
      </c>
      <c r="L68" s="7">
        <v>2306.0</v>
      </c>
      <c r="M68" s="7">
        <v>3591.0</v>
      </c>
      <c r="N68" s="7">
        <v>3180.0</v>
      </c>
      <c r="O68" s="7">
        <v>3680.0</v>
      </c>
      <c r="P68" s="7">
        <v>3250.0</v>
      </c>
      <c r="Q68" s="7">
        <v>5209.0</v>
      </c>
      <c r="R68" s="7">
        <v>5556.0</v>
      </c>
      <c r="S68" s="7">
        <v>5606.0</v>
      </c>
      <c r="T68" s="3">
        <v>4748.0</v>
      </c>
      <c r="U68" s="3">
        <v>7127.0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</row>
    <row r="69" ht="12.75" customHeight="1">
      <c r="A69" s="3"/>
      <c r="B69" s="3" t="s">
        <v>42</v>
      </c>
      <c r="C69" s="7"/>
      <c r="D69" s="7"/>
      <c r="E69" s="7"/>
      <c r="F69" s="7"/>
      <c r="G69" s="7"/>
      <c r="H69" s="7"/>
      <c r="I69" s="7"/>
      <c r="J69" s="7"/>
      <c r="K69" s="7">
        <v>-487.0</v>
      </c>
      <c r="L69" s="7">
        <v>30.0</v>
      </c>
      <c r="M69" s="7">
        <v>18.0</v>
      </c>
      <c r="N69" s="7">
        <v>24.0</v>
      </c>
      <c r="O69" s="7">
        <v>65.0</v>
      </c>
      <c r="P69" s="7">
        <v>215.0</v>
      </c>
      <c r="Q69" s="7">
        <v>122.0</v>
      </c>
      <c r="R69" s="7">
        <v>123.0</v>
      </c>
      <c r="S69" s="7">
        <v>3445.0</v>
      </c>
      <c r="T69" s="3">
        <v>534.0</v>
      </c>
      <c r="U69" s="3">
        <v>47.0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</row>
    <row r="70" ht="12.75" customHeight="1">
      <c r="A70" s="3"/>
      <c r="B70" s="3" t="s">
        <v>42</v>
      </c>
      <c r="C70" s="7"/>
      <c r="D70" s="7"/>
      <c r="E70" s="7"/>
      <c r="F70" s="7"/>
      <c r="G70" s="7"/>
      <c r="H70" s="7"/>
      <c r="I70" s="7"/>
      <c r="J70" s="7"/>
      <c r="K70" s="7">
        <v>-1327.0</v>
      </c>
      <c r="L70" s="7">
        <v>-1456.0</v>
      </c>
      <c r="M70" s="7">
        <v>-1258.0</v>
      </c>
      <c r="N70" s="7">
        <v>340.0</v>
      </c>
      <c r="O70" s="7">
        <v>-11932.0</v>
      </c>
      <c r="P70" s="7">
        <v>8689.0</v>
      </c>
      <c r="Q70" s="7">
        <v>6104.0</v>
      </c>
      <c r="R70" s="7">
        <v>-1272.0</v>
      </c>
      <c r="S70" s="7">
        <v>0.0</v>
      </c>
      <c r="T70" s="3">
        <v>0.0</v>
      </c>
      <c r="U70" s="3">
        <v>0.0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</row>
    <row r="71" ht="12.75" customHeight="1">
      <c r="A71" s="3"/>
      <c r="B71" s="3" t="s">
        <v>91</v>
      </c>
      <c r="C71" s="7"/>
      <c r="D71" s="7"/>
      <c r="E71" s="7"/>
      <c r="F71" s="7"/>
      <c r="G71" s="7"/>
      <c r="H71" s="7"/>
      <c r="I71" s="7"/>
      <c r="J71" s="7"/>
      <c r="K71" s="7">
        <v>-1636.0</v>
      </c>
      <c r="L71" s="7">
        <v>1703.0</v>
      </c>
      <c r="M71" s="7">
        <v>701.0</v>
      </c>
      <c r="N71" s="7">
        <v>909.0</v>
      </c>
      <c r="O71" s="7">
        <v>-3623.0</v>
      </c>
      <c r="P71" s="7">
        <v>-2001.0</v>
      </c>
      <c r="Q71" s="7">
        <v>-1955.0</v>
      </c>
      <c r="R71" s="7">
        <v>-825.0</v>
      </c>
      <c r="S71" s="7">
        <v>-3367.0</v>
      </c>
      <c r="T71" s="3">
        <v>-472.0</v>
      </c>
      <c r="U71" s="3">
        <v>-2744.0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</row>
    <row r="72" ht="12.75" customHeight="1">
      <c r="A72" s="3"/>
      <c r="B72" s="3" t="s">
        <v>92</v>
      </c>
      <c r="C72" s="7"/>
      <c r="D72" s="7"/>
      <c r="E72" s="7"/>
      <c r="F72" s="7"/>
      <c r="G72" s="7"/>
      <c r="H72" s="7"/>
      <c r="I72" s="7"/>
      <c r="J72" s="7"/>
      <c r="K72" s="7">
        <f>329-4560+13249+7127+333</f>
        <v>16478</v>
      </c>
      <c r="L72" s="7">
        <f>-304-2255-8266-4060+900</f>
        <v>-13985</v>
      </c>
      <c r="M72" s="7">
        <f>-209-4462+47-1685+156</f>
        <v>-6153</v>
      </c>
      <c r="N72" s="7">
        <f>-7059-4890+3832-1465+338</f>
        <v>-9244</v>
      </c>
      <c r="O72" s="7">
        <f>-1915-6556+7989+9333+920</f>
        <v>9771</v>
      </c>
      <c r="P72" s="7">
        <f>-2614-1516-9380-5903+1336</f>
        <v>-18077</v>
      </c>
      <c r="Q72" s="7">
        <f>-3890-6799+3699-1412+321</f>
        <v>-8081</v>
      </c>
      <c r="R72" s="7">
        <f>732-4794-1226-20+54</f>
        <v>-5254</v>
      </c>
      <c r="S72" s="7">
        <f>3180-8788+9852+5777+505</f>
        <v>10526</v>
      </c>
      <c r="T72" s="3">
        <f>371+1521-11264-5763+818</f>
        <v>-14317</v>
      </c>
      <c r="U72" s="3">
        <f>-2373-5167+3029-1938+156</f>
        <v>-6293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</row>
    <row r="73" ht="12.75" customHeight="1">
      <c r="A73" s="3"/>
      <c r="B73" s="3" t="s">
        <v>93</v>
      </c>
      <c r="C73" s="7"/>
      <c r="D73" s="7"/>
      <c r="E73" s="7"/>
      <c r="F73" s="7"/>
      <c r="G73" s="7"/>
      <c r="H73" s="7"/>
      <c r="I73" s="7"/>
      <c r="J73" s="7"/>
      <c r="K73" s="7">
        <f t="shared" ref="K73:U73" si="98">SUM(K66:K72)</f>
        <v>30430</v>
      </c>
      <c r="L73" s="7">
        <f t="shared" si="98"/>
        <v>4213</v>
      </c>
      <c r="M73" s="7">
        <f t="shared" si="98"/>
        <v>12715</v>
      </c>
      <c r="N73" s="7">
        <f t="shared" si="98"/>
        <v>7313</v>
      </c>
      <c r="O73" s="7">
        <f t="shared" si="98"/>
        <v>22086</v>
      </c>
      <c r="P73" s="7">
        <f t="shared" si="98"/>
        <v>-2790</v>
      </c>
      <c r="Q73" s="7">
        <f t="shared" si="98"/>
        <v>8965</v>
      </c>
      <c r="R73" s="7">
        <f t="shared" si="98"/>
        <v>11404</v>
      </c>
      <c r="S73" s="7">
        <f t="shared" si="98"/>
        <v>29173</v>
      </c>
      <c r="T73" s="7">
        <f t="shared" si="98"/>
        <v>4788</v>
      </c>
      <c r="U73" s="7">
        <f t="shared" si="98"/>
        <v>16476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>
        <v>-119.782</v>
      </c>
      <c r="AG73" s="3">
        <v>174.291</v>
      </c>
      <c r="AH73" s="3">
        <v>392.022</v>
      </c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</row>
    <row r="74" ht="12.75" customHeight="1">
      <c r="A74" s="3"/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</row>
    <row r="75" ht="12.75" customHeight="1">
      <c r="A75" s="3"/>
      <c r="B75" s="3" t="s">
        <v>94</v>
      </c>
      <c r="C75" s="7"/>
      <c r="D75" s="7"/>
      <c r="E75" s="7"/>
      <c r="F75" s="7"/>
      <c r="G75" s="7"/>
      <c r="H75" s="7"/>
      <c r="I75" s="7"/>
      <c r="J75" s="7"/>
      <c r="K75" s="7">
        <v>-14824.0</v>
      </c>
      <c r="L75" s="7">
        <v>-12082.0</v>
      </c>
      <c r="M75" s="7">
        <v>-14288.0</v>
      </c>
      <c r="N75" s="7">
        <v>-15748.0</v>
      </c>
      <c r="O75" s="7">
        <v>-18935.0</v>
      </c>
      <c r="P75" s="7">
        <v>-14951.0</v>
      </c>
      <c r="Q75" s="7">
        <v>-15724.0</v>
      </c>
      <c r="R75" s="7">
        <v>-16378.0</v>
      </c>
      <c r="S75" s="7">
        <v>-16592.0</v>
      </c>
      <c r="T75" s="3">
        <v>-14207.0</v>
      </c>
      <c r="U75" s="3">
        <v>-11455.0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</row>
    <row r="76" ht="12.75" customHeight="1">
      <c r="A76" s="3"/>
      <c r="B76" s="3" t="s">
        <v>95</v>
      </c>
      <c r="C76" s="7"/>
      <c r="D76" s="7"/>
      <c r="E76" s="7"/>
      <c r="F76" s="7"/>
      <c r="G76" s="7"/>
      <c r="H76" s="7"/>
      <c r="I76" s="7"/>
      <c r="J76" s="7"/>
      <c r="K76" s="7">
        <v>1629.0</v>
      </c>
      <c r="L76" s="7">
        <v>895.0</v>
      </c>
      <c r="M76" s="7">
        <v>1300.0</v>
      </c>
      <c r="N76" s="7">
        <v>997.0</v>
      </c>
      <c r="O76" s="7">
        <v>2465.0</v>
      </c>
      <c r="P76" s="7">
        <v>1209.0</v>
      </c>
      <c r="Q76" s="7">
        <v>1626.0</v>
      </c>
      <c r="R76" s="7">
        <v>1337.0</v>
      </c>
      <c r="S76" s="7">
        <v>1152.0</v>
      </c>
      <c r="T76" s="3">
        <v>1137.0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</row>
    <row r="77" ht="12.75" customHeight="1">
      <c r="A77" s="3"/>
      <c r="B77" s="3" t="s">
        <v>96</v>
      </c>
      <c r="C77" s="7"/>
      <c r="D77" s="7"/>
      <c r="E77" s="7"/>
      <c r="F77" s="7"/>
      <c r="G77" s="7"/>
      <c r="H77" s="7"/>
      <c r="I77" s="7"/>
      <c r="J77" s="7"/>
      <c r="K77" s="7">
        <v>-380.0</v>
      </c>
      <c r="L77" s="7">
        <v>-630.0</v>
      </c>
      <c r="M77" s="7">
        <v>-320.0</v>
      </c>
      <c r="N77" s="7">
        <v>-654.0</v>
      </c>
      <c r="O77" s="7">
        <v>-381.0</v>
      </c>
      <c r="P77" s="7">
        <v>-6341.0</v>
      </c>
      <c r="Q77" s="7">
        <v>-259.0</v>
      </c>
      <c r="R77" s="7">
        <v>-885.0</v>
      </c>
      <c r="S77" s="7">
        <v>-831.0</v>
      </c>
      <c r="T77" s="3">
        <v>-3513.0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</row>
    <row r="78" ht="12.75" customHeight="1">
      <c r="A78" s="3"/>
      <c r="B78" s="3" t="s">
        <v>97</v>
      </c>
      <c r="C78" s="7"/>
      <c r="D78" s="7"/>
      <c r="E78" s="7"/>
      <c r="F78" s="7"/>
      <c r="G78" s="7"/>
      <c r="H78" s="7"/>
      <c r="I78" s="7"/>
      <c r="J78" s="7"/>
      <c r="K78" s="7">
        <f>17338-20801</f>
        <v>-3463</v>
      </c>
      <c r="L78" s="7">
        <f>17826-14675</f>
        <v>3151</v>
      </c>
      <c r="M78" s="7">
        <f>13213-21985</f>
        <v>-8772</v>
      </c>
      <c r="N78" s="7">
        <f>15808-15231</f>
        <v>577</v>
      </c>
      <c r="O78" s="7">
        <f>12537-8266</f>
        <v>4271</v>
      </c>
      <c r="P78" s="7">
        <f>22753-1764</f>
        <v>20989</v>
      </c>
      <c r="Q78" s="7">
        <f>2608-329</f>
        <v>2279</v>
      </c>
      <c r="R78" s="7">
        <f>557-239</f>
        <v>318</v>
      </c>
      <c r="S78" s="7">
        <f>5683-233</f>
        <v>5450</v>
      </c>
      <c r="T78" s="3">
        <f>1115-338</f>
        <v>777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</row>
    <row r="79" ht="12.75" customHeight="1">
      <c r="A79" s="3"/>
      <c r="B79" s="3" t="s">
        <v>98</v>
      </c>
      <c r="C79" s="7"/>
      <c r="D79" s="7"/>
      <c r="E79" s="7"/>
      <c r="F79" s="7"/>
      <c r="G79" s="7"/>
      <c r="H79" s="7"/>
      <c r="I79" s="7"/>
      <c r="J79" s="7"/>
      <c r="K79" s="7">
        <f t="shared" ref="K79:T79" si="99">SUM(K75:K78)</f>
        <v>-17038</v>
      </c>
      <c r="L79" s="7">
        <f t="shared" si="99"/>
        <v>-8666</v>
      </c>
      <c r="M79" s="7">
        <f t="shared" si="99"/>
        <v>-22080</v>
      </c>
      <c r="N79" s="7">
        <f t="shared" si="99"/>
        <v>-14828</v>
      </c>
      <c r="O79" s="7">
        <f t="shared" si="99"/>
        <v>-12580</v>
      </c>
      <c r="P79" s="7">
        <f t="shared" si="99"/>
        <v>906</v>
      </c>
      <c r="Q79" s="7">
        <f t="shared" si="99"/>
        <v>-12078</v>
      </c>
      <c r="R79" s="7">
        <f t="shared" si="99"/>
        <v>-15608</v>
      </c>
      <c r="S79" s="7">
        <f t="shared" si="99"/>
        <v>-10821</v>
      </c>
      <c r="T79" s="7">
        <f t="shared" si="99"/>
        <v>-15806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</row>
    <row r="80" ht="12.75" customHeight="1">
      <c r="A80" s="3"/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</row>
    <row r="81" ht="12.75" customHeight="1">
      <c r="A81" s="3"/>
      <c r="B81" s="3" t="s">
        <v>99</v>
      </c>
      <c r="C81" s="7"/>
      <c r="D81" s="7"/>
      <c r="E81" s="7"/>
      <c r="F81" s="7"/>
      <c r="G81" s="7"/>
      <c r="H81" s="7"/>
      <c r="I81" s="7"/>
      <c r="J81" s="7"/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-2666.0</v>
      </c>
      <c r="Q81" s="7">
        <v>-3334.0</v>
      </c>
      <c r="R81" s="7">
        <v>0.0</v>
      </c>
      <c r="S81" s="7">
        <v>0.0</v>
      </c>
      <c r="T81" s="3">
        <v>0.0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</row>
    <row r="82" ht="12.75" customHeight="1">
      <c r="A82" s="3"/>
      <c r="B82" s="3" t="s">
        <v>8</v>
      </c>
      <c r="C82" s="7"/>
      <c r="D82" s="7"/>
      <c r="E82" s="7"/>
      <c r="F82" s="7"/>
      <c r="G82" s="7"/>
      <c r="H82" s="7"/>
      <c r="I82" s="7"/>
      <c r="J82" s="7"/>
      <c r="K82" s="7">
        <f>2434-2291+531-113-2368-9</f>
        <v>-1816</v>
      </c>
      <c r="L82" s="7">
        <f>1926-2001+111-39-3406-67</f>
        <v>-3476</v>
      </c>
      <c r="M82" s="7">
        <f>18516-41-2804-28</f>
        <v>15643</v>
      </c>
      <c r="N82" s="7">
        <f>2187-1917+176-509-2693-20</f>
        <v>-2776</v>
      </c>
      <c r="O82" s="7">
        <f>2667-2659+200-1001-2260-47</f>
        <v>-3100</v>
      </c>
      <c r="P82" s="7">
        <f>13743-6231-2777-79</f>
        <v>4656</v>
      </c>
      <c r="Q82" s="7">
        <f>4865-7610+12824-1-2059-59</f>
        <v>7960</v>
      </c>
      <c r="R82" s="7">
        <f>12338-7916+107-1465-48</f>
        <v>3016</v>
      </c>
      <c r="S82" s="7">
        <f>10607-15797+8235-1257-1640-62</f>
        <v>86</v>
      </c>
      <c r="T82" s="3">
        <f>12780-3603-1386-1380-57</f>
        <v>6354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</row>
    <row r="83" ht="12.75" customHeight="1">
      <c r="A83" s="3"/>
      <c r="B83" s="3" t="s">
        <v>100</v>
      </c>
      <c r="C83" s="7"/>
      <c r="D83" s="7"/>
      <c r="E83" s="7"/>
      <c r="F83" s="7"/>
      <c r="G83" s="7"/>
      <c r="H83" s="7"/>
      <c r="I83" s="7"/>
      <c r="J83" s="7"/>
      <c r="K83" s="7">
        <f t="shared" ref="K83:T83" si="100">SUM(K81:K82)</f>
        <v>-1816</v>
      </c>
      <c r="L83" s="7">
        <f t="shared" si="100"/>
        <v>-3476</v>
      </c>
      <c r="M83" s="7">
        <f t="shared" si="100"/>
        <v>15643</v>
      </c>
      <c r="N83" s="7">
        <f t="shared" si="100"/>
        <v>-2776</v>
      </c>
      <c r="O83" s="7">
        <f t="shared" si="100"/>
        <v>-3100</v>
      </c>
      <c r="P83" s="7">
        <f t="shared" si="100"/>
        <v>1990</v>
      </c>
      <c r="Q83" s="7">
        <f t="shared" si="100"/>
        <v>4626</v>
      </c>
      <c r="R83" s="7">
        <f t="shared" si="100"/>
        <v>3016</v>
      </c>
      <c r="S83" s="7">
        <f t="shared" si="100"/>
        <v>86</v>
      </c>
      <c r="T83" s="7">
        <f t="shared" si="100"/>
        <v>6354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</row>
    <row r="84" ht="12.75" customHeight="1">
      <c r="A84" s="3"/>
      <c r="B84" s="3" t="s">
        <v>101</v>
      </c>
      <c r="C84" s="7"/>
      <c r="D84" s="7"/>
      <c r="E84" s="7"/>
      <c r="F84" s="7"/>
      <c r="G84" s="7"/>
      <c r="H84" s="7"/>
      <c r="I84" s="7"/>
      <c r="J84" s="7"/>
      <c r="K84" s="7">
        <v>599.0</v>
      </c>
      <c r="L84" s="7">
        <v>-293.0</v>
      </c>
      <c r="M84" s="7">
        <v>234.0</v>
      </c>
      <c r="N84" s="7">
        <v>-199.0</v>
      </c>
      <c r="O84" s="7">
        <v>-106.0</v>
      </c>
      <c r="P84" s="7">
        <v>16.0</v>
      </c>
      <c r="Q84" s="7">
        <v>-412.0</v>
      </c>
      <c r="R84" s="7">
        <v>-1334.0</v>
      </c>
      <c r="S84" s="7">
        <v>637.0</v>
      </c>
      <c r="T84" s="3">
        <v>145.0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</row>
    <row r="85" ht="12.75" customHeight="1">
      <c r="A85" s="3"/>
      <c r="B85" s="3" t="s">
        <v>102</v>
      </c>
      <c r="C85" s="7"/>
      <c r="D85" s="7"/>
      <c r="E85" s="7"/>
      <c r="F85" s="7"/>
      <c r="G85" s="7"/>
      <c r="H85" s="7"/>
      <c r="I85" s="7"/>
      <c r="J85" s="7"/>
      <c r="K85" s="7">
        <f t="shared" ref="K85:T85" si="101">+K84+K83+K79+K73</f>
        <v>12175</v>
      </c>
      <c r="L85" s="7">
        <f t="shared" si="101"/>
        <v>-8222</v>
      </c>
      <c r="M85" s="7">
        <f t="shared" si="101"/>
        <v>6512</v>
      </c>
      <c r="N85" s="7">
        <f t="shared" si="101"/>
        <v>-10490</v>
      </c>
      <c r="O85" s="7">
        <f t="shared" si="101"/>
        <v>6300</v>
      </c>
      <c r="P85" s="7">
        <f t="shared" si="101"/>
        <v>122</v>
      </c>
      <c r="Q85" s="7">
        <f t="shared" si="101"/>
        <v>1101</v>
      </c>
      <c r="R85" s="7">
        <f t="shared" si="101"/>
        <v>-2522</v>
      </c>
      <c r="S85" s="7">
        <f t="shared" si="101"/>
        <v>19075</v>
      </c>
      <c r="T85" s="7">
        <f t="shared" si="101"/>
        <v>-4519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</row>
    <row r="86" ht="12.75" customHeight="1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2.75" customHeight="1">
      <c r="A87" s="3"/>
      <c r="B87" s="3" t="s">
        <v>103</v>
      </c>
      <c r="C87" s="7"/>
      <c r="D87" s="7"/>
      <c r="E87" s="7"/>
      <c r="F87" s="7"/>
      <c r="G87" s="7"/>
      <c r="H87" s="7"/>
      <c r="I87" s="7"/>
      <c r="J87" s="7"/>
      <c r="K87" s="7">
        <v>1298.0</v>
      </c>
      <c r="L87" s="7">
        <v>1271.0</v>
      </c>
      <c r="M87" s="7">
        <v>1335.0</v>
      </c>
      <c r="N87" s="7">
        <v>1468.0</v>
      </c>
      <c r="O87" s="7">
        <v>1608.0</v>
      </c>
      <c r="P87" s="7">
        <v>1622.0</v>
      </c>
      <c r="Q87" s="7">
        <v>1523.0</v>
      </c>
      <c r="R87" s="7">
        <v>1544.0</v>
      </c>
      <c r="S87" s="7">
        <v>1541.0</v>
      </c>
      <c r="T87" s="3">
        <v>1465.0</v>
      </c>
      <c r="U87" s="3"/>
      <c r="V87" s="3"/>
      <c r="W87" s="3"/>
      <c r="X87" s="3"/>
      <c r="Y87" s="3"/>
      <c r="Z87" s="3"/>
      <c r="AA87" s="3"/>
      <c r="AB87" s="3"/>
      <c r="AC87" s="3">
        <v>2.1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</row>
    <row r="88" ht="12.75" customHeight="1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2.75" customHeight="1">
      <c r="A89" s="3"/>
      <c r="B89" s="3" t="s">
        <v>104</v>
      </c>
      <c r="C89" s="7"/>
      <c r="D89" s="7"/>
      <c r="E89" s="7"/>
      <c r="F89" s="7"/>
      <c r="G89" s="7">
        <v>1900.0</v>
      </c>
      <c r="H89" s="7">
        <v>1312.0</v>
      </c>
      <c r="I89" s="7">
        <v>2141.0</v>
      </c>
      <c r="J89" s="7">
        <v>2252.0</v>
      </c>
      <c r="K89" s="7">
        <v>2946.0</v>
      </c>
      <c r="L89" s="7">
        <v>3450.0</v>
      </c>
      <c r="M89" s="7">
        <v>3147.0</v>
      </c>
      <c r="N89" s="7">
        <v>880.0</v>
      </c>
      <c r="O89" s="7">
        <v>-206.0</v>
      </c>
      <c r="P89" s="7">
        <v>-1568.0</v>
      </c>
      <c r="Q89" s="7">
        <v>-627.0</v>
      </c>
      <c r="R89" s="7">
        <v>-412.0</v>
      </c>
      <c r="S89" s="7">
        <v>-240.0</v>
      </c>
      <c r="T89" s="3">
        <v>898.0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</row>
    <row r="90" ht="12.75" customHeight="1">
      <c r="A90" s="3"/>
      <c r="B90" s="3" t="s">
        <v>105</v>
      </c>
      <c r="C90" s="7"/>
      <c r="D90" s="7"/>
      <c r="E90" s="7"/>
      <c r="F90" s="7"/>
      <c r="G90" s="7">
        <v>-617.0</v>
      </c>
      <c r="H90" s="7">
        <v>-398.0</v>
      </c>
      <c r="I90" s="7">
        <v>345.0</v>
      </c>
      <c r="J90" s="7">
        <v>407.0</v>
      </c>
      <c r="K90" s="7">
        <v>363.0</v>
      </c>
      <c r="L90" s="7">
        <v>1252.0</v>
      </c>
      <c r="M90" s="7">
        <v>362.0</v>
      </c>
      <c r="N90" s="7">
        <v>-911.0</v>
      </c>
      <c r="O90" s="7">
        <v>-1627.0</v>
      </c>
      <c r="P90" s="7">
        <v>-1281.0</v>
      </c>
      <c r="Q90" s="7">
        <v>-1771.0</v>
      </c>
      <c r="R90" s="7">
        <v>-2466.0</v>
      </c>
      <c r="S90" s="7">
        <v>-2228.0</v>
      </c>
      <c r="T90" s="3">
        <v>-1247.0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</row>
    <row r="91" ht="12.75" customHeight="1">
      <c r="A91" s="3"/>
      <c r="B91" s="3" t="s">
        <v>106</v>
      </c>
      <c r="C91" s="7"/>
      <c r="D91" s="7"/>
      <c r="E91" s="7"/>
      <c r="F91" s="7"/>
      <c r="G91" s="7">
        <v>2596.0</v>
      </c>
      <c r="H91" s="7">
        <v>3075.0</v>
      </c>
      <c r="I91" s="7">
        <v>3357.0</v>
      </c>
      <c r="J91" s="7">
        <v>3535.0</v>
      </c>
      <c r="K91" s="7">
        <v>3564.0</v>
      </c>
      <c r="L91" s="7">
        <v>4163.0</v>
      </c>
      <c r="M91" s="7">
        <v>4193.0</v>
      </c>
      <c r="N91" s="7">
        <v>4883.0</v>
      </c>
      <c r="O91" s="7">
        <v>5293.0</v>
      </c>
      <c r="P91" s="7">
        <v>6518.0</v>
      </c>
      <c r="Q91" s="7">
        <v>5715.0</v>
      </c>
      <c r="R91" s="7">
        <v>5403.0</v>
      </c>
      <c r="S91" s="7">
        <v>5205.0</v>
      </c>
      <c r="T91" s="3">
        <v>5123.0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</row>
    <row r="92" ht="12.75" customHeight="1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2.75" customHeight="1">
      <c r="B93" s="3" t="s">
        <v>107</v>
      </c>
      <c r="C93" s="4"/>
      <c r="D93" s="4"/>
      <c r="E93" s="4"/>
      <c r="F93" s="4"/>
      <c r="G93" s="4"/>
      <c r="H93" s="4"/>
      <c r="I93" s="4"/>
      <c r="J93" s="4"/>
      <c r="K93" s="7">
        <f t="shared" ref="K93:T93" si="102">+K73+K75+K76</f>
        <v>17235</v>
      </c>
      <c r="L93" s="7">
        <f t="shared" si="102"/>
        <v>-6974</v>
      </c>
      <c r="M93" s="7">
        <f t="shared" si="102"/>
        <v>-273</v>
      </c>
      <c r="N93" s="7">
        <f t="shared" si="102"/>
        <v>-7438</v>
      </c>
      <c r="O93" s="7">
        <f t="shared" si="102"/>
        <v>5616</v>
      </c>
      <c r="P93" s="7">
        <f t="shared" si="102"/>
        <v>-16532</v>
      </c>
      <c r="Q93" s="7">
        <f t="shared" si="102"/>
        <v>-5133</v>
      </c>
      <c r="R93" s="7">
        <f t="shared" si="102"/>
        <v>-3637</v>
      </c>
      <c r="S93" s="7">
        <f t="shared" si="102"/>
        <v>13733</v>
      </c>
      <c r="T93" s="7">
        <f t="shared" si="102"/>
        <v>-8282</v>
      </c>
    </row>
    <row r="94" ht="12.75" customHeight="1">
      <c r="B94" s="3" t="s">
        <v>108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3">
        <f t="shared" ref="O94:T94" si="103">SUM(L93:O93)</f>
        <v>-9069</v>
      </c>
      <c r="P94" s="3">
        <f t="shared" si="103"/>
        <v>-18627</v>
      </c>
      <c r="Q94" s="3">
        <f t="shared" si="103"/>
        <v>-23487</v>
      </c>
      <c r="R94" s="3">
        <f t="shared" si="103"/>
        <v>-19686</v>
      </c>
      <c r="S94" s="3">
        <f t="shared" si="103"/>
        <v>-11569</v>
      </c>
      <c r="T94" s="3">
        <f t="shared" si="103"/>
        <v>-3319</v>
      </c>
    </row>
    <row r="95" ht="12.75" customHeight="1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2.75" customHeight="1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2.75" customHeight="1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2.75" customHeight="1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2.75" customHeight="1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2.75" customHeight="1">
      <c r="B100" s="1" t="s">
        <v>109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AB100" s="1">
        <v>7.25</v>
      </c>
      <c r="AC100" s="1">
        <v>28.73</v>
      </c>
      <c r="AD100" s="5">
        <f>11495/AD34</f>
        <v>71.35458356</v>
      </c>
    </row>
    <row r="101" ht="12.75" customHeight="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2.75" customHeight="1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2.75" customHeight="1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2.75" customHeight="1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2.75" customHeight="1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2.75" customHeight="1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2.75" customHeight="1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2.75" customHeight="1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2.75" customHeight="1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2.75" customHeight="1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2.75" customHeight="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2.75" customHeight="1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2.75" customHeight="1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2.75" customHeight="1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2.75" customHeight="1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2.75" customHeight="1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2.75" customHeight="1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2.75" customHeight="1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2.75" customHeight="1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2.75" customHeight="1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2.75" customHeight="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2.75" customHeight="1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2.75" customHeight="1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2.75" customHeight="1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2.75" customHeight="1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2.75" customHeight="1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2.75" customHeight="1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2.75" customHeight="1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2.75" customHeight="1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2.75" customHeight="1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2.75" customHeight="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2.75" customHeight="1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2.75" customHeight="1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2.75" customHeight="1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2.75" customHeight="1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2.75" customHeight="1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2.75" customHeight="1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2.75" customHeight="1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2.75" customHeight="1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2.75" customHeight="1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2.75" customHeight="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2.75" customHeight="1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2.75" customHeight="1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2.75" customHeight="1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2.75" customHeight="1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2.75" customHeight="1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2.75" customHeight="1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2.75" customHeight="1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2.75" customHeight="1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2.75" customHeight="1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2.75" customHeight="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2.75" customHeight="1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2.75" customHeight="1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2.75" customHeight="1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2.75" customHeight="1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2.75" customHeight="1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2.75" customHeight="1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2.75" customHeight="1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2.75" customHeight="1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2.75" customHeight="1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2.75" customHeight="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2.75" customHeight="1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2.75" customHeight="1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2.75" customHeight="1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2.75" customHeight="1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2.75" customHeight="1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2.75" customHeight="1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2.75" customHeight="1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2.75" customHeight="1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2.75" customHeight="1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2.75" customHeight="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2.75" customHeight="1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2.75" customHeight="1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2.75" customHeight="1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2.75" customHeight="1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2.75" customHeight="1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2.75" customHeight="1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2.75" customHeight="1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2.75" customHeight="1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2.75" customHeight="1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2.75" customHeight="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2.75" customHeight="1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2.75" customHeight="1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2.75" customHeight="1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2.75" customHeight="1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2.75" customHeight="1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2.75" customHeight="1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2.75" customHeight="1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2.75" customHeight="1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2.75" customHeight="1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2.75" customHeight="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2.75" customHeight="1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2.75" customHeight="1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2.75" customHeight="1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2.75" customHeight="1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2.75" customHeight="1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2.75" customHeight="1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2.75" customHeight="1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2.75" customHeight="1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2.75" customHeight="1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2.75" customHeight="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2.75" customHeight="1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2.75" customHeight="1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2.75" customHeight="1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2.75" customHeight="1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2.75" customHeight="1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2.75" customHeight="1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2.75" customHeight="1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2.75" customHeight="1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2.75" customHeight="1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2.75" customHeight="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2.75" customHeight="1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2.75" customHeight="1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2.75" customHeight="1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2.75" customHeight="1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2.75" customHeight="1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2.75" customHeight="1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2.75" customHeight="1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2.75" customHeight="1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2.75" customHeight="1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2.75" customHeight="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2.75" customHeight="1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2.75" customHeight="1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2.75" customHeight="1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2.75" customHeight="1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2.75" customHeight="1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2.75" customHeight="1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2.75" customHeight="1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2.75" customHeight="1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2.75" customHeight="1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2.75" customHeight="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2.75" customHeight="1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2.75" customHeight="1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2.75" customHeight="1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2.75" customHeight="1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2.75" customHeight="1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2.75" customHeight="1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2.75" customHeight="1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2.75" customHeight="1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2.75" customHeight="1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2.75" customHeight="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2.75" customHeight="1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2.75" customHeight="1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2.75" customHeight="1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2.75" customHeight="1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2.75" customHeight="1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2.75" customHeight="1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2.75" customHeight="1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2.75" customHeight="1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2.75" customHeight="1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2.75" customHeight="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2.75" customHeight="1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2.75" customHeight="1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2.75" customHeight="1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2.75" customHeight="1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2.75" customHeight="1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2.75" customHeight="1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2.75" customHeight="1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2.75" customHeight="1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2.75" customHeight="1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2.75" customHeight="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2.75" customHeight="1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2.75" customHeight="1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2.75" customHeight="1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2.75" customHeight="1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2.75" customHeight="1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2.75" customHeight="1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2.75" customHeight="1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2.75" customHeight="1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2.75" customHeight="1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2.75" customHeight="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2.75" customHeight="1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2.75" customHeight="1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2.75" customHeight="1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2.75" customHeight="1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2.75" customHeight="1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2.75" customHeight="1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2.75" customHeight="1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2.75" customHeight="1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2.75" customHeight="1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2.75" customHeight="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2.75" customHeight="1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2.75" customHeight="1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2.75" customHeight="1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2.75" customHeight="1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2.75" customHeight="1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2.75" customHeight="1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2.75" customHeight="1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2.75" customHeight="1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2.75" customHeight="1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2.75" customHeight="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2.75" customHeight="1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2.75" customHeight="1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2.75" customHeight="1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2.75" customHeight="1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2.75" customHeight="1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2.75" customHeight="1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2.75" customHeight="1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2.75" customHeight="1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2.75" customHeight="1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2.75" customHeight="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2.75" customHeight="1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2.75" customHeight="1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2.75" customHeight="1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2.75" customHeight="1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2.75" customHeight="1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2.75" customHeight="1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2.75" customHeight="1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2.75" customHeight="1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2.75" customHeight="1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2.75" customHeight="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2.75" customHeight="1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2.75" customHeight="1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2.75" customHeight="1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2.75" customHeight="1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2.75" customHeight="1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2.75" customHeight="1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2.75" customHeight="1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2.75" customHeight="1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2.75" customHeight="1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2.75" customHeight="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2.75" customHeight="1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2.75" customHeight="1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2.75" customHeight="1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2.75" customHeight="1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2.75" customHeight="1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2.75" customHeight="1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2.75" customHeight="1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2.75" customHeight="1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2.75" customHeight="1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2.75" customHeight="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2.75" customHeight="1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2.75" customHeight="1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2.75" customHeight="1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2.75" customHeight="1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2.75" customHeight="1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2.75" customHeight="1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2.75" customHeight="1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2.75" customHeight="1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2.75" customHeight="1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2.75" customHeight="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2.75" customHeight="1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2.75" customHeight="1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2.75" customHeight="1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2.75" customHeight="1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2.75" customHeight="1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2.75" customHeight="1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2.75" customHeight="1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2.75" customHeight="1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2.75" customHeight="1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2.75" customHeight="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2.75" customHeight="1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2.75" customHeight="1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2.75" customHeight="1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2.75" customHeight="1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2.75" customHeight="1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2.75" customHeight="1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2.75" customHeight="1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2.75" customHeight="1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2.75" customHeight="1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2.75" customHeight="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2.75" customHeight="1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2.75" customHeight="1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2.75" customHeight="1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2.75" customHeight="1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2.75" customHeight="1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2.75" customHeight="1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2.75" customHeight="1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2.75" customHeight="1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2.75" customHeight="1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2.75" customHeight="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2.75" customHeight="1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2.75" customHeight="1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2.75" customHeight="1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2.75" customHeight="1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2.75" customHeight="1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2.75" customHeight="1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2.75" customHeight="1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2.75" customHeight="1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2.75" customHeight="1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2.75" customHeight="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2.75" customHeight="1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2.75" customHeight="1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2.75" customHeight="1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2.75" customHeight="1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2.75" customHeight="1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2.75" customHeight="1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2.75" customHeight="1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2.75" customHeight="1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2.75" customHeight="1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2.75" customHeight="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2.75" customHeight="1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2.75" customHeight="1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2.75" customHeight="1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2.75" customHeight="1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2.75" customHeight="1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2.75" customHeight="1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2.75" customHeight="1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2.75" customHeight="1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2.75" customHeight="1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2.75" customHeight="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2.75" customHeight="1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2.75" customHeight="1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2.75" customHeight="1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2.75" customHeight="1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2.75" customHeight="1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2.75" customHeight="1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2.75" customHeight="1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2.75" customHeight="1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2.75" customHeight="1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2.75" customHeight="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2.75" customHeight="1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2.75" customHeight="1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2.75" customHeight="1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2.75" customHeight="1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2.75" customHeight="1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2.75" customHeight="1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2.75" customHeight="1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2.75" customHeight="1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2.75" customHeight="1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2.75" customHeight="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2.75" customHeight="1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2.75" customHeight="1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2.75" customHeight="1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2.75" customHeight="1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2.75" customHeight="1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2.75" customHeight="1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2.75" customHeight="1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2.75" customHeight="1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2.75" customHeight="1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2.75" customHeight="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2.75" customHeight="1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2.75" customHeight="1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2.75" customHeight="1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2.75" customHeight="1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2.75" customHeight="1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2.75" customHeight="1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2.75" customHeight="1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2.75" customHeight="1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2.75" customHeight="1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2.75" customHeight="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2.75" customHeight="1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2.75" customHeight="1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2.75" customHeight="1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2.75" customHeight="1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2.75" customHeight="1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2.75" customHeight="1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2.75" customHeight="1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2.75" customHeight="1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2.75" customHeight="1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2.75" customHeight="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2.75" customHeight="1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2.75" customHeight="1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2.75" customHeight="1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2.75" customHeight="1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2.75" customHeight="1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2.75" customHeight="1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2.75" customHeight="1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2.75" customHeight="1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2.75" customHeight="1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2.75" customHeight="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2.75" customHeight="1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2.75" customHeight="1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2.75" customHeight="1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2.75" customHeight="1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2.75" customHeight="1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2.75" customHeight="1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2.75" customHeight="1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2.75" customHeight="1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2.75" customHeight="1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2.75" customHeight="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2.75" customHeight="1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2.75" customHeight="1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2.75" customHeight="1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2.75" customHeight="1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2.75" customHeight="1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2.75" customHeight="1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2.75" customHeight="1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2.75" customHeight="1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2.75" customHeight="1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2.75" customHeight="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2.75" customHeight="1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2.75" customHeight="1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2.75" customHeight="1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2.75" customHeight="1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2.75" customHeight="1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2.75" customHeight="1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2.75" customHeight="1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2.75" customHeight="1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2.75" customHeight="1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2.75" customHeight="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2.75" customHeight="1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2.75" customHeight="1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2.75" customHeight="1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2.75" customHeight="1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2.75" customHeight="1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2.75" customHeight="1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2.75" customHeight="1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2.75" customHeight="1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2.75" customHeight="1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2.75" customHeight="1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2.75" customHeight="1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2.75" customHeight="1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2.75" customHeight="1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2.75" customHeight="1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2.75" customHeight="1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2.75" customHeight="1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2.75" customHeight="1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2.75" customHeight="1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2.75" customHeight="1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2.75" customHeight="1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2.75" customHeight="1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2.75" customHeight="1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2.75" customHeight="1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2.75" customHeight="1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2.75" customHeight="1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2.75" customHeight="1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2.75" customHeight="1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2.75" customHeight="1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2.75" customHeight="1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2.75" customHeight="1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2.75" customHeight="1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2.75" customHeight="1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2.75" customHeight="1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2.75" customHeight="1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2.75" customHeight="1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2.75" customHeight="1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2.75" customHeight="1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2.75" customHeight="1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2.75" customHeight="1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2.75" customHeight="1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2.75" customHeight="1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2.75" customHeight="1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2.75" customHeight="1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2.75" customHeight="1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2.75" customHeight="1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2.75" customHeight="1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2.75" customHeight="1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2.75" customHeight="1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2.75" customHeight="1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2.75" customHeight="1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2.75" customHeight="1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2.75" customHeight="1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2.75" customHeight="1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2.75" customHeight="1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2.75" customHeight="1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2.75" customHeight="1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2.75" customHeight="1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2.75" customHeight="1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2.75" customHeight="1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2.75" customHeight="1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2.75" customHeight="1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2.75" customHeight="1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2.75" customHeight="1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2.75" customHeight="1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2.75" customHeight="1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2.75" customHeight="1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2.75" customHeight="1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2.75" customHeight="1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2.75" customHeight="1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2.75" customHeight="1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2.75" customHeight="1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2.75" customHeight="1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2.75" customHeight="1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2.75" customHeight="1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2.75" customHeight="1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2.75" customHeight="1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2.75" customHeight="1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2.75" customHeight="1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2.75" customHeight="1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2.75" customHeight="1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2.75" customHeight="1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2.75" customHeight="1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2.75" customHeight="1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2.75" customHeight="1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2.75" customHeight="1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2.75" customHeight="1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2.75" customHeight="1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2.75" customHeight="1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2.75" customHeight="1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2.75" customHeight="1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2.75" customHeight="1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2.75" customHeight="1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2.75" customHeight="1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2.75" customHeight="1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2.75" customHeight="1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2.75" customHeight="1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2.75" customHeight="1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2.75" customHeight="1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2.75" customHeight="1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2.75" customHeight="1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2.75" customHeight="1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2.75" customHeight="1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2.75" customHeight="1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2.75" customHeight="1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2.75" customHeight="1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2.75" customHeight="1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2.75" customHeight="1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2.75" customHeight="1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2.75" customHeight="1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2.75" customHeight="1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2.75" customHeight="1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2.75" customHeight="1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2.75" customHeight="1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2.75" customHeight="1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2.75" customHeight="1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2.75" customHeight="1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2.75" customHeight="1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2.75" customHeight="1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2.75" customHeight="1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2.75" customHeight="1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2.75" customHeight="1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2.75" customHeight="1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2.75" customHeight="1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2.75" customHeight="1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2.75" customHeight="1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2.75" customHeight="1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2.75" customHeight="1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2.75" customHeight="1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2.75" customHeight="1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2.75" customHeight="1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2.75" customHeight="1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2.75" customHeight="1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2.75" customHeight="1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2.75" customHeight="1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2.75" customHeight="1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2.75" customHeight="1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2.75" customHeight="1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2.75" customHeight="1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2.75" customHeight="1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2.75" customHeight="1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2.75" customHeight="1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2.75" customHeight="1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2.75" customHeight="1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2.75" customHeight="1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2.75" customHeight="1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2.75" customHeight="1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2.75" customHeight="1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2.75" customHeight="1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2.75" customHeight="1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2.75" customHeight="1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2.75" customHeight="1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2.75" customHeight="1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2.75" customHeight="1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2.75" customHeight="1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2.75" customHeight="1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2.75" customHeight="1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2.75" customHeight="1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2.75" customHeight="1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2.75" customHeight="1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2.75" customHeight="1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2.75" customHeight="1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2.75" customHeight="1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2.75" customHeight="1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2.75" customHeight="1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2.75" customHeight="1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2.75" customHeight="1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2.75" customHeight="1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2.75" customHeight="1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2.75" customHeight="1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2.75" customHeight="1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2.75" customHeight="1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2.75" customHeight="1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2.75" customHeight="1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2.75" customHeight="1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2.75" customHeight="1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2.75" customHeight="1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2.75" customHeight="1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2.75" customHeight="1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2.75" customHeight="1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2.75" customHeight="1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2.75" customHeight="1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2.75" customHeight="1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2.75" customHeight="1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2.75" customHeight="1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2.75" customHeight="1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2.75" customHeight="1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2.75" customHeight="1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2.75" customHeight="1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2.75" customHeight="1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2.75" customHeight="1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2.75" customHeight="1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2.75" customHeight="1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2.75" customHeight="1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2.75" customHeight="1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2.75" customHeight="1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2.75" customHeight="1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2.75" customHeight="1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2.75" customHeight="1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2.75" customHeight="1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2.75" customHeight="1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2.75" customHeight="1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2.75" customHeight="1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2.75" customHeight="1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2.75" customHeight="1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2.75" customHeight="1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2.75" customHeight="1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2.75" customHeight="1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2.75" customHeight="1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2.75" customHeight="1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2.75" customHeight="1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2.75" customHeight="1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2.75" customHeight="1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2.75" customHeight="1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2.75" customHeight="1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2.75" customHeight="1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2.75" customHeight="1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2.75" customHeight="1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2.75" customHeight="1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2.75" customHeight="1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2.75" customHeight="1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2.75" customHeight="1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2.75" customHeight="1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2.75" customHeight="1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2.75" customHeight="1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2.75" customHeight="1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2.75" customHeight="1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2.75" customHeight="1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2.75" customHeight="1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2.75" customHeight="1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2.75" customHeight="1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2.75" customHeight="1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2.75" customHeight="1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2.75" customHeight="1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2.75" customHeight="1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2.75" customHeight="1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2.75" customHeight="1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2.75" customHeight="1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2.75" customHeight="1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2.75" customHeight="1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2.75" customHeight="1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2.75" customHeight="1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2.75" customHeight="1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2.75" customHeight="1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2.75" customHeight="1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2.75" customHeight="1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2.75" customHeight="1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2.75" customHeight="1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2.75" customHeight="1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2.75" customHeight="1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2.75" customHeight="1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2.75" customHeight="1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2.75" customHeight="1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2.75" customHeight="1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2.75" customHeight="1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2.75" customHeight="1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2.75" customHeight="1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2.75" customHeight="1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2.75" customHeight="1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2.75" customHeight="1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2.75" customHeight="1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2.75" customHeight="1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2.75" customHeight="1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2.75" customHeight="1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2.75" customHeight="1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2.75" customHeight="1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2.75" customHeight="1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2.75" customHeight="1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2.75" customHeight="1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2.75" customHeight="1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2.75" customHeight="1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2.75" customHeight="1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2.75" customHeight="1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2.75" customHeight="1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2.75" customHeight="1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2.75" customHeight="1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2.75" customHeight="1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2.75" customHeight="1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2.75" customHeight="1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2.75" customHeight="1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2.75" customHeight="1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2.75" customHeight="1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2.75" customHeight="1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2.75" customHeight="1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2.75" customHeight="1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2.75" customHeight="1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2.75" customHeight="1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2.75" customHeight="1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2.75" customHeight="1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2.75" customHeight="1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2.75" customHeight="1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2.75" customHeight="1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2.75" customHeight="1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2.75" customHeight="1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2.75" customHeight="1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2.75" customHeight="1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2.75" customHeight="1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2.75" customHeight="1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2.75" customHeight="1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2.75" customHeight="1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2.75" customHeight="1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2.75" customHeight="1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2.75" customHeight="1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2.75" customHeight="1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2.75" customHeight="1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2.75" customHeight="1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2.75" customHeight="1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2.75" customHeight="1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2.75" customHeight="1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2.75" customHeight="1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2.75" customHeight="1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2.75" customHeight="1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2.75" customHeight="1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2.75" customHeight="1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2.75" customHeight="1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2.75" customHeight="1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2.75" customHeight="1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2.75" customHeight="1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2.75" customHeight="1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2.75" customHeight="1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2.75" customHeight="1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2.75" customHeight="1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2.75" customHeight="1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2.75" customHeight="1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2.75" customHeight="1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2.75" customHeight="1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2.75" customHeight="1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2.75" customHeight="1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2.75" customHeight="1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2.75" customHeight="1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2.75" customHeight="1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2.75" customHeight="1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2.75" customHeight="1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2.75" customHeight="1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2.75" customHeight="1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2.75" customHeight="1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2.75" customHeight="1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2.75" customHeight="1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2.75" customHeight="1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2.75" customHeight="1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2.75" customHeight="1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2.75" customHeight="1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2.75" customHeight="1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2.75" customHeight="1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2.75" customHeight="1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2.75" customHeight="1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2.75" customHeight="1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2.75" customHeight="1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2.75" customHeight="1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2.75" customHeight="1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2.75" customHeight="1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2.75" customHeight="1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2.75" customHeight="1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2.75" customHeight="1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2.75" customHeight="1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2.75" customHeight="1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2.75" customHeight="1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2.75" customHeight="1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2.75" customHeight="1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2.75" customHeight="1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2.75" customHeight="1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2.75" customHeight="1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2.75" customHeight="1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2.75" customHeight="1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2.75" customHeight="1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2.75" customHeight="1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2.75" customHeight="1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2.75" customHeight="1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2.75" customHeight="1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2.75" customHeight="1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2.75" customHeight="1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2.75" customHeight="1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2.75" customHeight="1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2.75" customHeight="1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2.75" customHeight="1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2.75" customHeight="1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2.75" customHeight="1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2.75" customHeight="1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2.75" customHeight="1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2.75" customHeight="1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2.75" customHeight="1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2.75" customHeight="1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2.75" customHeight="1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2.75" customHeight="1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2.75" customHeight="1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2.75" customHeight="1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2.75" customHeight="1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2.75" customHeight="1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2.75" customHeight="1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2.75" customHeight="1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2.75" customHeight="1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2.75" customHeight="1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2.75" customHeight="1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2.75" customHeight="1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2.75" customHeight="1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2.75" customHeight="1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2.75" customHeight="1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2.75" customHeight="1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2.75" customHeight="1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2.75" customHeight="1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2.75" customHeight="1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2.75" customHeight="1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2.75" customHeight="1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2.75" customHeight="1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2.75" customHeight="1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2.75" customHeight="1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2.75" customHeight="1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2.75" customHeight="1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2.75" customHeight="1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2.75" customHeight="1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2.75" customHeight="1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2.75" customHeight="1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2.75" customHeight="1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2.75" customHeight="1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2.75" customHeight="1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2.75" customHeight="1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2.75" customHeight="1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2.75" customHeight="1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2.75" customHeight="1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2.75" customHeight="1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2.75" customHeight="1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2.75" customHeight="1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2.75" customHeight="1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2.75" customHeight="1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2.75" customHeight="1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2.75" customHeight="1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2.75" customHeight="1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2.75" customHeight="1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2.75" customHeight="1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2.75" customHeight="1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2.75" customHeight="1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2.75" customHeight="1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2.75" customHeight="1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2.75" customHeight="1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2.75" customHeight="1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2.75" customHeight="1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2.75" customHeight="1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2.75" customHeight="1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2.75" customHeight="1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2.75" customHeight="1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2.75" customHeight="1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2.75" customHeight="1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2.75" customHeight="1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2.75" customHeight="1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2.75" customHeight="1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2.75" customHeight="1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2.75" customHeight="1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2.75" customHeight="1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2.75" customHeight="1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2.75" customHeight="1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2.75" customHeight="1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2.75" customHeight="1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2.75" customHeight="1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2.75" customHeight="1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2.75" customHeight="1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2.75" customHeight="1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2.75" customHeight="1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2.75" customHeight="1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2.75" customHeight="1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2.75" customHeight="1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2.75" customHeight="1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2.75" customHeight="1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2.75" customHeight="1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ht="12.75" customHeight="1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ht="12.75" customHeight="1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ht="12.75" customHeight="1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ht="12.75" customHeight="1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ht="12.75" customHeight="1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ht="12.75" customHeight="1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ht="12.75" customHeight="1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ht="12.75" customHeight="1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ht="12.75" customHeight="1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ht="12.75" customHeight="1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ht="12.75" customHeight="1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ht="12.75" customHeight="1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ht="12.75" customHeight="1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ht="12.75" customHeight="1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12.75" customHeight="1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ht="12.75" customHeight="1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ht="12.75" customHeight="1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ht="12.75" customHeight="1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ht="12.75" customHeight="1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ht="12.75" customHeight="1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ht="12.75" customHeight="1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12.75" customHeight="1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ht="12.75" customHeight="1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ht="12.75" customHeight="1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ht="12.75" customHeight="1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ht="12.75" customHeight="1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ht="12.75" customHeight="1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ht="12.75" customHeight="1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ht="12.75" customHeight="1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ht="12.75" customHeight="1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ht="12.75" customHeight="1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ht="12.75" customHeight="1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ht="12.75" customHeight="1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ht="12.75" customHeight="1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ht="12.75" customHeight="1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ht="12.75" customHeight="1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ht="12.75" customHeight="1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ht="12.75" customHeight="1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ht="12.75" customHeight="1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ht="12.75" customHeight="1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ht="12.75" customHeight="1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ht="12.75" customHeight="1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ht="12.75" customHeight="1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ht="12.75" customHeight="1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ht="12.75" customHeight="1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ht="12.75" customHeight="1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ht="12.75" customHeight="1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</sheetData>
  <hyperlinks>
    <hyperlink display="Main" location="Main!A1" ref="A1"/>
  </hyperlinks>
  <printOptions/>
  <pageMargins bottom="0.75" footer="0.0" header="0.0" left="0.7" right="0.7" top="0.75"/>
  <pageSetup paperSize="9" orientation="portrait"/>
  <drawing r:id="rId2"/>
  <legacyDrawing r:id="rId3"/>
</worksheet>
</file>