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Model" sheetId="2" r:id="rId5"/>
    <sheet state="visible" name="IP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2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Reels &gt;1B run-rate</t>
      </text>
    </comment>
    <comment authorId="0" ref="R2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Q321: 31.5B-34B guidance</t>
      </text>
    </comment>
    <comment authorId="0" ref="S2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Q421 guidance: 27-29B</t>
      </text>
    </comment>
    <comment authorId="0" ref="T2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Q122 guidance: 28-30B</t>
      </text>
    </comment>
    <comment authorId="0" ref="U2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Q222 guidance: 26-28.5B</t>
      </text>
    </comment>
    <comment authorId="0" ref="V2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Q322: 30.0-32.5B</t>
      </text>
    </comment>
    <comment authorId="0" ref="W2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26.0-28.5B given Q422</t>
      </text>
    </comment>
  </commentList>
</comments>
</file>

<file path=xl/sharedStrings.xml><?xml version="1.0" encoding="utf-8"?>
<sst xmlns="http://schemas.openxmlformats.org/spreadsheetml/2006/main" count="245" uniqueCount="208">
  <si>
    <t xml:space="preserve"> </t>
  </si>
  <si>
    <t>Price</t>
  </si>
  <si>
    <t>Facebook</t>
  </si>
  <si>
    <t>50% of time Video</t>
  </si>
  <si>
    <t>Shares</t>
  </si>
  <si>
    <t>Q322</t>
  </si>
  <si>
    <t>Instagram</t>
  </si>
  <si>
    <t>20% of time Reels</t>
  </si>
  <si>
    <t>MC</t>
  </si>
  <si>
    <t>Stories?</t>
  </si>
  <si>
    <t>Cash</t>
  </si>
  <si>
    <t>WhatsApp</t>
  </si>
  <si>
    <t>Debt</t>
  </si>
  <si>
    <t>EV</t>
  </si>
  <si>
    <t>Reality Labs</t>
  </si>
  <si>
    <t>Horizon</t>
  </si>
  <si>
    <t>Quest</t>
  </si>
  <si>
    <t>Class A</t>
  </si>
  <si>
    <t>Class B</t>
  </si>
  <si>
    <t>CEO: Mark Zuckerburg since 2004</t>
  </si>
  <si>
    <t>CFO: Dave Wehner</t>
  </si>
  <si>
    <t>COO: Javier Olivian replaces Sheryl Sandberg who resigns 5/28/22</t>
  </si>
  <si>
    <t>BOD: Andreessen, Alford, Houston, Killefer, Kimmitt, Sandberg, Travis, Xu</t>
  </si>
  <si>
    <t>Acquisitions</t>
  </si>
  <si>
    <t>IR: Deborah Crawford investor@fb.com</t>
  </si>
  <si>
    <t>tbh 2017 - Nikita Bier</t>
  </si>
  <si>
    <t>2012: IPO</t>
  </si>
  <si>
    <t>2/4/2004: Founded</t>
  </si>
  <si>
    <t>Quarterly Disclosures</t>
  </si>
  <si>
    <t>https://investor.fb.com/financials/default.aspx</t>
  </si>
  <si>
    <t>Menlo Park, CA</t>
  </si>
  <si>
    <t>650-543-4800</t>
  </si>
  <si>
    <t>Main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</si>
  <si>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</si>
  <si>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</si>
  <si>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</si>
  <si>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</si>
  <si>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</si>
  <si>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</si>
  <si>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</si>
  <si>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</si>
  <si>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</si>
  <si>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</si>
  <si>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</si>
  <si>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</si>
  <si>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</si>
  <si>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</si>
  <si>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</si>
  <si>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</si>
  <si>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</si>
  <si>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</si>
  <si>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Q422</t>
  </si>
  <si>
    <t>Q123</t>
  </si>
  <si>
    <t>Q223</t>
  </si>
  <si>
    <t>Q323</t>
  </si>
  <si>
    <t>Q423</t>
  </si>
  <si>
    <t>Family DAP</t>
  </si>
  <si>
    <t>Family MAP</t>
  </si>
  <si>
    <t>Facebook DAU</t>
  </si>
  <si>
    <t xml:space="preserve">  US/CA</t>
  </si>
  <si>
    <t xml:space="preserve">  US/CA ARPU</t>
  </si>
  <si>
    <t>Facebook MAU</t>
  </si>
  <si>
    <t>Global ARPP</t>
  </si>
  <si>
    <t xml:space="preserve">  2Q MA</t>
  </si>
  <si>
    <t xml:space="preserve">  y/y</t>
  </si>
  <si>
    <t>Family MARPU</t>
  </si>
  <si>
    <t>Family DARPU</t>
  </si>
  <si>
    <t>ROW Ads</t>
  </si>
  <si>
    <t>APAC Ads</t>
  </si>
  <si>
    <t>EU Ads</t>
  </si>
  <si>
    <t>USCA Ads</t>
  </si>
  <si>
    <t>Other</t>
  </si>
  <si>
    <t>Reality</t>
  </si>
  <si>
    <t>Ads</t>
  </si>
  <si>
    <t>Revenue</t>
  </si>
  <si>
    <t>COGS</t>
  </si>
  <si>
    <t>Gross Margin</t>
  </si>
  <si>
    <t>R&amp;D</t>
  </si>
  <si>
    <t>M&amp;S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</si>
  <si>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</si>
  <si>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</si>
  <si>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</si>
  <si>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</si>
  <si>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</si>
  <si>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</si>
  <si>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</si>
  <si>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</si>
  <si>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Revenue y/y</t>
  </si>
  <si>
    <t>US Revenue y/y</t>
  </si>
  <si>
    <t>Ad Volume y/y</t>
  </si>
  <si>
    <t>Ad Pricing y/y</t>
  </si>
  <si>
    <t>Reality y/y</t>
  </si>
  <si>
    <t>OpEx y/y</t>
  </si>
  <si>
    <t>Operating Margin</t>
  </si>
  <si>
    <t>NPV</t>
  </si>
  <si>
    <t>Tax Rate</t>
  </si>
  <si>
    <t>Discount</t>
  </si>
  <si>
    <t>Terminal</t>
  </si>
  <si>
    <t>Net Cash</t>
  </si>
  <si>
    <t>ROIC</t>
  </si>
  <si>
    <t>Share</t>
  </si>
  <si>
    <t>AR</t>
  </si>
  <si>
    <t>Upside</t>
  </si>
  <si>
    <t>Prepaids</t>
  </si>
  <si>
    <t>PPE</t>
  </si>
  <si>
    <t>Lease ROU</t>
  </si>
  <si>
    <t>Intangibles</t>
  </si>
  <si>
    <t>Assets</t>
  </si>
  <si>
    <t>AP</t>
  </si>
  <si>
    <t>Partners Payable</t>
  </si>
  <si>
    <t>Leases</t>
  </si>
  <si>
    <t>AE</t>
  </si>
  <si>
    <t>DR</t>
  </si>
  <si>
    <t>OL</t>
  </si>
  <si>
    <t>PIC</t>
  </si>
  <si>
    <t>AOCL</t>
  </si>
  <si>
    <t>Retained</t>
  </si>
  <si>
    <t>L+SE</t>
  </si>
  <si>
    <t>Model NI</t>
  </si>
  <si>
    <t>Reported NI</t>
  </si>
  <si>
    <t>D&amp;A</t>
  </si>
  <si>
    <t>SBC</t>
  </si>
  <si>
    <t>DT</t>
  </si>
  <si>
    <t>WC</t>
  </si>
  <si>
    <t>CFFO</t>
  </si>
  <si>
    <t>CapEx</t>
  </si>
  <si>
    <t>Investing</t>
  </si>
  <si>
    <t>CFFI</t>
  </si>
  <si>
    <t>SBC Taxes</t>
  </si>
  <si>
    <t>Buybacks</t>
  </si>
  <si>
    <t>CFFF</t>
  </si>
  <si>
    <t>FX</t>
  </si>
  <si>
    <t>CIC</t>
  </si>
  <si>
    <t>Headcount</t>
  </si>
  <si>
    <t xml:space="preserve">  Change q/q</t>
  </si>
  <si>
    <t>FCF</t>
  </si>
  <si>
    <t>FCF TTM</t>
  </si>
  <si>
    <t>Reality Labs OI</t>
  </si>
  <si>
    <t>Reality Labs 6mo y/y</t>
  </si>
  <si>
    <t>Family OI</t>
  </si>
  <si>
    <t>Family OM%</t>
  </si>
  <si>
    <t>Stock Price (period end)</t>
  </si>
  <si>
    <t>Number</t>
  </si>
  <si>
    <t>Filed</t>
  </si>
  <si>
    <t>Issued</t>
  </si>
  <si>
    <t>Entity</t>
  </si>
  <si>
    <t>Inventors</t>
  </si>
  <si>
    <t>Relevance</t>
  </si>
  <si>
    <t>Title</t>
  </si>
  <si>
    <t>FACEBOOK TECHNOLOGIES, LLC (Menlo Park, CA)</t>
  </si>
  <si>
    <t>Satpathy; Sudhir (Redmond, WA), Powiertowski; Wojciech Stefan (Kirkland, WA), Modadugu; Nagendra Gupta (San Francisco, CA), Upasani; Neeraj (Sammamish, WA)</t>
  </si>
  <si>
    <t>Monitoring circuit including cascaded s-boxes for fault injection attack protection</t>
  </si>
  <si>
    <t>Bond; Lars Anders (San Mateo, CA), Georg; Francesco (Mountain View, CA), Ocampo; Christopher John (Dublin, CA), Slater; Michael (Nottingham, GB), Smet; Stef Marc (London, GB), Verlinde; Hannes (Post-MSX, GB)</t>
  </si>
  <si>
    <t>Virtual reality-based augmented reality development system</t>
  </si>
  <si>
    <t xml:space="preserve">	FACEBOOK TECHNOLOGIES, LLC (Menlo Park, CA)</t>
  </si>
  <si>
    <t>Lu; Lu (Kirkland, WA), Li; Gang (Bothwell, WA), Lee; Seungjae (Redmond, WA), Wang; Mengfi (Seattle, WA)</t>
  </si>
  <si>
    <t>Pancake lens including diffuser</t>
  </si>
  <si>
    <t>Gollier; Jacques (Sammamish, WA), Geng; Ying (Bellevue, WA), Chen; Dong (Foster City, CA)</t>
  </si>
  <si>
    <t>High-resolution liquid crystal displays</t>
  </si>
  <si>
    <t xml:space="preserve">	Facebook Technologies, LLC (Menlo Park, CA)</t>
  </si>
  <si>
    <t>Fluidic valve</t>
  </si>
  <si>
    <t>Facebook Technologies, LLC (Menlo Park, CA)</t>
  </si>
  <si>
    <t xml:space="preserve">	Schied; Christoph Hermann (Seattle, WA), Kaplanyan; Anton S. (Redmond, WA)</t>
  </si>
  <si>
    <t>Systems and methods for graphics rendering based on machine learning</t>
  </si>
  <si>
    <t xml:space="preserve">	Hirsh; Seth Michael (Seattle, WA), Chao; Qing (Redmond, WA), Cavin; Robert Dale (Seattle, WA), Guestrin; Elias Daniel (Redmond, WA), Hall; Michael (Bellevue, WA)</t>
  </si>
  <si>
    <t>Gaze detection pipeline in an artificial reality system</t>
  </si>
  <si>
    <t xml:space="preserve">	Bikumandla; Manoj (Union City, CA), Bardagjy; Andrew Matthew (Seattle, WA), Hazegh; Cina (Walnut Creek, CA)</t>
  </si>
  <si>
    <t>Systems and methods for optical demodulation in a depth-sensing device</t>
  </si>
  <si>
    <t>Ning; Tianxin (Mountain View, CA), Jiang; Haomiao (Sunnyvale, CA), Bastani; Behnam (Palo Alto, CA)</t>
  </si>
  <si>
    <t>Systems and methods for temporal anti-aliasing</t>
  </si>
  <si>
    <t xml:space="preserve">	Facebook Technologies, LLC. (Menlo Park, CA)</t>
  </si>
  <si>
    <t>Buckley; Edward (Redmond, WA)</t>
  </si>
  <si>
    <t>Systems and methods for mask-based spatio-temporal dithering</t>
  </si>
  <si>
    <t>Tamama; Hideo (Kirkland, WA), Mathur; Alok Kumar (Cupertino, CA), Clohset; Steve John (San Francisco, CA)</t>
  </si>
  <si>
    <t>Artificial reality system using a multisurface display protocol to communicate surface data</t>
  </si>
  <si>
    <t>Goodall; Todd (Mill Valley, CA), Kaplanyan; Anton S (Redmond, WA), Patney; Anjul (Kirkland, WA), Sriwasansak; Jamorn (Redmond, WA)</t>
  </si>
  <si>
    <t>Efficient motion-compensated spatiotemporal sampling</t>
  </si>
  <si>
    <t>Selfon; Scott Phillip (Kirkland, WA)</t>
  </si>
  <si>
    <t>Systems and methods for audio adjustment</t>
  </si>
  <si>
    <t>Facebook Technologies, LLC. (Menlo Park, CA)</t>
  </si>
  <si>
    <t>Atlas; Charlene Mary (Redmond, WA), Bachy; Romain (Seattle, WA), MacKenzie; Kevin James (Sammamish, WA), Matsuda; Nathan (Seattle, WA), Murdison; Thomas Scott (Kirkland, WA), Quigley; Ocean (Oakland, CA), Sears; Jasmine Soria (Kirkland, WA)</t>
  </si>
  <si>
    <t>Adaptive rendering in artificial reality environments</t>
  </si>
  <si>
    <t xml:space="preserve">	Simon Kreuz; Tomas (Pittsburgh, PA), Saragih; Jason (Pittsburgh, PA), Lombardi; Stephen Anthony (Pittsburgh, PA), Ma; Shugao (Pittsburgh, PA), Schwartz; Gabriel Bailowitz (Pittsburgh, PA)</t>
  </si>
  <si>
    <t>Systems and methods for rendering avatar with high resolution geometry</t>
  </si>
  <si>
    <t xml:space="preserve">	Golas; Abhinav (Burlingame, CA)</t>
  </si>
  <si>
    <t>Distortion-corrected rasterization</t>
  </si>
  <si>
    <t>Randomized clock cycle lengths for boot sequences</t>
  </si>
  <si>
    <t>Ravasz; Jonathan (London, GB), Stevens; Jasper (London, GB), Varga; Adam Tibor (London, GB), Pinchon; Etienne (London, GB), Tickner; Simon Charles (Canterbury, GB), Spurlock; Jennifer Lynn (Seattle, WA), Sorge-Toomey; Kyle Eric (Seattle, WA), Ellis; Robert (London, GB), Fox; Barrett (Berkeley, CA)</t>
  </si>
  <si>
    <t>Detecting input using a stylus in artificial reality systems based on a stylus movement after a stylus selection action</t>
  </si>
  <si>
    <t xml:space="preserve">	Maimone; Andrew (Duvall, WA), Wang; Junren (Redmond, WA), Silverstein; Barry (Kirkland, WA)</t>
  </si>
  <si>
    <t>Optical assembly with holographic optics for folded optical path</t>
  </si>
  <si>
    <t xml:space="preserve">	Tanner; Christopher Richard (San Carlos, CA), Havilio; Amir Mesguich (San Francisco, CA), Pujals; Michelle (Los Gatos, CA), Noris; Gioacchino (Zurich, CH), Marra; Alessia (Zurich, CH), Wallen; Nicholas (South San Francisco, CA)</t>
  </si>
  <si>
    <t>Mixed reality objects in virtual reality environments</t>
  </si>
  <si>
    <t xml:space="preserve">	Zwiegincew; Arthur (Medina, CA), Mittertreiner; Gwen Erick Eng (Mountain View, CA), Keep; Andrew William (Redmond, WA)</t>
  </si>
  <si>
    <t>System and method of utilizing data binding to propagate data changes</t>
  </si>
  <si>
    <t>Gong; Jun (Redmond, WA), Gupta; Aakar (Redmond, WA), Benko; Hrvoje (Seattle, WA)</t>
  </si>
  <si>
    <t>Wearable device and user input system for computing devices and artificial reality environments</t>
  </si>
  <si>
    <t>Bodolec; Arthur (New York City, NY), Shu; Jing (Sunnyvale, CA), Young; Lindsay (San Francisco, CA), Summers; Melissa Erin (Charlotte, NC), Zeller; Andrea (Bothell, WA), Lee; Seohyun (Mountain View, CA), Gokalp; Ayfer (Kirkland, WA)</t>
  </si>
  <si>
    <t>Suspend mode feature for artificial reality systems</t>
  </si>
  <si>
    <t xml:space="preserve">	Lane; Austin (Redmond, WA), Colburn; Matthew E. (Woodinville, WA), Calafiore; Giuseppe (Redmond, WA), Mohanty; Nihar Ranjan (Redmond, WA)</t>
  </si>
  <si>
    <t>Nanoimprint lithography material with switchable mechanical properties</t>
  </si>
  <si>
    <t xml:space="preserve">	Sharma; Robin (Redmond, WA), Ouderkirk; Andrew John (Redmond, WA), Liao; Christopher Yuan Ting (Seattle, WA), Zhang; Qi (Kirkland, WA), Malhotra; Tanya (Redmond, WA), Hatzillias; Karol Constantine (Kenmore, WA), Scheller; Maik (Redmond, WA), Ye; Sheng (Redmond, WA), Andreev; Gregory Olegovic (Redmond, WA)</t>
  </si>
  <si>
    <t>Illumination device with encapsulated lens</t>
  </si>
  <si>
    <t>D960,160</t>
  </si>
  <si>
    <t xml:space="preserve">	Bristol; Peter Wesley (Seattle, WA), Chen; Yi-yaun (Seattle, WA), Romano; Mauricio (Redmond, WA), Newbury; Peter Allan Chase (Burlington, WA)</t>
  </si>
  <si>
    <t>Controller</t>
  </si>
  <si>
    <t>Lu; Gang (Pleasanton, CA), Doshi; Nihar (Fremont, CA), Han; Jiwon Steve (San Ramon, CA), Wang; Xiaoguang (Sunnyvale, CA), Zheng; Dong (Saratoga, CA), Hu; Chunyu (Saratoga, CA), Qu; Qi (Redmond, WA)</t>
  </si>
  <si>
    <t>Switching between different communication protocols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</si>
</sst>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8"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theme="1"/>
      <name val="Arial"/>
    </font>
    <font>
      <u/>
      <color rgb="FF0000FF"/>
    </font>
    <font>
      <u/>
      <sz val="10.0"/>
      <color theme="10"/>
      <name val="Arial"/>
    </font>
    <font>
      <i/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Alignment="1" applyFont="1" applyNumberFormat="1">
      <alignment readingOrder="0"/>
    </xf>
    <xf borderId="0" fillId="0" fontId="2" numFmtId="3" xfId="0" applyFont="1" applyNumberFormat="1"/>
    <xf borderId="0" fillId="0" fontId="2" numFmtId="0" xfId="0" applyAlignment="1" applyFont="1">
      <alignment horizontal="right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2" numFmtId="3" xfId="0" applyAlignment="1" applyFont="1" applyNumberFormat="1">
      <alignment horizontal="right"/>
    </xf>
    <xf borderId="1" fillId="2" fontId="2" numFmtId="3" xfId="0" applyAlignment="1" applyBorder="1" applyFill="1" applyFont="1" applyNumberFormat="1">
      <alignment horizontal="right"/>
    </xf>
    <xf borderId="0" fillId="0" fontId="2" numFmtId="4" xfId="0" applyAlignment="1" applyFont="1" applyNumberFormat="1">
      <alignment horizontal="right"/>
    </xf>
    <xf borderId="1" fillId="2" fontId="2" numFmtId="4" xfId="0" applyAlignment="1" applyBorder="1" applyFont="1" applyNumberFormat="1">
      <alignment horizontal="right"/>
    </xf>
    <xf borderId="0" fillId="0" fontId="2" numFmtId="9" xfId="0" applyAlignment="1" applyFont="1" applyNumberFormat="1">
      <alignment horizontal="right"/>
    </xf>
    <xf borderId="0" fillId="0" fontId="6" numFmtId="3" xfId="0" applyFont="1" applyNumberFormat="1"/>
    <xf borderId="0" fillId="0" fontId="6" numFmtId="3" xfId="0" applyAlignment="1" applyFont="1" applyNumberFormat="1">
      <alignment horizontal="right"/>
    </xf>
    <xf borderId="0" fillId="0" fontId="6" numFmtId="4" xfId="0" applyAlignment="1" applyFont="1" applyNumberFormat="1">
      <alignment horizontal="right"/>
    </xf>
    <xf borderId="0" fillId="0" fontId="6" numFmtId="9" xfId="0" applyAlignment="1" applyFont="1" applyNumberFormat="1">
      <alignment horizontal="right"/>
    </xf>
    <xf borderId="0" fillId="0" fontId="2" numFmtId="3" xfId="0" applyAlignment="1" applyFont="1" applyNumberFormat="1">
      <alignment readingOrder="0"/>
    </xf>
    <xf borderId="0" fillId="0" fontId="7" numFmtId="3" xfId="0" applyFont="1" applyNumberFormat="1"/>
    <xf borderId="0" fillId="0" fontId="7" numFmtId="3" xfId="0" applyAlignment="1" applyFont="1" applyNumberFormat="1">
      <alignment horizontal="right"/>
    </xf>
    <xf borderId="0" fillId="0" fontId="2" numFmtId="164" xfId="0" applyAlignment="1" applyFont="1" applyNumberFormat="1">
      <alignment readingOrder="0"/>
    </xf>
    <xf borderId="0" fillId="0" fontId="2" numFmtId="4" xfId="0" applyFont="1" applyNumberFormat="1"/>
    <xf borderId="0" fillId="0" fontId="7" numFmtId="0" xfId="0" applyFont="1"/>
    <xf borderId="0" fillId="0" fontId="7" numFmtId="0" xfId="0" applyAlignment="1" applyFont="1">
      <alignment horizontal="right"/>
    </xf>
    <xf borderId="0" fillId="0" fontId="7" numFmtId="9" xfId="0" applyAlignment="1" applyFont="1" applyNumberFormat="1">
      <alignment horizontal="right"/>
    </xf>
    <xf borderId="0" fillId="0" fontId="7" numFmtId="9" xfId="0" applyFont="1" applyNumberFormat="1"/>
    <xf borderId="0" fillId="0" fontId="2" numFmtId="9" xfId="0" applyFont="1" applyNumberFormat="1"/>
    <xf borderId="0" fillId="0" fontId="2" numFmtId="9" xfId="0" applyAlignment="1" applyFont="1" applyNumberForma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9525</xdr:colOff>
      <xdr:row>0</xdr:row>
      <xdr:rowOff>0</xdr:rowOff>
    </xdr:from>
    <xdr:ext cx="38100" cy="19592925"/>
    <xdr:grpSp>
      <xdr:nvGrpSpPr>
        <xdr:cNvPr id="2" name="Shape 2"/>
        <xdr:cNvGrpSpPr/>
      </xdr:nvGrpSpPr>
      <xdr:grpSpPr>
        <a:xfrm>
          <a:off x="5346000" y="0"/>
          <a:ext cx="0" cy="7560000"/>
          <a:chOff x="5346000" y="0"/>
          <a:chExt cx="0" cy="7560000"/>
        </a:xfrm>
      </xdr:grpSpPr>
      <xdr:cxnSp>
        <xdr:nvCxnSpPr>
          <xdr:cNvPr id="3" name="Shape 3"/>
          <xdr:cNvCxnSpPr/>
        </xdr:nvCxnSpPr>
        <xdr:spPr>
          <a:xfrm>
            <a:off x="5346000" y="0"/>
            <a:ext cx="0" cy="7560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638175</xdr:colOff>
      <xdr:row>0</xdr:row>
      <xdr:rowOff>0</xdr:rowOff>
    </xdr:from>
    <xdr:ext cx="38100" cy="9258300"/>
    <xdr:grpSp>
      <xdr:nvGrpSpPr>
        <xdr:cNvPr id="2" name="Shape 2" title="Drawing"/>
        <xdr:cNvGrpSpPr/>
      </xdr:nvGrpSpPr>
      <xdr:grpSpPr>
        <a:xfrm>
          <a:off x="5346000" y="0"/>
          <a:ext cx="0" cy="7560000"/>
          <a:chOff x="5346000" y="0"/>
          <a:chExt cx="0" cy="7560000"/>
        </a:xfrm>
      </xdr:grpSpPr>
      <xdr:cxnSp>
        <xdr:nvCxnSpPr>
          <xdr:cNvPr id="3" name="Shape 3"/>
          <xdr:cNvCxnSpPr/>
        </xdr:nvCxnSpPr>
        <xdr:spPr>
          <a:xfrm>
            <a:off x="5346000" y="0"/>
            <a:ext cx="0" cy="7560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vestor.fb.com/financials/default.aspx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0"/>
    <col customWidth="1" min="3" max="26" width="8.63"/>
  </cols>
  <sheetData>
    <row r="1" ht="12.75" customHeight="1">
      <c r="A1" s="1" t="s">
        <v>0</v>
      </c>
    </row>
    <row r="2" ht="12.75" customHeight="1">
      <c r="L2" s="1" t="s">
        <v>1</v>
      </c>
      <c r="M2" s="2">
        <v>211.66</v>
      </c>
    </row>
    <row r="3" ht="12.75" customHeight="1">
      <c r="B3" s="1" t="s">
        <v>2</v>
      </c>
      <c r="C3" s="1" t="s">
        <v>3</v>
      </c>
      <c r="L3" s="1" t="s">
        <v>4</v>
      </c>
      <c r="M3" s="3">
        <f>2248.672204+402.87647</f>
        <v>2651.548674</v>
      </c>
      <c r="N3" s="4" t="s">
        <v>5</v>
      </c>
    </row>
    <row r="4" ht="12.75" customHeight="1">
      <c r="B4" s="1" t="s">
        <v>6</v>
      </c>
      <c r="C4" s="1" t="s">
        <v>7</v>
      </c>
      <c r="L4" s="1" t="s">
        <v>8</v>
      </c>
      <c r="M4" s="3">
        <f>+M3*M2</f>
        <v>561226.7923</v>
      </c>
    </row>
    <row r="5" ht="12.75" customHeight="1">
      <c r="C5" s="1" t="s">
        <v>9</v>
      </c>
      <c r="L5" s="1" t="s">
        <v>10</v>
      </c>
      <c r="M5" s="3">
        <v>48304.0</v>
      </c>
      <c r="N5" s="4" t="s">
        <v>5</v>
      </c>
    </row>
    <row r="6" ht="12.75" customHeight="1">
      <c r="B6" s="1" t="s">
        <v>11</v>
      </c>
      <c r="L6" s="1" t="s">
        <v>12</v>
      </c>
      <c r="M6" s="3">
        <v>9922.0</v>
      </c>
      <c r="N6" s="4" t="s">
        <v>5</v>
      </c>
    </row>
    <row r="7" ht="12.75" customHeight="1">
      <c r="L7" s="1" t="s">
        <v>13</v>
      </c>
      <c r="M7" s="3">
        <f>+M4-M5+M6</f>
        <v>522844.7923</v>
      </c>
    </row>
    <row r="8" ht="12.75" customHeight="1">
      <c r="B8" s="5" t="s">
        <v>14</v>
      </c>
    </row>
    <row r="9" ht="12.75" customHeight="1">
      <c r="B9" s="1" t="s">
        <v>15</v>
      </c>
    </row>
    <row r="10" ht="12.75" customHeight="1">
      <c r="B10" s="1" t="s">
        <v>16</v>
      </c>
      <c r="L10" s="1" t="s">
        <v>17</v>
      </c>
      <c r="M10" s="3">
        <v>1865.970703</v>
      </c>
    </row>
    <row r="11" ht="12.75" customHeight="1">
      <c r="L11" s="1" t="s">
        <v>18</v>
      </c>
      <c r="M11" s="3">
        <v>366.557943</v>
      </c>
    </row>
    <row r="12" ht="12.75" customHeight="1"/>
    <row r="13" ht="12.75" customHeight="1"/>
    <row r="14" ht="12.75" customHeight="1"/>
    <row r="15" ht="12.75" customHeight="1">
      <c r="B15" s="1" t="s">
        <v>19</v>
      </c>
    </row>
    <row r="16" ht="12.75" customHeight="1">
      <c r="B16" s="1" t="s">
        <v>20</v>
      </c>
    </row>
    <row r="17" ht="12.75" customHeight="1">
      <c r="B17" s="1" t="s">
        <v>21</v>
      </c>
    </row>
    <row r="18" ht="12.75" customHeight="1">
      <c r="B18" s="1" t="s">
        <v>22</v>
      </c>
      <c r="L18" s="5" t="s">
        <v>23</v>
      </c>
    </row>
    <row r="19" ht="12.75" customHeight="1">
      <c r="B19" s="1" t="s">
        <v>24</v>
      </c>
      <c r="L19" s="1" t="s">
        <v>25</v>
      </c>
    </row>
    <row r="20" ht="12.75" customHeight="1"/>
    <row r="21" ht="12.75" customHeight="1"/>
    <row r="22" ht="12.75" customHeight="1"/>
    <row r="23" ht="12.75" customHeight="1"/>
    <row r="24" ht="12.75" customHeight="1">
      <c r="B24" s="1" t="s">
        <v>26</v>
      </c>
    </row>
    <row r="25" ht="12.75" customHeight="1">
      <c r="B25" s="1" t="s">
        <v>27</v>
      </c>
      <c r="F25" s="6" t="s">
        <v>28</v>
      </c>
    </row>
    <row r="26" ht="12.75" customHeight="1">
      <c r="F26" s="7" t="s">
        <v>29</v>
      </c>
    </row>
    <row r="27" ht="12.75" customHeight="1">
      <c r="B27" s="1" t="s">
        <v>30</v>
      </c>
    </row>
    <row r="28" ht="12.75" customHeight="1">
      <c r="B28" s="1" t="s">
        <v>31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F26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5.0"/>
    <col customWidth="1" min="2" max="2" width="19.0"/>
    <col customWidth="1" min="3" max="25" width="9.13"/>
    <col customWidth="1" min="26" max="101" width="8.63"/>
  </cols>
  <sheetData>
    <row r="1" ht="12.75" customHeight="1">
      <c r="A1" s="8" t="s">
        <v>32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4" t="s">
        <v>49</v>
      </c>
      <c r="T2" s="4" t="s">
        <v>50</v>
      </c>
      <c r="U2" s="4" t="s">
        <v>5</v>
      </c>
      <c r="V2" s="4" t="s">
        <v>51</v>
      </c>
      <c r="W2" s="4" t="s">
        <v>52</v>
      </c>
      <c r="X2" s="4" t="s">
        <v>53</v>
      </c>
      <c r="Y2" s="4" t="s">
        <v>54</v>
      </c>
      <c r="Z2" s="4" t="s">
        <v>55</v>
      </c>
      <c r="AB2" s="1">
        <v>2013.0</v>
      </c>
      <c r="AC2" s="1">
        <v>2014.0</v>
      </c>
      <c r="AD2" s="1">
        <v>2015.0</v>
      </c>
      <c r="AE2" s="1">
        <f t="shared" ref="AE2:AS2" si="1">+AD2+1</f>
        <v>2016</v>
      </c>
      <c r="AF2" s="1">
        <f t="shared" si="1"/>
        <v>2017</v>
      </c>
      <c r="AG2" s="1">
        <f t="shared" si="1"/>
        <v>2018</v>
      </c>
      <c r="AH2" s="1">
        <f t="shared" si="1"/>
        <v>2019</v>
      </c>
      <c r="AI2" s="1">
        <f t="shared" si="1"/>
        <v>2020</v>
      </c>
      <c r="AJ2" s="1">
        <f t="shared" si="1"/>
        <v>2021</v>
      </c>
      <c r="AK2" s="1">
        <f t="shared" si="1"/>
        <v>2022</v>
      </c>
      <c r="AL2" s="1">
        <f t="shared" si="1"/>
        <v>2023</v>
      </c>
      <c r="AM2" s="1">
        <f t="shared" si="1"/>
        <v>2024</v>
      </c>
      <c r="AN2" s="1">
        <f t="shared" si="1"/>
        <v>2025</v>
      </c>
      <c r="AO2" s="1">
        <f t="shared" si="1"/>
        <v>2026</v>
      </c>
      <c r="AP2" s="1">
        <f t="shared" si="1"/>
        <v>2027</v>
      </c>
      <c r="AQ2" s="1">
        <f t="shared" si="1"/>
        <v>2028</v>
      </c>
      <c r="AR2" s="1">
        <f t="shared" si="1"/>
        <v>2029</v>
      </c>
      <c r="AS2" s="1">
        <f t="shared" si="1"/>
        <v>2030</v>
      </c>
    </row>
    <row r="3" ht="12.75" customHeight="1">
      <c r="A3" s="3"/>
      <c r="B3" s="3" t="s">
        <v>56</v>
      </c>
      <c r="C3" s="9"/>
      <c r="D3" s="9"/>
      <c r="E3" s="9"/>
      <c r="F3" s="9"/>
      <c r="G3" s="9"/>
      <c r="H3" s="9"/>
      <c r="I3" s="9"/>
      <c r="J3" s="9">
        <v>2260.0</v>
      </c>
      <c r="K3" s="9">
        <v>2360.0</v>
      </c>
      <c r="L3" s="9">
        <v>2470.0</v>
      </c>
      <c r="M3" s="9">
        <v>2540.0</v>
      </c>
      <c r="N3" s="9">
        <v>2600.0</v>
      </c>
      <c r="O3" s="9">
        <v>2720.0</v>
      </c>
      <c r="P3" s="9">
        <v>2760.0</v>
      </c>
      <c r="Q3" s="9">
        <v>2810.0</v>
      </c>
      <c r="R3" s="9">
        <v>2820.0</v>
      </c>
      <c r="S3" s="9">
        <v>2870.0</v>
      </c>
      <c r="T3" s="9">
        <v>2880.0</v>
      </c>
      <c r="U3" s="9">
        <v>2930.0</v>
      </c>
      <c r="V3" s="9">
        <v>2960.0</v>
      </c>
      <c r="W3" s="9"/>
      <c r="X3" s="9"/>
      <c r="Y3" s="9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ht="12.75" customHeight="1">
      <c r="A4" s="3"/>
      <c r="B4" s="3" t="s">
        <v>57</v>
      </c>
      <c r="C4" s="9"/>
      <c r="D4" s="9"/>
      <c r="E4" s="9"/>
      <c r="F4" s="9"/>
      <c r="G4" s="9"/>
      <c r="H4" s="9"/>
      <c r="I4" s="9"/>
      <c r="J4" s="9">
        <v>2890.0</v>
      </c>
      <c r="K4" s="9">
        <v>2990.0</v>
      </c>
      <c r="L4" s="9">
        <v>3140.0</v>
      </c>
      <c r="M4" s="9">
        <v>3210.0</v>
      </c>
      <c r="N4" s="9">
        <v>3300.0</v>
      </c>
      <c r="O4" s="9">
        <v>3450.0</v>
      </c>
      <c r="P4" s="9">
        <v>3510.0</v>
      </c>
      <c r="Q4" s="9">
        <v>3580.0</v>
      </c>
      <c r="R4" s="9">
        <v>3590.0</v>
      </c>
      <c r="S4" s="9">
        <v>3640.0</v>
      </c>
      <c r="T4" s="9">
        <v>3650.0</v>
      </c>
      <c r="U4" s="9">
        <v>3710.0</v>
      </c>
      <c r="V4" s="9">
        <v>3740.0</v>
      </c>
      <c r="W4" s="9"/>
      <c r="X4" s="9"/>
      <c r="Y4" s="9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ht="12.75" customHeight="1">
      <c r="A5" s="3"/>
      <c r="B5" s="3" t="s">
        <v>58</v>
      </c>
      <c r="C5" s="9"/>
      <c r="D5" s="9"/>
      <c r="E5" s="9"/>
      <c r="F5" s="9"/>
      <c r="G5" s="9">
        <v>1560.0</v>
      </c>
      <c r="H5" s="9">
        <v>1590.0</v>
      </c>
      <c r="I5" s="9">
        <v>1620.0</v>
      </c>
      <c r="J5" s="9">
        <v>1660.0</v>
      </c>
      <c r="K5" s="9">
        <v>1734.0</v>
      </c>
      <c r="L5" s="9">
        <v>1785.0</v>
      </c>
      <c r="M5" s="9">
        <v>1820.0</v>
      </c>
      <c r="N5" s="9">
        <v>1845.0</v>
      </c>
      <c r="O5" s="9">
        <v>1878.0</v>
      </c>
      <c r="P5" s="9">
        <v>1908.0</v>
      </c>
      <c r="Q5" s="9">
        <v>1930.0</v>
      </c>
      <c r="R5" s="9">
        <v>1929.0</v>
      </c>
      <c r="S5" s="9">
        <v>1960.0</v>
      </c>
      <c r="T5" s="9">
        <v>1968.0</v>
      </c>
      <c r="U5" s="9">
        <v>1984.0</v>
      </c>
      <c r="V5" s="9">
        <v>2000.0</v>
      </c>
      <c r="W5" s="9"/>
      <c r="X5" s="9"/>
      <c r="Y5" s="9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ht="12.75" customHeight="1">
      <c r="A6" s="3"/>
      <c r="B6" s="3" t="s">
        <v>59</v>
      </c>
      <c r="C6" s="9"/>
      <c r="D6" s="9"/>
      <c r="E6" s="9"/>
      <c r="F6" s="9"/>
      <c r="G6" s="9"/>
      <c r="H6" s="9"/>
      <c r="I6" s="9"/>
      <c r="J6" s="9"/>
      <c r="K6" s="9">
        <v>195.0</v>
      </c>
      <c r="L6" s="9">
        <v>198.0</v>
      </c>
      <c r="M6" s="9">
        <v>196.0</v>
      </c>
      <c r="N6" s="9">
        <v>195.0</v>
      </c>
      <c r="O6" s="9">
        <v>195.0</v>
      </c>
      <c r="P6" s="9">
        <v>195.0</v>
      </c>
      <c r="Q6" s="9">
        <v>196.0</v>
      </c>
      <c r="R6" s="9">
        <v>195.0</v>
      </c>
      <c r="S6" s="9">
        <v>196.0</v>
      </c>
      <c r="T6" s="9">
        <v>197.0</v>
      </c>
      <c r="U6" s="9">
        <v>197.0</v>
      </c>
      <c r="V6" s="10"/>
      <c r="W6" s="9"/>
      <c r="X6" s="9"/>
      <c r="Y6" s="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ht="12.75" customHeight="1">
      <c r="A7" s="3"/>
      <c r="B7" s="3" t="s">
        <v>60</v>
      </c>
      <c r="C7" s="9"/>
      <c r="D7" s="9"/>
      <c r="E7" s="9"/>
      <c r="F7" s="9"/>
      <c r="G7" s="9"/>
      <c r="H7" s="9"/>
      <c r="I7" s="9"/>
      <c r="J7" s="11"/>
      <c r="K7" s="11">
        <f t="shared" ref="K7:U7" si="2">+K22/K6</f>
        <v>42.96923077</v>
      </c>
      <c r="L7" s="11">
        <f t="shared" si="2"/>
        <v>45.75252525</v>
      </c>
      <c r="M7" s="11">
        <f t="shared" si="2"/>
        <v>50.95918367</v>
      </c>
      <c r="N7" s="11">
        <f t="shared" si="2"/>
        <v>67.43589744</v>
      </c>
      <c r="O7" s="11">
        <f t="shared" si="2"/>
        <v>61.01025641</v>
      </c>
      <c r="P7" s="11">
        <f t="shared" si="2"/>
        <v>68.54358974</v>
      </c>
      <c r="Q7" s="11">
        <f t="shared" si="2"/>
        <v>66.80612245</v>
      </c>
      <c r="R7" s="11">
        <f t="shared" si="2"/>
        <v>77.24102564</v>
      </c>
      <c r="S7" s="11">
        <f t="shared" si="2"/>
        <v>61.34693878</v>
      </c>
      <c r="T7" s="11">
        <f t="shared" si="2"/>
        <v>64.91370558</v>
      </c>
      <c r="U7" s="11">
        <f t="shared" si="2"/>
        <v>64.80203046</v>
      </c>
      <c r="V7" s="9"/>
      <c r="W7" s="9"/>
      <c r="X7" s="9"/>
      <c r="Y7" s="9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ht="12.75" customHeight="1">
      <c r="A8" s="3"/>
      <c r="B8" s="3" t="s">
        <v>61</v>
      </c>
      <c r="C8" s="9"/>
      <c r="D8" s="9"/>
      <c r="E8" s="9"/>
      <c r="F8" s="9"/>
      <c r="G8" s="9">
        <v>2380.0</v>
      </c>
      <c r="H8" s="9">
        <v>2410.0</v>
      </c>
      <c r="I8" s="9">
        <v>2450.0</v>
      </c>
      <c r="J8" s="9">
        <v>2500.0</v>
      </c>
      <c r="K8" s="9">
        <v>2603.0</v>
      </c>
      <c r="L8" s="9">
        <v>2701.0</v>
      </c>
      <c r="M8" s="9">
        <v>2740.0</v>
      </c>
      <c r="N8" s="9">
        <v>2797.0</v>
      </c>
      <c r="O8" s="9">
        <v>2853.0</v>
      </c>
      <c r="P8" s="9">
        <v>2895.0</v>
      </c>
      <c r="Q8" s="9">
        <v>2910.0</v>
      </c>
      <c r="R8" s="9">
        <v>2912.0</v>
      </c>
      <c r="S8" s="9">
        <v>2936.0</v>
      </c>
      <c r="T8" s="9">
        <v>2934.0</v>
      </c>
      <c r="U8" s="9">
        <v>2958.0</v>
      </c>
      <c r="V8" s="9">
        <v>2960.0</v>
      </c>
      <c r="W8" s="9"/>
      <c r="X8" s="9"/>
      <c r="Y8" s="9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ht="12.75" customHeight="1">
      <c r="A9" s="3"/>
      <c r="B9" s="3" t="s">
        <v>59</v>
      </c>
      <c r="C9" s="9"/>
      <c r="D9" s="9"/>
      <c r="E9" s="9"/>
      <c r="F9" s="9"/>
      <c r="G9" s="9"/>
      <c r="H9" s="9"/>
      <c r="I9" s="9"/>
      <c r="J9" s="9"/>
      <c r="K9" s="9">
        <v>253.0</v>
      </c>
      <c r="L9" s="9">
        <v>256.0</v>
      </c>
      <c r="M9" s="9">
        <v>255.0</v>
      </c>
      <c r="N9" s="9">
        <v>258.0</v>
      </c>
      <c r="O9" s="9">
        <v>259.0</v>
      </c>
      <c r="P9" s="9">
        <v>259.0</v>
      </c>
      <c r="Q9" s="9">
        <v>261.0</v>
      </c>
      <c r="R9" s="9">
        <v>262.0</v>
      </c>
      <c r="S9" s="9">
        <v>263.0</v>
      </c>
      <c r="T9" s="9">
        <v>264.0</v>
      </c>
      <c r="U9" s="9">
        <v>266.0</v>
      </c>
      <c r="V9" s="12"/>
      <c r="W9" s="9"/>
      <c r="X9" s="9"/>
      <c r="Y9" s="9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ht="12.75" customHeight="1">
      <c r="A10" s="3"/>
      <c r="B10" s="3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3"/>
      <c r="V10" s="9"/>
      <c r="W10" s="9"/>
      <c r="X10" s="9"/>
      <c r="Y10" s="9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ht="12.75" customHeight="1">
      <c r="A11" s="3"/>
      <c r="B11" s="3" t="s">
        <v>62</v>
      </c>
      <c r="C11" s="9"/>
      <c r="D11" s="9"/>
      <c r="E11" s="9"/>
      <c r="F11" s="9"/>
      <c r="G11" s="9"/>
      <c r="H11" s="9"/>
      <c r="I11" s="9"/>
      <c r="J11" s="9"/>
      <c r="K11" s="11">
        <f t="shared" ref="K11:V11" si="3">+K26/K4</f>
        <v>5.932107023</v>
      </c>
      <c r="L11" s="11">
        <f t="shared" si="3"/>
        <v>5.951273885</v>
      </c>
      <c r="M11" s="11">
        <f t="shared" si="3"/>
        <v>6.68847352</v>
      </c>
      <c r="N11" s="11">
        <f t="shared" si="3"/>
        <v>8.506666667</v>
      </c>
      <c r="O11" s="11">
        <f t="shared" si="3"/>
        <v>7.585797101</v>
      </c>
      <c r="P11" s="11">
        <f t="shared" si="3"/>
        <v>8.284045584</v>
      </c>
      <c r="Q11" s="11">
        <f t="shared" si="3"/>
        <v>8.103351955</v>
      </c>
      <c r="R11" s="11">
        <f t="shared" si="3"/>
        <v>9.379108635</v>
      </c>
      <c r="S11" s="11">
        <f t="shared" si="3"/>
        <v>7.667032967</v>
      </c>
      <c r="T11" s="11">
        <f t="shared" si="3"/>
        <v>7.896438356</v>
      </c>
      <c r="U11" s="11">
        <f t="shared" si="3"/>
        <v>7.470080863</v>
      </c>
      <c r="V11" s="11">
        <f t="shared" si="3"/>
        <v>8.60026738</v>
      </c>
      <c r="W11" s="9"/>
      <c r="X11" s="9"/>
      <c r="Y11" s="9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ht="12.75" customHeight="1">
      <c r="A12" s="3"/>
      <c r="B12" s="3" t="s">
        <v>63</v>
      </c>
      <c r="C12" s="9"/>
      <c r="D12" s="9"/>
      <c r="E12" s="9"/>
      <c r="F12" s="9"/>
      <c r="G12" s="9"/>
      <c r="H12" s="9"/>
      <c r="I12" s="9"/>
      <c r="J12" s="9"/>
      <c r="K12" s="11"/>
      <c r="L12" s="11">
        <f t="shared" ref="L12:V12" si="4">AVERAGE(K11:L11)</f>
        <v>5.941690454</v>
      </c>
      <c r="M12" s="11">
        <f t="shared" si="4"/>
        <v>6.319873703</v>
      </c>
      <c r="N12" s="11">
        <f t="shared" si="4"/>
        <v>7.597570093</v>
      </c>
      <c r="O12" s="11">
        <f t="shared" si="4"/>
        <v>8.046231884</v>
      </c>
      <c r="P12" s="11">
        <f t="shared" si="4"/>
        <v>7.934921343</v>
      </c>
      <c r="Q12" s="11">
        <f t="shared" si="4"/>
        <v>8.19369877</v>
      </c>
      <c r="R12" s="11">
        <f t="shared" si="4"/>
        <v>8.741230295</v>
      </c>
      <c r="S12" s="11">
        <f t="shared" si="4"/>
        <v>8.523070801</v>
      </c>
      <c r="T12" s="11">
        <f t="shared" si="4"/>
        <v>7.781735662</v>
      </c>
      <c r="U12" s="11">
        <f t="shared" si="4"/>
        <v>7.683259609</v>
      </c>
      <c r="V12" s="11">
        <f t="shared" si="4"/>
        <v>8.035174121</v>
      </c>
      <c r="W12" s="9"/>
      <c r="X12" s="9"/>
      <c r="Y12" s="9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ht="12.75" customHeight="1">
      <c r="A13" s="14"/>
      <c r="B13" s="14" t="s">
        <v>64</v>
      </c>
      <c r="C13" s="15"/>
      <c r="D13" s="15"/>
      <c r="E13" s="15"/>
      <c r="F13" s="15"/>
      <c r="G13" s="15"/>
      <c r="H13" s="15"/>
      <c r="I13" s="15"/>
      <c r="J13" s="15"/>
      <c r="K13" s="16"/>
      <c r="L13" s="16"/>
      <c r="M13" s="16"/>
      <c r="N13" s="16"/>
      <c r="O13" s="17"/>
      <c r="P13" s="17">
        <f t="shared" ref="P13:V13" si="5">P12/L12-1</f>
        <v>0.3354652861</v>
      </c>
      <c r="Q13" s="17">
        <f t="shared" si="5"/>
        <v>0.2964972332</v>
      </c>
      <c r="R13" s="17">
        <f t="shared" si="5"/>
        <v>0.1505297335</v>
      </c>
      <c r="S13" s="17">
        <f t="shared" si="5"/>
        <v>0.05926238814</v>
      </c>
      <c r="T13" s="17">
        <f t="shared" si="5"/>
        <v>-0.01930525515</v>
      </c>
      <c r="U13" s="17">
        <f t="shared" si="5"/>
        <v>-0.06229654942</v>
      </c>
      <c r="V13" s="17">
        <f t="shared" si="5"/>
        <v>-0.08077308917</v>
      </c>
      <c r="W13" s="15"/>
      <c r="X13" s="15"/>
      <c r="Y13" s="15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</row>
    <row r="14" ht="12.75" customHeight="1">
      <c r="A14" s="3"/>
      <c r="B14" s="3" t="s">
        <v>65</v>
      </c>
      <c r="C14" s="9"/>
      <c r="D14" s="9"/>
      <c r="E14" s="9"/>
      <c r="F14" s="9"/>
      <c r="G14" s="9"/>
      <c r="H14" s="9"/>
      <c r="I14" s="9"/>
      <c r="J14" s="9"/>
      <c r="K14" s="11">
        <f t="shared" ref="K14:V14" si="6">+K25/K4</f>
        <v>5.83277592</v>
      </c>
      <c r="L14" s="11">
        <f t="shared" si="6"/>
        <v>5.834713376</v>
      </c>
      <c r="M14" s="11">
        <f t="shared" si="6"/>
        <v>6.610903427</v>
      </c>
      <c r="N14" s="11">
        <f t="shared" si="6"/>
        <v>8.238484848</v>
      </c>
      <c r="O14" s="11">
        <f t="shared" si="6"/>
        <v>7.373623188</v>
      </c>
      <c r="P14" s="11">
        <f t="shared" si="6"/>
        <v>8.142450142</v>
      </c>
      <c r="Q14" s="11">
        <f t="shared" si="6"/>
        <v>7.898324022</v>
      </c>
      <c r="R14" s="11">
        <f t="shared" si="6"/>
        <v>9.091643454</v>
      </c>
      <c r="S14" s="11">
        <f t="shared" si="6"/>
        <v>7.417032967</v>
      </c>
      <c r="T14" s="11">
        <f t="shared" si="6"/>
        <v>7.712876712</v>
      </c>
      <c r="U14" s="11">
        <f t="shared" si="6"/>
        <v>7.341509434</v>
      </c>
      <c r="V14" s="11">
        <f t="shared" si="6"/>
        <v>8.356684492</v>
      </c>
      <c r="W14" s="9"/>
      <c r="X14" s="9"/>
      <c r="Y14" s="9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ht="12.75" customHeight="1">
      <c r="A15" s="3"/>
      <c r="B15" s="3" t="s">
        <v>66</v>
      </c>
      <c r="C15" s="9"/>
      <c r="D15" s="9"/>
      <c r="E15" s="9"/>
      <c r="F15" s="9"/>
      <c r="G15" s="9"/>
      <c r="H15" s="9"/>
      <c r="I15" s="9"/>
      <c r="J15" s="9"/>
      <c r="K15" s="11">
        <f t="shared" ref="K15:V15" si="7">+K25/K3</f>
        <v>7.389830508</v>
      </c>
      <c r="L15" s="11">
        <f t="shared" si="7"/>
        <v>7.417408907</v>
      </c>
      <c r="M15" s="11">
        <f t="shared" si="7"/>
        <v>8.354724409</v>
      </c>
      <c r="N15" s="11">
        <f t="shared" si="7"/>
        <v>10.45653846</v>
      </c>
      <c r="O15" s="11">
        <f t="shared" si="7"/>
        <v>9.352573529</v>
      </c>
      <c r="P15" s="11">
        <f t="shared" si="7"/>
        <v>10.35507246</v>
      </c>
      <c r="Q15" s="11">
        <f t="shared" si="7"/>
        <v>10.06263345</v>
      </c>
      <c r="R15" s="11">
        <f t="shared" si="7"/>
        <v>11.57411348</v>
      </c>
      <c r="S15" s="11">
        <f t="shared" si="7"/>
        <v>9.406968641</v>
      </c>
      <c r="T15" s="11">
        <f t="shared" si="7"/>
        <v>9.775</v>
      </c>
      <c r="U15" s="11">
        <f t="shared" si="7"/>
        <v>9.295904437</v>
      </c>
      <c r="V15" s="11">
        <f t="shared" si="7"/>
        <v>10.55878378</v>
      </c>
      <c r="W15" s="9"/>
      <c r="X15" s="9"/>
      <c r="Y15" s="9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ht="12.75" customHeight="1">
      <c r="A16" s="3"/>
      <c r="B16" s="3" t="s">
        <v>63</v>
      </c>
      <c r="C16" s="9"/>
      <c r="D16" s="9"/>
      <c r="E16" s="9"/>
      <c r="F16" s="9"/>
      <c r="G16" s="9"/>
      <c r="H16" s="9"/>
      <c r="I16" s="9"/>
      <c r="J16" s="9"/>
      <c r="K16" s="11"/>
      <c r="L16" s="11">
        <f t="shared" ref="L16:V16" si="8">AVERAGE(K15:L15)</f>
        <v>7.403619708</v>
      </c>
      <c r="M16" s="11">
        <f t="shared" si="8"/>
        <v>7.886066658</v>
      </c>
      <c r="N16" s="11">
        <f t="shared" si="8"/>
        <v>9.405631435</v>
      </c>
      <c r="O16" s="11">
        <f t="shared" si="8"/>
        <v>9.904555995</v>
      </c>
      <c r="P16" s="11">
        <f t="shared" si="8"/>
        <v>9.853822997</v>
      </c>
      <c r="Q16" s="11">
        <f t="shared" si="8"/>
        <v>10.20885296</v>
      </c>
      <c r="R16" s="11">
        <f t="shared" si="8"/>
        <v>10.81837346</v>
      </c>
      <c r="S16" s="11">
        <f t="shared" si="8"/>
        <v>10.49054106</v>
      </c>
      <c r="T16" s="11">
        <f t="shared" si="8"/>
        <v>9.590984321</v>
      </c>
      <c r="U16" s="11">
        <f t="shared" si="8"/>
        <v>9.535452218</v>
      </c>
      <c r="V16" s="11">
        <f t="shared" si="8"/>
        <v>9.92734411</v>
      </c>
      <c r="W16" s="9"/>
      <c r="X16" s="9"/>
      <c r="Y16" s="9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2.75" customHeight="1">
      <c r="A17" s="14"/>
      <c r="B17" s="14" t="s">
        <v>64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7">
        <f t="shared" ref="P17:V17" si="9">P16/L16-1</f>
        <v>0.3309466701</v>
      </c>
      <c r="Q17" s="17">
        <f t="shared" si="9"/>
        <v>0.294543072</v>
      </c>
      <c r="R17" s="17">
        <f t="shared" si="9"/>
        <v>0.1502017209</v>
      </c>
      <c r="S17" s="17">
        <f t="shared" si="9"/>
        <v>0.05916318338</v>
      </c>
      <c r="T17" s="17">
        <f t="shared" si="9"/>
        <v>-0.02667377688</v>
      </c>
      <c r="U17" s="17">
        <f t="shared" si="9"/>
        <v>-0.0659624291</v>
      </c>
      <c r="V17" s="17">
        <f t="shared" si="9"/>
        <v>-0.0823625988</v>
      </c>
      <c r="W17" s="15"/>
      <c r="X17" s="15"/>
      <c r="Y17" s="15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</row>
    <row r="18" ht="12.75" customHeight="1">
      <c r="A18" s="3"/>
      <c r="B18" s="3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1"/>
      <c r="T18" s="9"/>
      <c r="U18" s="9"/>
      <c r="V18" s="9"/>
      <c r="W18" s="9"/>
      <c r="X18" s="9"/>
      <c r="Y18" s="9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ht="12.75" customHeight="1">
      <c r="A19" s="3"/>
      <c r="B19" s="3" t="s">
        <v>67</v>
      </c>
      <c r="C19" s="9"/>
      <c r="D19" s="9"/>
      <c r="E19" s="9"/>
      <c r="F19" s="9"/>
      <c r="G19" s="9"/>
      <c r="H19" s="9"/>
      <c r="I19" s="9"/>
      <c r="J19" s="9"/>
      <c r="K19" s="9">
        <v>1654.0</v>
      </c>
      <c r="L19" s="9">
        <v>1539.0</v>
      </c>
      <c r="M19" s="9">
        <v>1980.0</v>
      </c>
      <c r="N19" s="9">
        <v>2512.0</v>
      </c>
      <c r="O19" s="9">
        <v>2434.0</v>
      </c>
      <c r="P19" s="9">
        <v>2857.0</v>
      </c>
      <c r="Q19" s="9">
        <v>2963.0</v>
      </c>
      <c r="R19" s="9">
        <v>3220.0</v>
      </c>
      <c r="S19" s="9">
        <v>2949.0</v>
      </c>
      <c r="T19" s="9">
        <v>3169.0</v>
      </c>
      <c r="U19" s="9">
        <v>3047.0</v>
      </c>
      <c r="V19" s="10"/>
      <c r="W19" s="9"/>
      <c r="X19" s="9"/>
      <c r="Y19" s="9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ht="12.75" customHeight="1">
      <c r="A20" s="3"/>
      <c r="B20" s="3" t="s">
        <v>68</v>
      </c>
      <c r="C20" s="9"/>
      <c r="D20" s="9"/>
      <c r="E20" s="9"/>
      <c r="F20" s="9"/>
      <c r="G20" s="9"/>
      <c r="H20" s="9"/>
      <c r="I20" s="9"/>
      <c r="J20" s="9"/>
      <c r="K20" s="9">
        <v>3236.0</v>
      </c>
      <c r="L20" s="9">
        <v>3312.0</v>
      </c>
      <c r="M20" s="9">
        <v>4202.0</v>
      </c>
      <c r="N20" s="9">
        <v>4703.0</v>
      </c>
      <c r="O20" s="9">
        <v>4735.0</v>
      </c>
      <c r="P20" s="9">
        <v>5152.0</v>
      </c>
      <c r="Q20" s="9">
        <v>5398.0</v>
      </c>
      <c r="R20" s="9">
        <v>6183.0</v>
      </c>
      <c r="S20" s="9">
        <v>5661.0</v>
      </c>
      <c r="T20" s="9">
        <v>5835.0</v>
      </c>
      <c r="U20" s="9">
        <v>5717.0</v>
      </c>
      <c r="V20" s="10"/>
      <c r="W20" s="9"/>
      <c r="X20" s="9"/>
      <c r="Y20" s="9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ht="12.75" customHeight="1">
      <c r="A21" s="3"/>
      <c r="B21" s="3" t="s">
        <v>69</v>
      </c>
      <c r="C21" s="9"/>
      <c r="D21" s="9"/>
      <c r="E21" s="9"/>
      <c r="F21" s="9"/>
      <c r="G21" s="9"/>
      <c r="H21" s="9"/>
      <c r="I21" s="9"/>
      <c r="J21" s="9"/>
      <c r="K21" s="9">
        <v>4171.0</v>
      </c>
      <c r="L21" s="9">
        <v>4411.0</v>
      </c>
      <c r="M21" s="9">
        <v>5051.0</v>
      </c>
      <c r="N21" s="9">
        <v>6822.0</v>
      </c>
      <c r="O21" s="9">
        <v>6373.0</v>
      </c>
      <c r="P21" s="9">
        <v>7205.0</v>
      </c>
      <c r="Q21" s="9">
        <v>6821.0</v>
      </c>
      <c r="R21" s="9">
        <v>8174.0</v>
      </c>
      <c r="S21" s="9">
        <v>6364.0</v>
      </c>
      <c r="T21" s="9">
        <v>6360.0</v>
      </c>
      <c r="U21" s="9">
        <v>5707.0</v>
      </c>
      <c r="V21" s="10"/>
      <c r="W21" s="9"/>
      <c r="X21" s="9"/>
      <c r="Y21" s="9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ht="12.75" customHeight="1">
      <c r="A22" s="3"/>
      <c r="B22" s="3" t="s">
        <v>70</v>
      </c>
      <c r="C22" s="9"/>
      <c r="D22" s="9"/>
      <c r="E22" s="9"/>
      <c r="F22" s="9"/>
      <c r="G22" s="9"/>
      <c r="H22" s="9"/>
      <c r="I22" s="9"/>
      <c r="J22" s="9"/>
      <c r="K22" s="9">
        <v>8379.0</v>
      </c>
      <c r="L22" s="9">
        <v>9059.0</v>
      </c>
      <c r="M22" s="9">
        <v>9988.0</v>
      </c>
      <c r="N22" s="9">
        <v>13150.0</v>
      </c>
      <c r="O22" s="9">
        <v>11897.0</v>
      </c>
      <c r="P22" s="9">
        <v>13366.0</v>
      </c>
      <c r="Q22" s="9">
        <v>13094.0</v>
      </c>
      <c r="R22" s="9">
        <v>15062.0</v>
      </c>
      <c r="S22" s="9">
        <v>12024.0</v>
      </c>
      <c r="T22" s="9">
        <v>12788.0</v>
      </c>
      <c r="U22" s="9">
        <v>12766.0</v>
      </c>
      <c r="V22" s="10"/>
      <c r="W22" s="9"/>
      <c r="X22" s="9"/>
      <c r="Y22" s="9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ht="12.75" customHeight="1">
      <c r="A23" s="3"/>
      <c r="B23" s="3" t="s">
        <v>71</v>
      </c>
      <c r="C23" s="9">
        <v>171.0</v>
      </c>
      <c r="D23" s="9">
        <v>193.0</v>
      </c>
      <c r="E23" s="9">
        <v>188.0</v>
      </c>
      <c r="F23" s="9">
        <v>274.0</v>
      </c>
      <c r="G23" s="9">
        <v>165.0</v>
      </c>
      <c r="H23" s="9">
        <v>262.0</v>
      </c>
      <c r="I23" s="9">
        <v>269.0</v>
      </c>
      <c r="J23" s="9">
        <v>346.0</v>
      </c>
      <c r="K23" s="9">
        <v>297.0</v>
      </c>
      <c r="L23" s="9"/>
      <c r="M23" s="9"/>
      <c r="N23" s="9">
        <v>168.0</v>
      </c>
      <c r="O23" s="9">
        <v>198.0</v>
      </c>
      <c r="P23" s="9">
        <v>192.0</v>
      </c>
      <c r="Q23" s="9">
        <v>176.0</v>
      </c>
      <c r="R23" s="9">
        <v>155.0</v>
      </c>
      <c r="S23" s="9">
        <v>215.0</v>
      </c>
      <c r="T23" s="9">
        <v>218.0</v>
      </c>
      <c r="U23" s="9">
        <v>192.0</v>
      </c>
      <c r="V23" s="9">
        <v>184.0</v>
      </c>
      <c r="W23" s="9"/>
      <c r="X23" s="9"/>
      <c r="Y23" s="9"/>
      <c r="Z23" s="3"/>
      <c r="AA23" s="3"/>
      <c r="AB23" s="3"/>
      <c r="AC23" s="3"/>
      <c r="AD23" s="3"/>
      <c r="AE23" s="3"/>
      <c r="AF23" s="3"/>
      <c r="AG23" s="3">
        <v>825.0</v>
      </c>
      <c r="AH23" s="3">
        <v>541.0</v>
      </c>
      <c r="AI23" s="3">
        <v>657.0</v>
      </c>
      <c r="AJ23" s="3">
        <v>721.0</v>
      </c>
      <c r="AK23" s="18">
        <v>808.0</v>
      </c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ht="12.75" customHeight="1">
      <c r="A24" s="3"/>
      <c r="B24" s="3" t="s">
        <v>72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>
        <v>717.0</v>
      </c>
      <c r="O24" s="9">
        <v>534.0</v>
      </c>
      <c r="P24" s="9">
        <v>305.0</v>
      </c>
      <c r="Q24" s="9">
        <v>558.0</v>
      </c>
      <c r="R24" s="9">
        <v>877.0</v>
      </c>
      <c r="S24" s="9">
        <v>695.0</v>
      </c>
      <c r="T24" s="9">
        <v>452.0</v>
      </c>
      <c r="U24" s="9">
        <v>285.0</v>
      </c>
      <c r="V24" s="9">
        <v>727.0</v>
      </c>
      <c r="W24" s="9"/>
      <c r="X24" s="9"/>
      <c r="Y24" s="9"/>
      <c r="Z24" s="3"/>
      <c r="AA24" s="3"/>
      <c r="AB24" s="3"/>
      <c r="AC24" s="3"/>
      <c r="AD24" s="3"/>
      <c r="AE24" s="3"/>
      <c r="AF24" s="3"/>
      <c r="AG24" s="3"/>
      <c r="AH24" s="3">
        <v>501.0</v>
      </c>
      <c r="AI24" s="3">
        <v>1139.0</v>
      </c>
      <c r="AJ24" s="3">
        <v>2274.0</v>
      </c>
      <c r="AK24" s="18">
        <v>2159.0</v>
      </c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ht="12.75" customHeight="1">
      <c r="A25" s="3"/>
      <c r="B25" s="3" t="s">
        <v>73</v>
      </c>
      <c r="C25" s="9">
        <v>11795.0</v>
      </c>
      <c r="D25" s="9">
        <v>13038.0</v>
      </c>
      <c r="E25" s="9">
        <v>13539.0</v>
      </c>
      <c r="F25" s="9">
        <v>16640.0</v>
      </c>
      <c r="G25" s="9">
        <v>14912.0</v>
      </c>
      <c r="H25" s="9">
        <v>16624.0</v>
      </c>
      <c r="I25" s="9">
        <v>17383.0</v>
      </c>
      <c r="J25" s="9">
        <v>20736.0</v>
      </c>
      <c r="K25" s="9">
        <f t="shared" ref="K25:U25" si="10">SUM(K19:K22)</f>
        <v>17440</v>
      </c>
      <c r="L25" s="9">
        <f t="shared" si="10"/>
        <v>18321</v>
      </c>
      <c r="M25" s="9">
        <f t="shared" si="10"/>
        <v>21221</v>
      </c>
      <c r="N25" s="9">
        <f t="shared" si="10"/>
        <v>27187</v>
      </c>
      <c r="O25" s="9">
        <f t="shared" si="10"/>
        <v>25439</v>
      </c>
      <c r="P25" s="9">
        <f t="shared" si="10"/>
        <v>28580</v>
      </c>
      <c r="Q25" s="9">
        <f t="shared" si="10"/>
        <v>28276</v>
      </c>
      <c r="R25" s="9">
        <f t="shared" si="10"/>
        <v>32639</v>
      </c>
      <c r="S25" s="9">
        <f t="shared" si="10"/>
        <v>26998</v>
      </c>
      <c r="T25" s="9">
        <f t="shared" si="10"/>
        <v>28152</v>
      </c>
      <c r="U25" s="9">
        <f t="shared" si="10"/>
        <v>27237</v>
      </c>
      <c r="V25" s="9">
        <v>31254.0</v>
      </c>
      <c r="W25" s="9">
        <f t="shared" ref="W25:Z25" si="11">+S25*0.98</f>
        <v>26458.04</v>
      </c>
      <c r="X25" s="9">
        <f t="shared" si="11"/>
        <v>27588.96</v>
      </c>
      <c r="Y25" s="9">
        <f t="shared" si="11"/>
        <v>26692.26</v>
      </c>
      <c r="Z25" s="9">
        <f t="shared" si="11"/>
        <v>30628.92</v>
      </c>
      <c r="AA25" s="3"/>
      <c r="AB25" s="3">
        <v>7872.0</v>
      </c>
      <c r="AC25" s="3">
        <v>12466.0</v>
      </c>
      <c r="AD25" s="3">
        <v>17928.0</v>
      </c>
      <c r="AE25" s="3">
        <v>27638.0</v>
      </c>
      <c r="AF25" s="3">
        <v>40653.0</v>
      </c>
      <c r="AG25" s="3">
        <v>55013.0</v>
      </c>
      <c r="AH25" s="3">
        <v>69655.0</v>
      </c>
      <c r="AI25" s="3">
        <v>84169.0</v>
      </c>
      <c r="AJ25" s="3">
        <v>114934.0</v>
      </c>
      <c r="AK25" s="18">
        <v>113642.0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ht="12.75" customHeight="1">
      <c r="A26" s="19"/>
      <c r="B26" s="19" t="s">
        <v>74</v>
      </c>
      <c r="C26" s="20">
        <f t="shared" ref="C26:K26" si="12">SUM(C23:C25)</f>
        <v>11966</v>
      </c>
      <c r="D26" s="20">
        <f t="shared" si="12"/>
        <v>13231</v>
      </c>
      <c r="E26" s="20">
        <f t="shared" si="12"/>
        <v>13727</v>
      </c>
      <c r="F26" s="20">
        <f t="shared" si="12"/>
        <v>16914</v>
      </c>
      <c r="G26" s="20">
        <f t="shared" si="12"/>
        <v>15077</v>
      </c>
      <c r="H26" s="20">
        <f t="shared" si="12"/>
        <v>16886</v>
      </c>
      <c r="I26" s="20">
        <f t="shared" si="12"/>
        <v>17652</v>
      </c>
      <c r="J26" s="20">
        <f t="shared" si="12"/>
        <v>21082</v>
      </c>
      <c r="K26" s="20">
        <f t="shared" si="12"/>
        <v>17737</v>
      </c>
      <c r="L26" s="20">
        <v>18687.0</v>
      </c>
      <c r="M26" s="20">
        <v>21470.0</v>
      </c>
      <c r="N26" s="20">
        <v>28072.0</v>
      </c>
      <c r="O26" s="20">
        <f>SUM(O23:O25)</f>
        <v>26171</v>
      </c>
      <c r="P26" s="20">
        <v>29077.0</v>
      </c>
      <c r="Q26" s="20">
        <v>29010.0</v>
      </c>
      <c r="R26" s="20">
        <v>33671.0</v>
      </c>
      <c r="S26" s="20">
        <f t="shared" ref="S26:U26" si="13">SUM(S23:S25)</f>
        <v>27908</v>
      </c>
      <c r="T26" s="20">
        <f t="shared" si="13"/>
        <v>28822</v>
      </c>
      <c r="U26" s="20">
        <f t="shared" si="13"/>
        <v>27714</v>
      </c>
      <c r="V26" s="20">
        <v>32165.0</v>
      </c>
      <c r="W26" s="20">
        <f t="shared" ref="W26:Z26" si="14">SUM(W23:W25)</f>
        <v>26458.04</v>
      </c>
      <c r="X26" s="20">
        <f t="shared" si="14"/>
        <v>27588.96</v>
      </c>
      <c r="Y26" s="20">
        <f t="shared" si="14"/>
        <v>26692.26</v>
      </c>
      <c r="Z26" s="20">
        <f t="shared" si="14"/>
        <v>30628.92</v>
      </c>
      <c r="AA26" s="19"/>
      <c r="AB26" s="19">
        <f t="shared" ref="AB26:AJ26" si="15">SUM(AB23:AB25)</f>
        <v>7872</v>
      </c>
      <c r="AC26" s="19">
        <f t="shared" si="15"/>
        <v>12466</v>
      </c>
      <c r="AD26" s="19">
        <f t="shared" si="15"/>
        <v>17928</v>
      </c>
      <c r="AE26" s="19">
        <f t="shared" si="15"/>
        <v>27638</v>
      </c>
      <c r="AF26" s="19">
        <f t="shared" si="15"/>
        <v>40653</v>
      </c>
      <c r="AG26" s="19">
        <f t="shared" si="15"/>
        <v>55838</v>
      </c>
      <c r="AH26" s="19">
        <f t="shared" si="15"/>
        <v>70697</v>
      </c>
      <c r="AI26" s="19">
        <f t="shared" si="15"/>
        <v>85965</v>
      </c>
      <c r="AJ26" s="19">
        <f t="shared" si="15"/>
        <v>117929</v>
      </c>
      <c r="AK26" s="19">
        <f>SUM(S26:V26)</f>
        <v>116609</v>
      </c>
      <c r="AL26" s="19">
        <f t="shared" ref="AL26:AM26" si="16">+AK26*0.95</f>
        <v>110778.55</v>
      </c>
      <c r="AM26" s="19">
        <f t="shared" si="16"/>
        <v>105239.6225</v>
      </c>
      <c r="AN26" s="19">
        <f>+AM26*1.1</f>
        <v>115763.5848</v>
      </c>
      <c r="AO26" s="19">
        <f>+AN26*1.05</f>
        <v>121551.764</v>
      </c>
      <c r="AP26" s="19">
        <f t="shared" ref="AP26:AS26" si="17">+AO26*1.03</f>
        <v>125198.3169</v>
      </c>
      <c r="AQ26" s="19">
        <f t="shared" si="17"/>
        <v>128954.2664</v>
      </c>
      <c r="AR26" s="19">
        <f t="shared" si="17"/>
        <v>132822.8944</v>
      </c>
      <c r="AS26" s="19">
        <f t="shared" si="17"/>
        <v>136807.5812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</row>
    <row r="27" ht="12.75" customHeight="1">
      <c r="A27" s="3"/>
      <c r="B27" s="3" t="s">
        <v>75</v>
      </c>
      <c r="C27" s="9">
        <v>1927.0</v>
      </c>
      <c r="D27" s="9">
        <v>2214.0</v>
      </c>
      <c r="E27" s="9">
        <v>2418.0</v>
      </c>
      <c r="F27" s="9">
        <v>2796.0</v>
      </c>
      <c r="G27" s="9">
        <v>2816.0</v>
      </c>
      <c r="H27" s="9">
        <v>3307.0</v>
      </c>
      <c r="I27" s="9">
        <v>3155.0</v>
      </c>
      <c r="J27" s="9">
        <v>3492.0</v>
      </c>
      <c r="K27" s="9">
        <v>3459.0</v>
      </c>
      <c r="L27" s="9">
        <v>3829.0</v>
      </c>
      <c r="M27" s="9">
        <v>4194.0</v>
      </c>
      <c r="N27" s="9">
        <v>5210.0</v>
      </c>
      <c r="O27" s="9">
        <v>5131.0</v>
      </c>
      <c r="P27" s="9">
        <v>5399.0</v>
      </c>
      <c r="Q27" s="9">
        <v>5771.0</v>
      </c>
      <c r="R27" s="9">
        <v>6348.0</v>
      </c>
      <c r="S27" s="9">
        <v>6005.0</v>
      </c>
      <c r="T27" s="9">
        <v>5192.0</v>
      </c>
      <c r="U27" s="9">
        <v>5716.0</v>
      </c>
      <c r="V27" s="9">
        <v>8336.0</v>
      </c>
      <c r="W27" s="9">
        <f t="shared" ref="W27:Z27" si="18">+W26-W28</f>
        <v>5556.1884</v>
      </c>
      <c r="X27" s="9">
        <f t="shared" si="18"/>
        <v>5793.6816</v>
      </c>
      <c r="Y27" s="9">
        <f t="shared" si="18"/>
        <v>5605.3746</v>
      </c>
      <c r="Z27" s="9">
        <f t="shared" si="18"/>
        <v>6432.0732</v>
      </c>
      <c r="AA27" s="3"/>
      <c r="AB27" s="3"/>
      <c r="AC27" s="3"/>
      <c r="AD27" s="3"/>
      <c r="AE27" s="3"/>
      <c r="AF27" s="3"/>
      <c r="AG27" s="3">
        <v>9355.0</v>
      </c>
      <c r="AH27" s="3">
        <v>12770.0</v>
      </c>
      <c r="AI27" s="3">
        <v>16692.0</v>
      </c>
      <c r="AJ27" s="3">
        <v>22649.0</v>
      </c>
      <c r="AK27" s="3">
        <f>25249</f>
        <v>25249</v>
      </c>
      <c r="AL27" s="3">
        <f t="shared" ref="AL27:AS27" si="19">+AL26-AL28</f>
        <v>21047.9245</v>
      </c>
      <c r="AM27" s="3">
        <f t="shared" si="19"/>
        <v>19995.52828</v>
      </c>
      <c r="AN27" s="3">
        <f t="shared" si="19"/>
        <v>21995.0811</v>
      </c>
      <c r="AO27" s="3">
        <f t="shared" si="19"/>
        <v>23094.83516</v>
      </c>
      <c r="AP27" s="3">
        <f t="shared" si="19"/>
        <v>23787.68021</v>
      </c>
      <c r="AQ27" s="3">
        <f t="shared" si="19"/>
        <v>24501.31062</v>
      </c>
      <c r="AR27" s="3">
        <f t="shared" si="19"/>
        <v>25236.34994</v>
      </c>
      <c r="AS27" s="3">
        <f t="shared" si="19"/>
        <v>25993.44044</v>
      </c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ht="12.75" customHeight="1">
      <c r="A28" s="3"/>
      <c r="B28" s="3" t="s">
        <v>76</v>
      </c>
      <c r="C28" s="9">
        <f t="shared" ref="C28:V28" si="20">+C26-C27</f>
        <v>10039</v>
      </c>
      <c r="D28" s="9">
        <f t="shared" si="20"/>
        <v>11017</v>
      </c>
      <c r="E28" s="9">
        <f t="shared" si="20"/>
        <v>11309</v>
      </c>
      <c r="F28" s="9">
        <f t="shared" si="20"/>
        <v>14118</v>
      </c>
      <c r="G28" s="9">
        <f t="shared" si="20"/>
        <v>12261</v>
      </c>
      <c r="H28" s="9">
        <f t="shared" si="20"/>
        <v>13579</v>
      </c>
      <c r="I28" s="9">
        <f t="shared" si="20"/>
        <v>14497</v>
      </c>
      <c r="J28" s="9">
        <f t="shared" si="20"/>
        <v>17590</v>
      </c>
      <c r="K28" s="9">
        <f t="shared" si="20"/>
        <v>14278</v>
      </c>
      <c r="L28" s="9">
        <f t="shared" si="20"/>
        <v>14858</v>
      </c>
      <c r="M28" s="9">
        <f t="shared" si="20"/>
        <v>17276</v>
      </c>
      <c r="N28" s="9">
        <f t="shared" si="20"/>
        <v>22862</v>
      </c>
      <c r="O28" s="9">
        <f t="shared" si="20"/>
        <v>21040</v>
      </c>
      <c r="P28" s="9">
        <f t="shared" si="20"/>
        <v>23678</v>
      </c>
      <c r="Q28" s="9">
        <f t="shared" si="20"/>
        <v>23239</v>
      </c>
      <c r="R28" s="9">
        <f t="shared" si="20"/>
        <v>27323</v>
      </c>
      <c r="S28" s="9">
        <f t="shared" si="20"/>
        <v>21903</v>
      </c>
      <c r="T28" s="9">
        <f t="shared" si="20"/>
        <v>23630</v>
      </c>
      <c r="U28" s="9">
        <f t="shared" si="20"/>
        <v>21998</v>
      </c>
      <c r="V28" s="9">
        <f t="shared" si="20"/>
        <v>23829</v>
      </c>
      <c r="W28" s="9">
        <f t="shared" ref="W28:Z28" si="21">+W26*0.79</f>
        <v>20901.8516</v>
      </c>
      <c r="X28" s="9">
        <f t="shared" si="21"/>
        <v>21795.2784</v>
      </c>
      <c r="Y28" s="9">
        <f t="shared" si="21"/>
        <v>21086.8854</v>
      </c>
      <c r="Z28" s="9">
        <f t="shared" si="21"/>
        <v>24196.8468</v>
      </c>
      <c r="AA28" s="3"/>
      <c r="AB28" s="3"/>
      <c r="AC28" s="3"/>
      <c r="AD28" s="3"/>
      <c r="AE28" s="3"/>
      <c r="AF28" s="3"/>
      <c r="AG28" s="3">
        <f t="shared" ref="AG28:AJ28" si="22">+AG26-AG27</f>
        <v>46483</v>
      </c>
      <c r="AH28" s="3">
        <f t="shared" si="22"/>
        <v>57927</v>
      </c>
      <c r="AI28" s="3">
        <f t="shared" si="22"/>
        <v>69273</v>
      </c>
      <c r="AJ28" s="3">
        <f t="shared" si="22"/>
        <v>95280</v>
      </c>
      <c r="AK28" s="3">
        <f>AK26-AK27</f>
        <v>91360</v>
      </c>
      <c r="AL28" s="3">
        <f t="shared" ref="AL28:AS28" si="23">+AL26*0.81</f>
        <v>89730.6255</v>
      </c>
      <c r="AM28" s="3">
        <f t="shared" si="23"/>
        <v>85244.09423</v>
      </c>
      <c r="AN28" s="3">
        <f t="shared" si="23"/>
        <v>93768.50365</v>
      </c>
      <c r="AO28" s="3">
        <f t="shared" si="23"/>
        <v>98456.92883</v>
      </c>
      <c r="AP28" s="3">
        <f t="shared" si="23"/>
        <v>101410.6367</v>
      </c>
      <c r="AQ28" s="3">
        <f t="shared" si="23"/>
        <v>104452.9558</v>
      </c>
      <c r="AR28" s="3">
        <f t="shared" si="23"/>
        <v>107586.5445</v>
      </c>
      <c r="AS28" s="3">
        <f t="shared" si="23"/>
        <v>110814.1408</v>
      </c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ht="12.75" customHeight="1">
      <c r="A29" s="3"/>
      <c r="B29" s="3" t="s">
        <v>77</v>
      </c>
      <c r="C29" s="9">
        <v>2238.0</v>
      </c>
      <c r="D29" s="9">
        <v>2523.0</v>
      </c>
      <c r="E29" s="9">
        <v>2657.0</v>
      </c>
      <c r="F29" s="9">
        <v>2855.0</v>
      </c>
      <c r="G29" s="9">
        <v>2860.0</v>
      </c>
      <c r="H29" s="9">
        <v>3315.0</v>
      </c>
      <c r="I29" s="9">
        <v>3548.0</v>
      </c>
      <c r="J29" s="9">
        <v>3877.0</v>
      </c>
      <c r="K29" s="9">
        <v>4015.0</v>
      </c>
      <c r="L29" s="9">
        <v>4462.0</v>
      </c>
      <c r="M29" s="9">
        <v>4763.0</v>
      </c>
      <c r="N29" s="9">
        <v>5208.0</v>
      </c>
      <c r="O29" s="9">
        <v>5197.0</v>
      </c>
      <c r="P29" s="9">
        <v>6096.0</v>
      </c>
      <c r="Q29" s="9">
        <v>6316.0</v>
      </c>
      <c r="R29" s="9">
        <v>7046.0</v>
      </c>
      <c r="S29" s="9">
        <v>7707.0</v>
      </c>
      <c r="T29" s="9">
        <v>8690.0</v>
      </c>
      <c r="U29" s="9">
        <v>9170.0</v>
      </c>
      <c r="V29" s="9">
        <v>9771.0</v>
      </c>
      <c r="W29" s="9">
        <f t="shared" ref="W29:Z29" si="24">+S29*0.9</f>
        <v>6936.3</v>
      </c>
      <c r="X29" s="9">
        <f t="shared" si="24"/>
        <v>7821</v>
      </c>
      <c r="Y29" s="9">
        <f t="shared" si="24"/>
        <v>8253</v>
      </c>
      <c r="Z29" s="9">
        <f t="shared" si="24"/>
        <v>8793.9</v>
      </c>
      <c r="AA29" s="3"/>
      <c r="AB29" s="3"/>
      <c r="AC29" s="3"/>
      <c r="AD29" s="3"/>
      <c r="AE29" s="3"/>
      <c r="AF29" s="3"/>
      <c r="AG29" s="3">
        <v>10273.0</v>
      </c>
      <c r="AH29" s="3">
        <v>13600.0</v>
      </c>
      <c r="AI29" s="3">
        <v>18447.0</v>
      </c>
      <c r="AJ29" s="3">
        <v>24655.0</v>
      </c>
      <c r="AK29" s="18">
        <v>35338.0</v>
      </c>
      <c r="AL29" s="3">
        <f t="shared" ref="AL29:AS29" si="25">+AK29*0.9</f>
        <v>31804.2</v>
      </c>
      <c r="AM29" s="3">
        <f t="shared" si="25"/>
        <v>28623.78</v>
      </c>
      <c r="AN29" s="3">
        <f t="shared" si="25"/>
        <v>25761.402</v>
      </c>
      <c r="AO29" s="3">
        <f t="shared" si="25"/>
        <v>23185.2618</v>
      </c>
      <c r="AP29" s="3">
        <f t="shared" si="25"/>
        <v>20866.73562</v>
      </c>
      <c r="AQ29" s="3">
        <f t="shared" si="25"/>
        <v>18780.06206</v>
      </c>
      <c r="AR29" s="3">
        <f t="shared" si="25"/>
        <v>16902.05585</v>
      </c>
      <c r="AS29" s="3">
        <f t="shared" si="25"/>
        <v>15211.85027</v>
      </c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ht="12.75" customHeight="1">
      <c r="A30" s="3"/>
      <c r="B30" s="3" t="s">
        <v>78</v>
      </c>
      <c r="C30" s="9">
        <v>1595.0</v>
      </c>
      <c r="D30" s="9">
        <v>1855.0</v>
      </c>
      <c r="E30" s="9">
        <v>1928.0</v>
      </c>
      <c r="F30" s="9">
        <v>2467.0</v>
      </c>
      <c r="G30" s="9">
        <v>2020.0</v>
      </c>
      <c r="H30" s="9">
        <v>2414.0</v>
      </c>
      <c r="I30" s="9">
        <v>2416.0</v>
      </c>
      <c r="J30" s="9">
        <v>3026.0</v>
      </c>
      <c r="K30" s="9">
        <v>2787.0</v>
      </c>
      <c r="L30" s="9">
        <v>2840.0</v>
      </c>
      <c r="M30" s="9">
        <v>2683.0</v>
      </c>
      <c r="N30" s="9">
        <v>3280.0</v>
      </c>
      <c r="O30" s="9">
        <v>2843.0</v>
      </c>
      <c r="P30" s="9">
        <v>3259.0</v>
      </c>
      <c r="Q30" s="9">
        <v>3554.0</v>
      </c>
      <c r="R30" s="9">
        <v>4387.0</v>
      </c>
      <c r="S30" s="9">
        <v>3312.0</v>
      </c>
      <c r="T30" s="9">
        <v>3595.0</v>
      </c>
      <c r="U30" s="9">
        <v>3780.0</v>
      </c>
      <c r="V30" s="9">
        <v>4574.0</v>
      </c>
      <c r="W30" s="9">
        <f t="shared" ref="W30:Z30" si="26">+S30*0.9</f>
        <v>2980.8</v>
      </c>
      <c r="X30" s="9">
        <f t="shared" si="26"/>
        <v>3235.5</v>
      </c>
      <c r="Y30" s="9">
        <f t="shared" si="26"/>
        <v>3402</v>
      </c>
      <c r="Z30" s="9">
        <f t="shared" si="26"/>
        <v>4116.6</v>
      </c>
      <c r="AA30" s="3"/>
      <c r="AB30" s="3"/>
      <c r="AC30" s="3"/>
      <c r="AD30" s="3"/>
      <c r="AE30" s="3"/>
      <c r="AF30" s="3"/>
      <c r="AG30" s="3">
        <v>7846.0</v>
      </c>
      <c r="AH30" s="3">
        <v>9876.0</v>
      </c>
      <c r="AI30" s="3">
        <v>11591.0</v>
      </c>
      <c r="AJ30" s="3">
        <v>14043.0</v>
      </c>
      <c r="AK30" s="18">
        <v>15262.0</v>
      </c>
      <c r="AL30" s="3">
        <f t="shared" ref="AL30:AS30" si="27">+AK30</f>
        <v>15262</v>
      </c>
      <c r="AM30" s="3">
        <f t="shared" si="27"/>
        <v>15262</v>
      </c>
      <c r="AN30" s="3">
        <f t="shared" si="27"/>
        <v>15262</v>
      </c>
      <c r="AO30" s="3">
        <f t="shared" si="27"/>
        <v>15262</v>
      </c>
      <c r="AP30" s="3">
        <f t="shared" si="27"/>
        <v>15262</v>
      </c>
      <c r="AQ30" s="3">
        <f t="shared" si="27"/>
        <v>15262</v>
      </c>
      <c r="AR30" s="3">
        <f t="shared" si="27"/>
        <v>15262</v>
      </c>
      <c r="AS30" s="3">
        <f t="shared" si="27"/>
        <v>15262</v>
      </c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ht="12.75" customHeight="1">
      <c r="A31" s="3"/>
      <c r="B31" s="3" t="s">
        <v>79</v>
      </c>
      <c r="C31" s="9">
        <v>757.0</v>
      </c>
      <c r="D31" s="9">
        <v>776.0</v>
      </c>
      <c r="E31" s="9">
        <v>943.0</v>
      </c>
      <c r="F31" s="9">
        <v>976.0</v>
      </c>
      <c r="G31" s="9">
        <f>4064-3000</f>
        <v>1064</v>
      </c>
      <c r="H31" s="9">
        <f>3224-2000</f>
        <v>1224</v>
      </c>
      <c r="I31" s="9">
        <v>1348.0</v>
      </c>
      <c r="J31" s="9">
        <v>1829.0</v>
      </c>
      <c r="K31" s="9">
        <v>1583.0</v>
      </c>
      <c r="L31" s="9">
        <v>1593.0</v>
      </c>
      <c r="M31" s="9">
        <v>1790.0</v>
      </c>
      <c r="N31" s="9">
        <v>1599.0</v>
      </c>
      <c r="O31" s="9">
        <v>1622.0</v>
      </c>
      <c r="P31" s="9">
        <v>1956.0</v>
      </c>
      <c r="Q31" s="9">
        <v>2946.0</v>
      </c>
      <c r="R31" s="9">
        <v>3305.0</v>
      </c>
      <c r="S31" s="9">
        <v>2360.0</v>
      </c>
      <c r="T31" s="9">
        <v>2987.0</v>
      </c>
      <c r="U31" s="9">
        <v>3384.0</v>
      </c>
      <c r="V31" s="9">
        <v>3085.0</v>
      </c>
      <c r="W31" s="9">
        <f t="shared" ref="W31:Z31" si="28">+S31*0.9</f>
        <v>2124</v>
      </c>
      <c r="X31" s="9">
        <f t="shared" si="28"/>
        <v>2688.3</v>
      </c>
      <c r="Y31" s="9">
        <f t="shared" si="28"/>
        <v>3045.6</v>
      </c>
      <c r="Z31" s="9">
        <f t="shared" si="28"/>
        <v>2776.5</v>
      </c>
      <c r="AA31" s="3"/>
      <c r="AB31" s="3"/>
      <c r="AC31" s="3"/>
      <c r="AD31" s="3"/>
      <c r="AE31" s="3"/>
      <c r="AF31" s="3"/>
      <c r="AG31" s="3">
        <v>3451.0</v>
      </c>
      <c r="AH31" s="3">
        <f>10465-5000</f>
        <v>5465</v>
      </c>
      <c r="AI31" s="3">
        <v>6564.0</v>
      </c>
      <c r="AJ31" s="3">
        <v>9829.0</v>
      </c>
      <c r="AK31" s="18">
        <v>11816.0</v>
      </c>
      <c r="AL31" s="3">
        <f t="shared" ref="AL31:AS31" si="29">+AK31</f>
        <v>11816</v>
      </c>
      <c r="AM31" s="3">
        <f t="shared" si="29"/>
        <v>11816</v>
      </c>
      <c r="AN31" s="3">
        <f t="shared" si="29"/>
        <v>11816</v>
      </c>
      <c r="AO31" s="3">
        <f t="shared" si="29"/>
        <v>11816</v>
      </c>
      <c r="AP31" s="3">
        <f t="shared" si="29"/>
        <v>11816</v>
      </c>
      <c r="AQ31" s="3">
        <f t="shared" si="29"/>
        <v>11816</v>
      </c>
      <c r="AR31" s="3">
        <f t="shared" si="29"/>
        <v>11816</v>
      </c>
      <c r="AS31" s="3">
        <f t="shared" si="29"/>
        <v>11816</v>
      </c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ht="12.75" customHeight="1">
      <c r="A32" s="3"/>
      <c r="B32" s="3" t="s">
        <v>80</v>
      </c>
      <c r="C32" s="9">
        <f t="shared" ref="C32:Z32" si="30">+C31+C30+C29</f>
        <v>4590</v>
      </c>
      <c r="D32" s="9">
        <f t="shared" si="30"/>
        <v>5154</v>
      </c>
      <c r="E32" s="9">
        <f t="shared" si="30"/>
        <v>5528</v>
      </c>
      <c r="F32" s="9">
        <f t="shared" si="30"/>
        <v>6298</v>
      </c>
      <c r="G32" s="9">
        <f t="shared" si="30"/>
        <v>5944</v>
      </c>
      <c r="H32" s="9">
        <f t="shared" si="30"/>
        <v>6953</v>
      </c>
      <c r="I32" s="9">
        <f t="shared" si="30"/>
        <v>7312</v>
      </c>
      <c r="J32" s="9">
        <f t="shared" si="30"/>
        <v>8732</v>
      </c>
      <c r="K32" s="9">
        <f t="shared" si="30"/>
        <v>8385</v>
      </c>
      <c r="L32" s="9">
        <f t="shared" si="30"/>
        <v>8895</v>
      </c>
      <c r="M32" s="9">
        <f t="shared" si="30"/>
        <v>9236</v>
      </c>
      <c r="N32" s="9">
        <f t="shared" si="30"/>
        <v>10087</v>
      </c>
      <c r="O32" s="9">
        <f t="shared" si="30"/>
        <v>9662</v>
      </c>
      <c r="P32" s="9">
        <f t="shared" si="30"/>
        <v>11311</v>
      </c>
      <c r="Q32" s="9">
        <f t="shared" si="30"/>
        <v>12816</v>
      </c>
      <c r="R32" s="9">
        <f t="shared" si="30"/>
        <v>14738</v>
      </c>
      <c r="S32" s="9">
        <f t="shared" si="30"/>
        <v>13379</v>
      </c>
      <c r="T32" s="9">
        <f t="shared" si="30"/>
        <v>15272</v>
      </c>
      <c r="U32" s="9">
        <f t="shared" si="30"/>
        <v>16334</v>
      </c>
      <c r="V32" s="9">
        <f t="shared" si="30"/>
        <v>17430</v>
      </c>
      <c r="W32" s="9">
        <f t="shared" si="30"/>
        <v>12041.1</v>
      </c>
      <c r="X32" s="9">
        <f t="shared" si="30"/>
        <v>13744.8</v>
      </c>
      <c r="Y32" s="9">
        <f t="shared" si="30"/>
        <v>14700.6</v>
      </c>
      <c r="Z32" s="9">
        <f t="shared" si="30"/>
        <v>15687</v>
      </c>
      <c r="AA32" s="3"/>
      <c r="AB32" s="3"/>
      <c r="AC32" s="3"/>
      <c r="AD32" s="3"/>
      <c r="AE32" s="3"/>
      <c r="AF32" s="3"/>
      <c r="AG32" s="3">
        <f t="shared" ref="AG32:AS32" si="31">SUM(AG29:AG31)</f>
        <v>21570</v>
      </c>
      <c r="AH32" s="3">
        <f t="shared" si="31"/>
        <v>28941</v>
      </c>
      <c r="AI32" s="3">
        <f t="shared" si="31"/>
        <v>36602</v>
      </c>
      <c r="AJ32" s="3">
        <f t="shared" si="31"/>
        <v>48527</v>
      </c>
      <c r="AK32" s="3">
        <f t="shared" si="31"/>
        <v>62416</v>
      </c>
      <c r="AL32" s="3">
        <f t="shared" si="31"/>
        <v>58882.2</v>
      </c>
      <c r="AM32" s="3">
        <f t="shared" si="31"/>
        <v>55701.78</v>
      </c>
      <c r="AN32" s="3">
        <f t="shared" si="31"/>
        <v>52839.402</v>
      </c>
      <c r="AO32" s="3">
        <f t="shared" si="31"/>
        <v>50263.2618</v>
      </c>
      <c r="AP32" s="3">
        <f t="shared" si="31"/>
        <v>47944.73562</v>
      </c>
      <c r="AQ32" s="3">
        <f t="shared" si="31"/>
        <v>45858.06206</v>
      </c>
      <c r="AR32" s="3">
        <f t="shared" si="31"/>
        <v>43980.05585</v>
      </c>
      <c r="AS32" s="3">
        <f t="shared" si="31"/>
        <v>42289.85027</v>
      </c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ht="12.75" customHeight="1">
      <c r="A33" s="3"/>
      <c r="B33" s="3" t="s">
        <v>81</v>
      </c>
      <c r="C33" s="9">
        <f t="shared" ref="C33:Z33" si="32">+C28-C32</f>
        <v>5449</v>
      </c>
      <c r="D33" s="9">
        <f t="shared" si="32"/>
        <v>5863</v>
      </c>
      <c r="E33" s="9">
        <f t="shared" si="32"/>
        <v>5781</v>
      </c>
      <c r="F33" s="9">
        <f t="shared" si="32"/>
        <v>7820</v>
      </c>
      <c r="G33" s="9">
        <f t="shared" si="32"/>
        <v>6317</v>
      </c>
      <c r="H33" s="9">
        <f t="shared" si="32"/>
        <v>6626</v>
      </c>
      <c r="I33" s="9">
        <f t="shared" si="32"/>
        <v>7185</v>
      </c>
      <c r="J33" s="9">
        <f t="shared" si="32"/>
        <v>8858</v>
      </c>
      <c r="K33" s="9">
        <f t="shared" si="32"/>
        <v>5893</v>
      </c>
      <c r="L33" s="9">
        <f t="shared" si="32"/>
        <v>5963</v>
      </c>
      <c r="M33" s="9">
        <f t="shared" si="32"/>
        <v>8040</v>
      </c>
      <c r="N33" s="9">
        <f t="shared" si="32"/>
        <v>12775</v>
      </c>
      <c r="O33" s="9">
        <f t="shared" si="32"/>
        <v>11378</v>
      </c>
      <c r="P33" s="9">
        <f t="shared" si="32"/>
        <v>12367</v>
      </c>
      <c r="Q33" s="9">
        <f t="shared" si="32"/>
        <v>10423</v>
      </c>
      <c r="R33" s="9">
        <f t="shared" si="32"/>
        <v>12585</v>
      </c>
      <c r="S33" s="9">
        <f t="shared" si="32"/>
        <v>8524</v>
      </c>
      <c r="T33" s="9">
        <f t="shared" si="32"/>
        <v>8358</v>
      </c>
      <c r="U33" s="9">
        <f t="shared" si="32"/>
        <v>5664</v>
      </c>
      <c r="V33" s="9">
        <f t="shared" si="32"/>
        <v>6399</v>
      </c>
      <c r="W33" s="9">
        <f t="shared" si="32"/>
        <v>8860.7516</v>
      </c>
      <c r="X33" s="9">
        <f t="shared" si="32"/>
        <v>8050.4784</v>
      </c>
      <c r="Y33" s="9">
        <f t="shared" si="32"/>
        <v>6386.2854</v>
      </c>
      <c r="Z33" s="9">
        <f t="shared" si="32"/>
        <v>8509.8468</v>
      </c>
      <c r="AA33" s="3"/>
      <c r="AB33" s="3"/>
      <c r="AC33" s="3"/>
      <c r="AD33" s="3"/>
      <c r="AE33" s="3"/>
      <c r="AF33" s="3"/>
      <c r="AG33" s="3">
        <f t="shared" ref="AG33:AS33" si="33">AG28-AG32</f>
        <v>24913</v>
      </c>
      <c r="AH33" s="3">
        <f t="shared" si="33"/>
        <v>28986</v>
      </c>
      <c r="AI33" s="3">
        <f t="shared" si="33"/>
        <v>32671</v>
      </c>
      <c r="AJ33" s="3">
        <f t="shared" si="33"/>
        <v>46753</v>
      </c>
      <c r="AK33" s="3">
        <f t="shared" si="33"/>
        <v>28944</v>
      </c>
      <c r="AL33" s="3">
        <f t="shared" si="33"/>
        <v>30848.4255</v>
      </c>
      <c r="AM33" s="3">
        <f t="shared" si="33"/>
        <v>29542.31423</v>
      </c>
      <c r="AN33" s="3">
        <f t="shared" si="33"/>
        <v>40929.10165</v>
      </c>
      <c r="AO33" s="3">
        <f t="shared" si="33"/>
        <v>48193.66703</v>
      </c>
      <c r="AP33" s="3">
        <f t="shared" si="33"/>
        <v>53465.90107</v>
      </c>
      <c r="AQ33" s="3">
        <f t="shared" si="33"/>
        <v>58594.89374</v>
      </c>
      <c r="AR33" s="3">
        <f t="shared" si="33"/>
        <v>63606.48862</v>
      </c>
      <c r="AS33" s="3">
        <f t="shared" si="33"/>
        <v>68524.29054</v>
      </c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ht="12.75" customHeight="1">
      <c r="A34" s="3"/>
      <c r="B34" s="3" t="s">
        <v>82</v>
      </c>
      <c r="C34" s="9">
        <v>161.0</v>
      </c>
      <c r="D34" s="9">
        <v>5.0</v>
      </c>
      <c r="E34" s="9">
        <v>131.0</v>
      </c>
      <c r="F34" s="9">
        <v>151.0</v>
      </c>
      <c r="G34" s="9">
        <v>206.0</v>
      </c>
      <c r="H34" s="9">
        <v>206.0</v>
      </c>
      <c r="I34" s="9">
        <v>144.0</v>
      </c>
      <c r="J34" s="9">
        <v>311.0</v>
      </c>
      <c r="K34" s="9">
        <v>-32.0</v>
      </c>
      <c r="L34" s="9">
        <v>168.0</v>
      </c>
      <c r="M34" s="9">
        <v>93.0</v>
      </c>
      <c r="N34" s="9">
        <v>280.0</v>
      </c>
      <c r="O34" s="9">
        <v>125.0</v>
      </c>
      <c r="P34" s="9">
        <v>146.0</v>
      </c>
      <c r="Q34" s="9">
        <v>142.0</v>
      </c>
      <c r="R34" s="9">
        <v>117.0</v>
      </c>
      <c r="S34" s="9">
        <v>384.0</v>
      </c>
      <c r="T34" s="9">
        <v>-172.0</v>
      </c>
      <c r="U34" s="9">
        <v>-88.0</v>
      </c>
      <c r="V34" s="9">
        <v>-250.0</v>
      </c>
      <c r="W34" s="9">
        <f t="shared" ref="W34:Z34" si="34">+V34</f>
        <v>-250</v>
      </c>
      <c r="X34" s="9">
        <f t="shared" si="34"/>
        <v>-250</v>
      </c>
      <c r="Y34" s="9">
        <f t="shared" si="34"/>
        <v>-250</v>
      </c>
      <c r="Z34" s="9">
        <f t="shared" si="34"/>
        <v>-250</v>
      </c>
      <c r="AA34" s="3"/>
      <c r="AB34" s="3"/>
      <c r="AC34" s="3"/>
      <c r="AD34" s="3"/>
      <c r="AE34" s="3"/>
      <c r="AF34" s="3"/>
      <c r="AG34" s="3">
        <v>448.0</v>
      </c>
      <c r="AH34" s="3">
        <v>826.0</v>
      </c>
      <c r="AI34" s="3">
        <v>509.0</v>
      </c>
      <c r="AJ34" s="3">
        <v>531.0</v>
      </c>
      <c r="AK34" s="21">
        <v>-125.0</v>
      </c>
      <c r="AL34" s="3">
        <f t="shared" ref="AL34:AS34" si="35">+AK53*$AX$52</f>
        <v>529.56</v>
      </c>
      <c r="AM34" s="3">
        <f t="shared" si="35"/>
        <v>786.8594811</v>
      </c>
      <c r="AN34" s="3">
        <f t="shared" si="35"/>
        <v>1035.558705</v>
      </c>
      <c r="AO34" s="3">
        <f t="shared" si="35"/>
        <v>1379.66892</v>
      </c>
      <c r="AP34" s="3">
        <f t="shared" si="35"/>
        <v>1786.170275</v>
      </c>
      <c r="AQ34" s="3">
        <f t="shared" si="35"/>
        <v>2239.23726</v>
      </c>
      <c r="AR34" s="3">
        <f t="shared" si="35"/>
        <v>2738.077134</v>
      </c>
      <c r="AS34" s="3">
        <f t="shared" si="35"/>
        <v>3282.102574</v>
      </c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ht="12.75" customHeight="1">
      <c r="A35" s="3"/>
      <c r="B35" s="3" t="s">
        <v>83</v>
      </c>
      <c r="C35" s="9">
        <f t="shared" ref="C35:Z35" si="36">+C33+C34</f>
        <v>5610</v>
      </c>
      <c r="D35" s="9">
        <f t="shared" si="36"/>
        <v>5868</v>
      </c>
      <c r="E35" s="9">
        <f t="shared" si="36"/>
        <v>5912</v>
      </c>
      <c r="F35" s="9">
        <f t="shared" si="36"/>
        <v>7971</v>
      </c>
      <c r="G35" s="9">
        <f t="shared" si="36"/>
        <v>6523</v>
      </c>
      <c r="H35" s="9">
        <f t="shared" si="36"/>
        <v>6832</v>
      </c>
      <c r="I35" s="9">
        <f t="shared" si="36"/>
        <v>7329</v>
      </c>
      <c r="J35" s="9">
        <f t="shared" si="36"/>
        <v>9169</v>
      </c>
      <c r="K35" s="9">
        <f t="shared" si="36"/>
        <v>5861</v>
      </c>
      <c r="L35" s="9">
        <f t="shared" si="36"/>
        <v>6131</v>
      </c>
      <c r="M35" s="9">
        <f t="shared" si="36"/>
        <v>8133</v>
      </c>
      <c r="N35" s="9">
        <f t="shared" si="36"/>
        <v>13055</v>
      </c>
      <c r="O35" s="9">
        <f t="shared" si="36"/>
        <v>11503</v>
      </c>
      <c r="P35" s="9">
        <f t="shared" si="36"/>
        <v>12513</v>
      </c>
      <c r="Q35" s="9">
        <f t="shared" si="36"/>
        <v>10565</v>
      </c>
      <c r="R35" s="9">
        <f t="shared" si="36"/>
        <v>12702</v>
      </c>
      <c r="S35" s="9">
        <f t="shared" si="36"/>
        <v>8908</v>
      </c>
      <c r="T35" s="9">
        <f t="shared" si="36"/>
        <v>8186</v>
      </c>
      <c r="U35" s="9">
        <f t="shared" si="36"/>
        <v>5576</v>
      </c>
      <c r="V35" s="9">
        <f t="shared" si="36"/>
        <v>6149</v>
      </c>
      <c r="W35" s="9">
        <f t="shared" si="36"/>
        <v>8610.7516</v>
      </c>
      <c r="X35" s="9">
        <f t="shared" si="36"/>
        <v>7800.4784</v>
      </c>
      <c r="Y35" s="9">
        <f t="shared" si="36"/>
        <v>6136.2854</v>
      </c>
      <c r="Z35" s="9">
        <f t="shared" si="36"/>
        <v>8259.8468</v>
      </c>
      <c r="AA35" s="3"/>
      <c r="AB35" s="3"/>
      <c r="AC35" s="3"/>
      <c r="AD35" s="3"/>
      <c r="AE35" s="3"/>
      <c r="AF35" s="3"/>
      <c r="AG35" s="3">
        <f t="shared" ref="AG35:AS35" si="37">+AG33+AG34</f>
        <v>25361</v>
      </c>
      <c r="AH35" s="3">
        <f t="shared" si="37"/>
        <v>29812</v>
      </c>
      <c r="AI35" s="3">
        <f t="shared" si="37"/>
        <v>33180</v>
      </c>
      <c r="AJ35" s="3">
        <f t="shared" si="37"/>
        <v>47284</v>
      </c>
      <c r="AK35" s="3">
        <f t="shared" si="37"/>
        <v>28819</v>
      </c>
      <c r="AL35" s="3">
        <f t="shared" si="37"/>
        <v>31377.9855</v>
      </c>
      <c r="AM35" s="3">
        <f t="shared" si="37"/>
        <v>30329.17371</v>
      </c>
      <c r="AN35" s="3">
        <f t="shared" si="37"/>
        <v>41964.66035</v>
      </c>
      <c r="AO35" s="3">
        <f t="shared" si="37"/>
        <v>49573.33595</v>
      </c>
      <c r="AP35" s="3">
        <f t="shared" si="37"/>
        <v>55252.07135</v>
      </c>
      <c r="AQ35" s="3">
        <f t="shared" si="37"/>
        <v>60834.131</v>
      </c>
      <c r="AR35" s="3">
        <f t="shared" si="37"/>
        <v>66344.56575</v>
      </c>
      <c r="AS35" s="3">
        <f t="shared" si="37"/>
        <v>71806.39311</v>
      </c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ht="12.75" customHeight="1">
      <c r="A36" s="3"/>
      <c r="B36" s="3" t="s">
        <v>84</v>
      </c>
      <c r="C36" s="9">
        <f>622+1</f>
        <v>623</v>
      </c>
      <c r="D36" s="9">
        <v>762.0</v>
      </c>
      <c r="E36" s="9">
        <v>775.0</v>
      </c>
      <c r="F36" s="9">
        <v>1089.0</v>
      </c>
      <c r="G36" s="9">
        <v>2216.0</v>
      </c>
      <c r="H36" s="9">
        <v>2216.0</v>
      </c>
      <c r="I36" s="9">
        <v>1238.0</v>
      </c>
      <c r="J36" s="9">
        <v>1820.0</v>
      </c>
      <c r="K36" s="9">
        <v>959.0</v>
      </c>
      <c r="L36" s="9">
        <v>953.0</v>
      </c>
      <c r="M36" s="9">
        <v>287.0</v>
      </c>
      <c r="N36" s="9">
        <v>1836.0</v>
      </c>
      <c r="O36" s="9">
        <v>2006.0</v>
      </c>
      <c r="P36" s="9">
        <v>2119.0</v>
      </c>
      <c r="Q36" s="9">
        <v>1371.0</v>
      </c>
      <c r="R36" s="9">
        <v>2417.0</v>
      </c>
      <c r="S36" s="9">
        <v>1443.0</v>
      </c>
      <c r="T36" s="9">
        <v>1499.0</v>
      </c>
      <c r="U36" s="9">
        <v>1181.0</v>
      </c>
      <c r="V36" s="9">
        <v>1497.0</v>
      </c>
      <c r="W36" s="9">
        <f t="shared" ref="W36:Z36" si="38">+W35*0.19</f>
        <v>1636.042804</v>
      </c>
      <c r="X36" s="9">
        <f t="shared" si="38"/>
        <v>1482.090896</v>
      </c>
      <c r="Y36" s="9">
        <f t="shared" si="38"/>
        <v>1165.894226</v>
      </c>
      <c r="Z36" s="9">
        <f t="shared" si="38"/>
        <v>1569.370892</v>
      </c>
      <c r="AA36" s="3"/>
      <c r="AB36" s="3"/>
      <c r="AC36" s="3"/>
      <c r="AD36" s="3"/>
      <c r="AE36" s="3"/>
      <c r="AF36" s="3"/>
      <c r="AG36" s="3">
        <f>3249+1</f>
        <v>3250</v>
      </c>
      <c r="AH36" s="3">
        <v>6327.0</v>
      </c>
      <c r="AI36" s="3">
        <v>4034.0</v>
      </c>
      <c r="AJ36" s="3">
        <v>7914.0</v>
      </c>
      <c r="AK36" s="18">
        <v>5619.0</v>
      </c>
      <c r="AL36" s="3">
        <f t="shared" ref="AL36:AS36" si="39">+AL35*0.18</f>
        <v>5648.03739</v>
      </c>
      <c r="AM36" s="3">
        <f t="shared" si="39"/>
        <v>5459.251267</v>
      </c>
      <c r="AN36" s="3">
        <f t="shared" si="39"/>
        <v>7553.638864</v>
      </c>
      <c r="AO36" s="3">
        <f t="shared" si="39"/>
        <v>8923.200471</v>
      </c>
      <c r="AP36" s="3">
        <f t="shared" si="39"/>
        <v>9945.372843</v>
      </c>
      <c r="AQ36" s="3">
        <f t="shared" si="39"/>
        <v>10950.14358</v>
      </c>
      <c r="AR36" s="3">
        <f t="shared" si="39"/>
        <v>11942.02184</v>
      </c>
      <c r="AS36" s="3">
        <f t="shared" si="39"/>
        <v>12925.15076</v>
      </c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ht="12.75" customHeight="1">
      <c r="A37" s="3"/>
      <c r="B37" s="3" t="s">
        <v>85</v>
      </c>
      <c r="C37" s="9">
        <f t="shared" ref="C37:Z37" si="40">+C35-C36</f>
        <v>4987</v>
      </c>
      <c r="D37" s="9">
        <f t="shared" si="40"/>
        <v>5106</v>
      </c>
      <c r="E37" s="9">
        <f t="shared" si="40"/>
        <v>5137</v>
      </c>
      <c r="F37" s="9">
        <f t="shared" si="40"/>
        <v>6882</v>
      </c>
      <c r="G37" s="9">
        <f t="shared" si="40"/>
        <v>4307</v>
      </c>
      <c r="H37" s="9">
        <f t="shared" si="40"/>
        <v>4616</v>
      </c>
      <c r="I37" s="9">
        <f t="shared" si="40"/>
        <v>6091</v>
      </c>
      <c r="J37" s="9">
        <f t="shared" si="40"/>
        <v>7349</v>
      </c>
      <c r="K37" s="9">
        <f t="shared" si="40"/>
        <v>4902</v>
      </c>
      <c r="L37" s="9">
        <f t="shared" si="40"/>
        <v>5178</v>
      </c>
      <c r="M37" s="9">
        <f t="shared" si="40"/>
        <v>7846</v>
      </c>
      <c r="N37" s="9">
        <f t="shared" si="40"/>
        <v>11219</v>
      </c>
      <c r="O37" s="9">
        <f t="shared" si="40"/>
        <v>9497</v>
      </c>
      <c r="P37" s="9">
        <f t="shared" si="40"/>
        <v>10394</v>
      </c>
      <c r="Q37" s="9">
        <f t="shared" si="40"/>
        <v>9194</v>
      </c>
      <c r="R37" s="9">
        <f t="shared" si="40"/>
        <v>10285</v>
      </c>
      <c r="S37" s="9">
        <f t="shared" si="40"/>
        <v>7465</v>
      </c>
      <c r="T37" s="9">
        <f t="shared" si="40"/>
        <v>6687</v>
      </c>
      <c r="U37" s="9">
        <f t="shared" si="40"/>
        <v>4395</v>
      </c>
      <c r="V37" s="9">
        <f t="shared" si="40"/>
        <v>4652</v>
      </c>
      <c r="W37" s="9">
        <f t="shared" si="40"/>
        <v>6974.708796</v>
      </c>
      <c r="X37" s="9">
        <f t="shared" si="40"/>
        <v>6318.387504</v>
      </c>
      <c r="Y37" s="9">
        <f t="shared" si="40"/>
        <v>4970.391174</v>
      </c>
      <c r="Z37" s="9">
        <f t="shared" si="40"/>
        <v>6690.475908</v>
      </c>
      <c r="AA37" s="3"/>
      <c r="AB37" s="3"/>
      <c r="AC37" s="3"/>
      <c r="AD37" s="3"/>
      <c r="AE37" s="3"/>
      <c r="AF37" s="3"/>
      <c r="AG37" s="3">
        <f t="shared" ref="AG37:AS37" si="41">+AG35-AG36</f>
        <v>22111</v>
      </c>
      <c r="AH37" s="3">
        <f t="shared" si="41"/>
        <v>23485</v>
      </c>
      <c r="AI37" s="3">
        <f t="shared" si="41"/>
        <v>29146</v>
      </c>
      <c r="AJ37" s="3">
        <f t="shared" si="41"/>
        <v>39370</v>
      </c>
      <c r="AK37" s="3">
        <f t="shared" si="41"/>
        <v>23200</v>
      </c>
      <c r="AL37" s="3">
        <f t="shared" si="41"/>
        <v>25729.94811</v>
      </c>
      <c r="AM37" s="3">
        <f t="shared" si="41"/>
        <v>24869.92244</v>
      </c>
      <c r="AN37" s="3">
        <f t="shared" si="41"/>
        <v>34411.02149</v>
      </c>
      <c r="AO37" s="3">
        <f t="shared" si="41"/>
        <v>40650.13548</v>
      </c>
      <c r="AP37" s="3">
        <f t="shared" si="41"/>
        <v>45306.69851</v>
      </c>
      <c r="AQ37" s="3">
        <f t="shared" si="41"/>
        <v>49883.98742</v>
      </c>
      <c r="AR37" s="3">
        <f t="shared" si="41"/>
        <v>54402.54392</v>
      </c>
      <c r="AS37" s="3">
        <f t="shared" si="41"/>
        <v>58881.24235</v>
      </c>
      <c r="AT37" s="3">
        <f t="shared" ref="AT37:CW37" si="42">+AS37*(1+$AX$51)</f>
        <v>57703.6175</v>
      </c>
      <c r="AU37" s="3">
        <f t="shared" si="42"/>
        <v>56549.54515</v>
      </c>
      <c r="AV37" s="3">
        <f t="shared" si="42"/>
        <v>55418.55425</v>
      </c>
      <c r="AW37" s="3">
        <f t="shared" si="42"/>
        <v>54310.18317</v>
      </c>
      <c r="AX37" s="3">
        <f t="shared" si="42"/>
        <v>53223.9795</v>
      </c>
      <c r="AY37" s="3">
        <f t="shared" si="42"/>
        <v>52159.49991</v>
      </c>
      <c r="AZ37" s="3">
        <f t="shared" si="42"/>
        <v>51116.30991</v>
      </c>
      <c r="BA37" s="3">
        <f t="shared" si="42"/>
        <v>50093.98372</v>
      </c>
      <c r="BB37" s="3">
        <f t="shared" si="42"/>
        <v>49092.10404</v>
      </c>
      <c r="BC37" s="3">
        <f t="shared" si="42"/>
        <v>48110.26196</v>
      </c>
      <c r="BD37" s="3">
        <f t="shared" si="42"/>
        <v>47148.05672</v>
      </c>
      <c r="BE37" s="3">
        <f t="shared" si="42"/>
        <v>46205.09559</v>
      </c>
      <c r="BF37" s="3">
        <f t="shared" si="42"/>
        <v>45280.99367</v>
      </c>
      <c r="BG37" s="3">
        <f t="shared" si="42"/>
        <v>44375.3738</v>
      </c>
      <c r="BH37" s="3">
        <f t="shared" si="42"/>
        <v>43487.86633</v>
      </c>
      <c r="BI37" s="3">
        <f t="shared" si="42"/>
        <v>42618.109</v>
      </c>
      <c r="BJ37" s="3">
        <f t="shared" si="42"/>
        <v>41765.74682</v>
      </c>
      <c r="BK37" s="3">
        <f t="shared" si="42"/>
        <v>40930.43188</v>
      </c>
      <c r="BL37" s="3">
        <f t="shared" si="42"/>
        <v>40111.82324</v>
      </c>
      <c r="BM37" s="3">
        <f t="shared" si="42"/>
        <v>39309.58678</v>
      </c>
      <c r="BN37" s="3">
        <f t="shared" si="42"/>
        <v>38523.39504</v>
      </c>
      <c r="BO37" s="3">
        <f t="shared" si="42"/>
        <v>37752.92714</v>
      </c>
      <c r="BP37" s="3">
        <f t="shared" si="42"/>
        <v>36997.8686</v>
      </c>
      <c r="BQ37" s="3">
        <f t="shared" si="42"/>
        <v>36257.91123</v>
      </c>
      <c r="BR37" s="3">
        <f t="shared" si="42"/>
        <v>35532.753</v>
      </c>
      <c r="BS37" s="3">
        <f t="shared" si="42"/>
        <v>34822.09794</v>
      </c>
      <c r="BT37" s="3">
        <f t="shared" si="42"/>
        <v>34125.65599</v>
      </c>
      <c r="BU37" s="3">
        <f t="shared" si="42"/>
        <v>33443.14287</v>
      </c>
      <c r="BV37" s="3">
        <f t="shared" si="42"/>
        <v>32774.28001</v>
      </c>
      <c r="BW37" s="3">
        <f t="shared" si="42"/>
        <v>32118.79441</v>
      </c>
      <c r="BX37" s="3">
        <f t="shared" si="42"/>
        <v>31476.41852</v>
      </c>
      <c r="BY37" s="3">
        <f t="shared" si="42"/>
        <v>30846.89015</v>
      </c>
      <c r="BZ37" s="3">
        <f t="shared" si="42"/>
        <v>30229.95235</v>
      </c>
      <c r="CA37" s="3">
        <f t="shared" si="42"/>
        <v>29625.3533</v>
      </c>
      <c r="CB37" s="3">
        <f t="shared" si="42"/>
        <v>29032.84623</v>
      </c>
      <c r="CC37" s="3">
        <f t="shared" si="42"/>
        <v>28452.18931</v>
      </c>
      <c r="CD37" s="3">
        <f t="shared" si="42"/>
        <v>27883.14552</v>
      </c>
      <c r="CE37" s="3">
        <f t="shared" si="42"/>
        <v>27325.48261</v>
      </c>
      <c r="CF37" s="3">
        <f t="shared" si="42"/>
        <v>26778.97296</v>
      </c>
      <c r="CG37" s="3">
        <f t="shared" si="42"/>
        <v>26243.3935</v>
      </c>
      <c r="CH37" s="3">
        <f t="shared" si="42"/>
        <v>25718.52563</v>
      </c>
      <c r="CI37" s="3">
        <f t="shared" si="42"/>
        <v>25204.15512</v>
      </c>
      <c r="CJ37" s="3">
        <f t="shared" si="42"/>
        <v>24700.07202</v>
      </c>
      <c r="CK37" s="3">
        <f t="shared" si="42"/>
        <v>24206.07058</v>
      </c>
      <c r="CL37" s="3">
        <f t="shared" si="42"/>
        <v>23721.94916</v>
      </c>
      <c r="CM37" s="3">
        <f t="shared" si="42"/>
        <v>23247.51018</v>
      </c>
      <c r="CN37" s="3">
        <f t="shared" si="42"/>
        <v>22782.55998</v>
      </c>
      <c r="CO37" s="3">
        <f t="shared" si="42"/>
        <v>22326.90878</v>
      </c>
      <c r="CP37" s="3">
        <f t="shared" si="42"/>
        <v>21880.3706</v>
      </c>
      <c r="CQ37" s="3">
        <f t="shared" si="42"/>
        <v>21442.76319</v>
      </c>
      <c r="CR37" s="3">
        <f t="shared" si="42"/>
        <v>21013.90793</v>
      </c>
      <c r="CS37" s="3">
        <f t="shared" si="42"/>
        <v>20593.62977</v>
      </c>
      <c r="CT37" s="3">
        <f t="shared" si="42"/>
        <v>20181.75717</v>
      </c>
      <c r="CU37" s="3">
        <f t="shared" si="42"/>
        <v>19778.12203</v>
      </c>
      <c r="CV37" s="3">
        <f t="shared" si="42"/>
        <v>19382.55959</v>
      </c>
      <c r="CW37" s="3">
        <f t="shared" si="42"/>
        <v>18994.9084</v>
      </c>
    </row>
    <row r="38" ht="12.75" customHeight="1">
      <c r="B38" s="3" t="s">
        <v>86</v>
      </c>
      <c r="C38" s="11">
        <f t="shared" ref="C38:Z38" si="43">+C37/C39</f>
        <v>1.693378608</v>
      </c>
      <c r="D38" s="11">
        <f t="shared" si="43"/>
        <v>1.742662116</v>
      </c>
      <c r="E38" s="11">
        <f t="shared" si="43"/>
        <v>1.763474082</v>
      </c>
      <c r="F38" s="11">
        <f t="shared" si="43"/>
        <v>2.384615385</v>
      </c>
      <c r="G38" s="11">
        <f t="shared" si="43"/>
        <v>1.498086957</v>
      </c>
      <c r="H38" s="11">
        <f t="shared" si="43"/>
        <v>1.605565217</v>
      </c>
      <c r="I38" s="11">
        <f t="shared" si="43"/>
        <v>2.119345859</v>
      </c>
      <c r="J38" s="11">
        <f t="shared" si="43"/>
        <v>2.559735284</v>
      </c>
      <c r="K38" s="11">
        <f t="shared" si="43"/>
        <v>1.709205021</v>
      </c>
      <c r="L38" s="11">
        <f t="shared" si="43"/>
        <v>1.79854116</v>
      </c>
      <c r="M38" s="11">
        <f t="shared" si="43"/>
        <v>2.713939813</v>
      </c>
      <c r="N38" s="11">
        <f t="shared" si="43"/>
        <v>3.88200692</v>
      </c>
      <c r="O38" s="11">
        <f t="shared" si="43"/>
        <v>3.295281055</v>
      </c>
      <c r="P38" s="11">
        <f t="shared" si="43"/>
        <v>3.612791102</v>
      </c>
      <c r="Q38" s="11">
        <f t="shared" si="43"/>
        <v>3.215809724</v>
      </c>
      <c r="R38" s="11">
        <f t="shared" si="43"/>
        <v>3.674526617</v>
      </c>
      <c r="S38" s="11">
        <f t="shared" si="43"/>
        <v>2.722465354</v>
      </c>
      <c r="T38" s="11">
        <f t="shared" si="43"/>
        <v>2.464799115</v>
      </c>
      <c r="U38" s="11">
        <f t="shared" si="43"/>
        <v>1.635653145</v>
      </c>
      <c r="V38" s="11">
        <f t="shared" si="43"/>
        <v>1.762121212</v>
      </c>
      <c r="W38" s="11">
        <f t="shared" si="43"/>
        <v>2.64193515</v>
      </c>
      <c r="X38" s="11">
        <f t="shared" si="43"/>
        <v>2.3933286</v>
      </c>
      <c r="Y38" s="11">
        <f t="shared" si="43"/>
        <v>1.88272393</v>
      </c>
      <c r="Z38" s="11">
        <f t="shared" si="43"/>
        <v>2.534271177</v>
      </c>
      <c r="AG38" s="22">
        <f t="shared" ref="AG38:AS38" si="44">+AG37/AG39</f>
        <v>7.569667922</v>
      </c>
      <c r="AH38" s="22">
        <f t="shared" si="44"/>
        <v>8.165855355</v>
      </c>
      <c r="AI38" s="22">
        <f t="shared" si="44"/>
        <v>10.09210526</v>
      </c>
      <c r="AJ38" s="22">
        <f t="shared" si="44"/>
        <v>13.77054914</v>
      </c>
      <c r="AK38" s="22">
        <f t="shared" si="44"/>
        <v>8.606937488</v>
      </c>
      <c r="AL38" s="22">
        <f t="shared" si="44"/>
        <v>9.54551961</v>
      </c>
      <c r="AM38" s="22">
        <f t="shared" si="44"/>
        <v>9.226459818</v>
      </c>
      <c r="AN38" s="22">
        <f t="shared" si="44"/>
        <v>12.76609961</v>
      </c>
      <c r="AO38" s="22">
        <f t="shared" si="44"/>
        <v>15.0807403</v>
      </c>
      <c r="AP38" s="22">
        <f t="shared" si="44"/>
        <v>16.80827249</v>
      </c>
      <c r="AQ38" s="22">
        <f t="shared" si="44"/>
        <v>18.50639489</v>
      </c>
      <c r="AR38" s="22">
        <f t="shared" si="44"/>
        <v>20.18272822</v>
      </c>
      <c r="AS38" s="22">
        <f t="shared" si="44"/>
        <v>21.84427466</v>
      </c>
    </row>
    <row r="39" ht="12.75" customHeight="1">
      <c r="A39" s="3"/>
      <c r="B39" s="3" t="s">
        <v>4</v>
      </c>
      <c r="C39" s="9">
        <v>2945.0</v>
      </c>
      <c r="D39" s="9">
        <v>2930.0</v>
      </c>
      <c r="E39" s="9">
        <v>2913.0</v>
      </c>
      <c r="F39" s="9">
        <v>2886.0</v>
      </c>
      <c r="G39" s="9">
        <v>2875.0</v>
      </c>
      <c r="H39" s="9">
        <v>2875.0</v>
      </c>
      <c r="I39" s="9">
        <v>2874.0</v>
      </c>
      <c r="J39" s="9">
        <v>2871.0</v>
      </c>
      <c r="K39" s="9">
        <v>2868.0</v>
      </c>
      <c r="L39" s="9">
        <v>2879.0</v>
      </c>
      <c r="M39" s="9">
        <v>2891.0</v>
      </c>
      <c r="N39" s="9">
        <v>2890.0</v>
      </c>
      <c r="O39" s="9">
        <v>2882.0</v>
      </c>
      <c r="P39" s="9">
        <v>2877.0</v>
      </c>
      <c r="Q39" s="9">
        <v>2859.0</v>
      </c>
      <c r="R39" s="9">
        <v>2799.0</v>
      </c>
      <c r="S39" s="9">
        <v>2742.0</v>
      </c>
      <c r="T39" s="9">
        <v>2713.0</v>
      </c>
      <c r="U39" s="9">
        <v>2687.0</v>
      </c>
      <c r="V39" s="9">
        <v>2640.0</v>
      </c>
      <c r="W39" s="9">
        <f t="shared" ref="W39:Z39" si="45">+V39</f>
        <v>2640</v>
      </c>
      <c r="X39" s="9">
        <f t="shared" si="45"/>
        <v>2640</v>
      </c>
      <c r="Y39" s="9">
        <f t="shared" si="45"/>
        <v>2640</v>
      </c>
      <c r="Z39" s="9">
        <f t="shared" si="45"/>
        <v>2640</v>
      </c>
      <c r="AA39" s="3"/>
      <c r="AB39" s="3"/>
      <c r="AC39" s="3"/>
      <c r="AD39" s="3"/>
      <c r="AE39" s="3"/>
      <c r="AF39" s="3">
        <f>2395.921635+509.079123</f>
        <v>2905.000758</v>
      </c>
      <c r="AG39" s="3">
        <v>2921.0</v>
      </c>
      <c r="AH39" s="3">
        <v>2876.0</v>
      </c>
      <c r="AI39" s="3">
        <v>2888.0</v>
      </c>
      <c r="AJ39" s="3">
        <v>2859.0</v>
      </c>
      <c r="AK39" s="3">
        <f>AVERAGE(S39:V39)</f>
        <v>2695.5</v>
      </c>
      <c r="AL39" s="3">
        <f t="shared" ref="AL39:AS39" si="46">+AK39</f>
        <v>2695.5</v>
      </c>
      <c r="AM39" s="3">
        <f t="shared" si="46"/>
        <v>2695.5</v>
      </c>
      <c r="AN39" s="3">
        <f t="shared" si="46"/>
        <v>2695.5</v>
      </c>
      <c r="AO39" s="3">
        <f t="shared" si="46"/>
        <v>2695.5</v>
      </c>
      <c r="AP39" s="3">
        <f t="shared" si="46"/>
        <v>2695.5</v>
      </c>
      <c r="AQ39" s="3">
        <f t="shared" si="46"/>
        <v>2695.5</v>
      </c>
      <c r="AR39" s="3">
        <f t="shared" si="46"/>
        <v>2695.5</v>
      </c>
      <c r="AS39" s="3">
        <f t="shared" si="46"/>
        <v>2695.5</v>
      </c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ht="12.75" customHeight="1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9"/>
      <c r="T40" s="4"/>
      <c r="U40" s="4"/>
      <c r="V40" s="4"/>
      <c r="W40" s="4"/>
      <c r="X40" s="4"/>
      <c r="Y40" s="4"/>
    </row>
    <row r="41" ht="12.75" customHeight="1">
      <c r="A41" s="23"/>
      <c r="B41" s="19" t="s">
        <v>87</v>
      </c>
      <c r="C41" s="24"/>
      <c r="D41" s="24"/>
      <c r="E41" s="24"/>
      <c r="F41" s="24"/>
      <c r="G41" s="25">
        <f t="shared" ref="G41:Z41" si="47">+G26/C26-1</f>
        <v>0.2599866288</v>
      </c>
      <c r="H41" s="25">
        <f t="shared" si="47"/>
        <v>0.2762451818</v>
      </c>
      <c r="I41" s="25">
        <f t="shared" si="47"/>
        <v>0.2859328331</v>
      </c>
      <c r="J41" s="25">
        <f t="shared" si="47"/>
        <v>0.2464230815</v>
      </c>
      <c r="K41" s="25">
        <f t="shared" si="47"/>
        <v>0.1764276713</v>
      </c>
      <c r="L41" s="25">
        <f t="shared" si="47"/>
        <v>0.1066564018</v>
      </c>
      <c r="M41" s="25">
        <f t="shared" si="47"/>
        <v>0.2162927714</v>
      </c>
      <c r="N41" s="25">
        <f t="shared" si="47"/>
        <v>0.3315624704</v>
      </c>
      <c r="O41" s="25">
        <f t="shared" si="47"/>
        <v>0.4755031854</v>
      </c>
      <c r="P41" s="25">
        <f t="shared" si="47"/>
        <v>0.5560014984</v>
      </c>
      <c r="Q41" s="25">
        <f t="shared" si="47"/>
        <v>0.3511877038</v>
      </c>
      <c r="R41" s="25">
        <f t="shared" si="47"/>
        <v>0.1994514107</v>
      </c>
      <c r="S41" s="25">
        <f t="shared" si="47"/>
        <v>0.0663711742</v>
      </c>
      <c r="T41" s="25">
        <f t="shared" si="47"/>
        <v>-0.008769818069</v>
      </c>
      <c r="U41" s="25">
        <f t="shared" si="47"/>
        <v>-0.04467425026</v>
      </c>
      <c r="V41" s="25">
        <f t="shared" si="47"/>
        <v>-0.04472691634</v>
      </c>
      <c r="W41" s="25">
        <f t="shared" si="47"/>
        <v>-0.05195499498</v>
      </c>
      <c r="X41" s="25">
        <f t="shared" si="47"/>
        <v>-0.0427812088</v>
      </c>
      <c r="Y41" s="25">
        <f t="shared" si="47"/>
        <v>-0.03686728729</v>
      </c>
      <c r="Z41" s="25">
        <f t="shared" si="47"/>
        <v>-0.0477562568</v>
      </c>
      <c r="AA41" s="23"/>
      <c r="AB41" s="23"/>
      <c r="AC41" s="26">
        <f t="shared" ref="AC41:AS41" si="48">+AC26/AB26-1</f>
        <v>0.5835873984</v>
      </c>
      <c r="AD41" s="26">
        <f t="shared" si="48"/>
        <v>0.4381517728</v>
      </c>
      <c r="AE41" s="26">
        <f t="shared" si="48"/>
        <v>0.541610888</v>
      </c>
      <c r="AF41" s="26">
        <f t="shared" si="48"/>
        <v>0.4709096172</v>
      </c>
      <c r="AG41" s="26">
        <f t="shared" si="48"/>
        <v>0.373527169</v>
      </c>
      <c r="AH41" s="26">
        <f t="shared" si="48"/>
        <v>0.2661091013</v>
      </c>
      <c r="AI41" s="26">
        <f t="shared" si="48"/>
        <v>0.2159639023</v>
      </c>
      <c r="AJ41" s="26">
        <f t="shared" si="48"/>
        <v>0.371825743</v>
      </c>
      <c r="AK41" s="26">
        <f t="shared" si="48"/>
        <v>-0.01119317555</v>
      </c>
      <c r="AL41" s="26">
        <f t="shared" si="48"/>
        <v>-0.05</v>
      </c>
      <c r="AM41" s="26">
        <f t="shared" si="48"/>
        <v>-0.05</v>
      </c>
      <c r="AN41" s="26">
        <f t="shared" si="48"/>
        <v>0.1</v>
      </c>
      <c r="AO41" s="26">
        <f t="shared" si="48"/>
        <v>0.05</v>
      </c>
      <c r="AP41" s="26">
        <f t="shared" si="48"/>
        <v>0.03</v>
      </c>
      <c r="AQ41" s="26">
        <f t="shared" si="48"/>
        <v>0.03</v>
      </c>
      <c r="AR41" s="26">
        <f t="shared" si="48"/>
        <v>0.03</v>
      </c>
      <c r="AS41" s="26">
        <f t="shared" si="48"/>
        <v>0.03</v>
      </c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</row>
    <row r="42" ht="12.75" customHeight="1">
      <c r="A42" s="23"/>
      <c r="B42" s="19" t="s">
        <v>88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>
        <f t="shared" ref="O42:U42" si="49">+O22/K22-1</f>
        <v>0.4198591717</v>
      </c>
      <c r="P42" s="25">
        <f t="shared" si="49"/>
        <v>0.4754387902</v>
      </c>
      <c r="Q42" s="25">
        <f t="shared" si="49"/>
        <v>0.3109731678</v>
      </c>
      <c r="R42" s="25">
        <f t="shared" si="49"/>
        <v>0.1453992395</v>
      </c>
      <c r="S42" s="25">
        <f t="shared" si="49"/>
        <v>0.01067496007</v>
      </c>
      <c r="T42" s="25">
        <f t="shared" si="49"/>
        <v>-0.04324405207</v>
      </c>
      <c r="U42" s="25">
        <f t="shared" si="49"/>
        <v>-0.02504964106</v>
      </c>
      <c r="V42" s="25"/>
      <c r="W42" s="24"/>
      <c r="X42" s="24"/>
      <c r="Y42" s="24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</row>
    <row r="43" ht="12.75" customHeight="1">
      <c r="A43" s="3"/>
      <c r="B43" s="3" t="s">
        <v>89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3">
        <v>0.15</v>
      </c>
      <c r="T43" s="13">
        <v>0.15</v>
      </c>
      <c r="U43" s="13">
        <v>0.17</v>
      </c>
      <c r="V43" s="13"/>
      <c r="W43" s="9"/>
      <c r="X43" s="9"/>
      <c r="Y43" s="9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ht="12.75" customHeight="1">
      <c r="A44" s="3"/>
      <c r="B44" s="3" t="s">
        <v>90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3">
        <v>-0.08</v>
      </c>
      <c r="T44" s="13">
        <v>-0.14</v>
      </c>
      <c r="U44" s="13">
        <v>-0.18</v>
      </c>
      <c r="V44" s="13">
        <v>-0.22</v>
      </c>
      <c r="W44" s="9"/>
      <c r="X44" s="9"/>
      <c r="Y44" s="9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ht="12.75" customHeight="1">
      <c r="A45" s="3"/>
      <c r="B45" s="3" t="s">
        <v>91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3"/>
      <c r="P45" s="13"/>
      <c r="Q45" s="13"/>
      <c r="R45" s="13">
        <f t="shared" ref="R45:V45" si="50">+R24/N24-1</f>
        <v>0.2231520223</v>
      </c>
      <c r="S45" s="13">
        <f t="shared" si="50"/>
        <v>0.3014981273</v>
      </c>
      <c r="T45" s="13">
        <f t="shared" si="50"/>
        <v>0.4819672131</v>
      </c>
      <c r="U45" s="13">
        <f t="shared" si="50"/>
        <v>-0.4892473118</v>
      </c>
      <c r="V45" s="13">
        <f t="shared" si="50"/>
        <v>-0.1710376283</v>
      </c>
      <c r="W45" s="13"/>
      <c r="X45" s="13"/>
      <c r="Y45" s="13"/>
      <c r="Z45" s="13"/>
      <c r="AA45" s="3"/>
      <c r="AB45" s="3"/>
      <c r="AC45" s="3"/>
      <c r="AD45" s="3"/>
      <c r="AE45" s="3"/>
      <c r="AF45" s="3"/>
      <c r="AG45" s="3"/>
      <c r="AH45" s="3"/>
      <c r="AI45" s="27">
        <f t="shared" ref="AI45:AK45" si="51">AI24/AH24-1</f>
        <v>1.273453094</v>
      </c>
      <c r="AJ45" s="27">
        <f t="shared" si="51"/>
        <v>0.9964881475</v>
      </c>
      <c r="AK45" s="27">
        <f t="shared" si="51"/>
        <v>-0.05057167986</v>
      </c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ht="12.75" customHeight="1">
      <c r="A46" s="3"/>
      <c r="B46" s="3" t="s">
        <v>92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3">
        <f t="shared" ref="Q46:Z46" si="52">+Q32/M32-1</f>
        <v>0.3876136856</v>
      </c>
      <c r="R46" s="13">
        <f t="shared" si="52"/>
        <v>0.4610885298</v>
      </c>
      <c r="S46" s="13">
        <f t="shared" si="52"/>
        <v>0.38470296</v>
      </c>
      <c r="T46" s="13">
        <f t="shared" si="52"/>
        <v>0.3501900805</v>
      </c>
      <c r="U46" s="13">
        <f t="shared" si="52"/>
        <v>0.2745006242</v>
      </c>
      <c r="V46" s="13">
        <f t="shared" si="52"/>
        <v>0.1826570769</v>
      </c>
      <c r="W46" s="13">
        <f t="shared" si="52"/>
        <v>-0.1</v>
      </c>
      <c r="X46" s="13">
        <f t="shared" si="52"/>
        <v>-0.1</v>
      </c>
      <c r="Y46" s="13">
        <f t="shared" si="52"/>
        <v>-0.1</v>
      </c>
      <c r="Z46" s="13">
        <f t="shared" si="52"/>
        <v>-0.1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ht="12.75" customHeight="1">
      <c r="A47" s="3"/>
      <c r="B47" s="3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ht="12.75" customHeight="1">
      <c r="A48" s="3"/>
      <c r="B48" s="3" t="s">
        <v>76</v>
      </c>
      <c r="C48" s="13">
        <f t="shared" ref="C48:Z48" si="53">+C28/C26</f>
        <v>0.8389603878</v>
      </c>
      <c r="D48" s="13">
        <f t="shared" si="53"/>
        <v>0.8326657093</v>
      </c>
      <c r="E48" s="13">
        <f t="shared" si="53"/>
        <v>0.823850805</v>
      </c>
      <c r="F48" s="13">
        <f t="shared" si="53"/>
        <v>0.8346931536</v>
      </c>
      <c r="G48" s="13">
        <f t="shared" si="53"/>
        <v>0.8132254427</v>
      </c>
      <c r="H48" s="13">
        <f t="shared" si="53"/>
        <v>0.8041572901</v>
      </c>
      <c r="I48" s="13">
        <f t="shared" si="53"/>
        <v>0.821266712</v>
      </c>
      <c r="J48" s="13">
        <f t="shared" si="53"/>
        <v>0.8343610663</v>
      </c>
      <c r="K48" s="13">
        <f t="shared" si="53"/>
        <v>0.8049839319</v>
      </c>
      <c r="L48" s="13">
        <f t="shared" si="53"/>
        <v>0.7950981966</v>
      </c>
      <c r="M48" s="13">
        <f t="shared" si="53"/>
        <v>0.8046576619</v>
      </c>
      <c r="N48" s="13">
        <f t="shared" si="53"/>
        <v>0.8144058136</v>
      </c>
      <c r="O48" s="13">
        <f t="shared" si="53"/>
        <v>0.803943296</v>
      </c>
      <c r="P48" s="13">
        <f t="shared" si="53"/>
        <v>0.814320597</v>
      </c>
      <c r="Q48" s="13">
        <f t="shared" si="53"/>
        <v>0.801068597</v>
      </c>
      <c r="R48" s="13">
        <f t="shared" si="53"/>
        <v>0.8114698108</v>
      </c>
      <c r="S48" s="13">
        <f t="shared" si="53"/>
        <v>0.7848287229</v>
      </c>
      <c r="T48" s="13">
        <f t="shared" si="53"/>
        <v>0.8198598293</v>
      </c>
      <c r="U48" s="13">
        <f t="shared" si="53"/>
        <v>0.793750451</v>
      </c>
      <c r="V48" s="13">
        <f t="shared" si="53"/>
        <v>0.7408363128</v>
      </c>
      <c r="W48" s="13">
        <f t="shared" si="53"/>
        <v>0.79</v>
      </c>
      <c r="X48" s="13">
        <f t="shared" si="53"/>
        <v>0.79</v>
      </c>
      <c r="Y48" s="13">
        <f t="shared" si="53"/>
        <v>0.79</v>
      </c>
      <c r="Z48" s="13">
        <f t="shared" si="53"/>
        <v>0.79</v>
      </c>
      <c r="AA48" s="3"/>
      <c r="AB48" s="3"/>
      <c r="AC48" s="3"/>
      <c r="AD48" s="3"/>
      <c r="AE48" s="3"/>
      <c r="AF48" s="3"/>
      <c r="AG48" s="27">
        <f t="shared" ref="AG48:AS48" si="54">+AG28/AG26</f>
        <v>0.8324617644</v>
      </c>
      <c r="AH48" s="27">
        <f t="shared" si="54"/>
        <v>0.8193699874</v>
      </c>
      <c r="AI48" s="27">
        <f t="shared" si="54"/>
        <v>0.8058279532</v>
      </c>
      <c r="AJ48" s="27">
        <f t="shared" si="54"/>
        <v>0.8079437628</v>
      </c>
      <c r="AK48" s="27">
        <f t="shared" si="54"/>
        <v>0.7834729738</v>
      </c>
      <c r="AL48" s="27">
        <f t="shared" si="54"/>
        <v>0.81</v>
      </c>
      <c r="AM48" s="27">
        <f t="shared" si="54"/>
        <v>0.81</v>
      </c>
      <c r="AN48" s="27">
        <f t="shared" si="54"/>
        <v>0.81</v>
      </c>
      <c r="AO48" s="27">
        <f t="shared" si="54"/>
        <v>0.81</v>
      </c>
      <c r="AP48" s="27">
        <f t="shared" si="54"/>
        <v>0.81</v>
      </c>
      <c r="AQ48" s="27">
        <f t="shared" si="54"/>
        <v>0.81</v>
      </c>
      <c r="AR48" s="27">
        <f t="shared" si="54"/>
        <v>0.81</v>
      </c>
      <c r="AS48" s="27">
        <f t="shared" si="54"/>
        <v>0.81</v>
      </c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ht="12.75" customHeight="1">
      <c r="A49" s="3"/>
      <c r="B49" s="3" t="s">
        <v>93</v>
      </c>
      <c r="C49" s="13">
        <f t="shared" ref="C49:Z49" si="55">+C33/C26</f>
        <v>0.4553735584</v>
      </c>
      <c r="D49" s="13">
        <f t="shared" si="55"/>
        <v>0.443125992</v>
      </c>
      <c r="E49" s="13">
        <f t="shared" si="55"/>
        <v>0.4211408174</v>
      </c>
      <c r="F49" s="13">
        <f t="shared" si="55"/>
        <v>0.4623388909</v>
      </c>
      <c r="G49" s="13">
        <f t="shared" si="55"/>
        <v>0.4189825562</v>
      </c>
      <c r="H49" s="13">
        <f t="shared" si="55"/>
        <v>0.3923960677</v>
      </c>
      <c r="I49" s="13">
        <f t="shared" si="55"/>
        <v>0.4070360299</v>
      </c>
      <c r="J49" s="13">
        <f t="shared" si="55"/>
        <v>0.4201688644</v>
      </c>
      <c r="K49" s="13">
        <f t="shared" si="55"/>
        <v>0.3322433331</v>
      </c>
      <c r="L49" s="13">
        <f t="shared" si="55"/>
        <v>0.3190988388</v>
      </c>
      <c r="M49" s="13">
        <f t="shared" si="55"/>
        <v>0.374476013</v>
      </c>
      <c r="N49" s="13">
        <f t="shared" si="55"/>
        <v>0.4550797948</v>
      </c>
      <c r="O49" s="13">
        <f t="shared" si="55"/>
        <v>0.4347560277</v>
      </c>
      <c r="P49" s="13">
        <f t="shared" si="55"/>
        <v>0.4253189806</v>
      </c>
      <c r="Q49" s="13">
        <f t="shared" si="55"/>
        <v>0.3592899</v>
      </c>
      <c r="R49" s="13">
        <f t="shared" si="55"/>
        <v>0.373763773</v>
      </c>
      <c r="S49" s="13">
        <f t="shared" si="55"/>
        <v>0.3054321342</v>
      </c>
      <c r="T49" s="13">
        <f t="shared" si="55"/>
        <v>0.2899868156</v>
      </c>
      <c r="U49" s="13">
        <f t="shared" si="55"/>
        <v>0.204373241</v>
      </c>
      <c r="V49" s="13">
        <f t="shared" si="55"/>
        <v>0.1989429504</v>
      </c>
      <c r="W49" s="13">
        <f t="shared" si="55"/>
        <v>0.3348982615</v>
      </c>
      <c r="X49" s="13">
        <f t="shared" si="55"/>
        <v>0.2918007203</v>
      </c>
      <c r="Y49" s="13">
        <f t="shared" si="55"/>
        <v>0.2392560765</v>
      </c>
      <c r="Z49" s="13">
        <f t="shared" si="55"/>
        <v>0.2778369854</v>
      </c>
      <c r="AA49" s="3"/>
      <c r="AB49" s="3"/>
      <c r="AC49" s="3"/>
      <c r="AD49" s="3"/>
      <c r="AE49" s="3"/>
      <c r="AF49" s="3"/>
      <c r="AG49" s="13">
        <f t="shared" ref="AG49:AS49" si="56">+AG33/AG26</f>
        <v>0.4461656936</v>
      </c>
      <c r="AH49" s="13">
        <f t="shared" si="56"/>
        <v>0.4100032533</v>
      </c>
      <c r="AI49" s="13">
        <f t="shared" si="56"/>
        <v>0.3800500204</v>
      </c>
      <c r="AJ49" s="13">
        <f t="shared" si="56"/>
        <v>0.3964504066</v>
      </c>
      <c r="AK49" s="13">
        <f t="shared" si="56"/>
        <v>0.2482141173</v>
      </c>
      <c r="AL49" s="13">
        <f t="shared" si="56"/>
        <v>0.278469302</v>
      </c>
      <c r="AM49" s="13">
        <f t="shared" si="56"/>
        <v>0.2807147491</v>
      </c>
      <c r="AN49" s="13">
        <f t="shared" si="56"/>
        <v>0.3535576558</v>
      </c>
      <c r="AO49" s="13">
        <f t="shared" si="56"/>
        <v>0.3964867761</v>
      </c>
      <c r="AP49" s="13">
        <f t="shared" si="56"/>
        <v>0.4270496792</v>
      </c>
      <c r="AQ49" s="13">
        <f t="shared" si="56"/>
        <v>0.4543850728</v>
      </c>
      <c r="AR49" s="13">
        <f t="shared" si="56"/>
        <v>0.4788819646</v>
      </c>
      <c r="AS49" s="13">
        <f t="shared" si="56"/>
        <v>0.5008807985</v>
      </c>
      <c r="AT49" s="3"/>
      <c r="AU49" s="3"/>
      <c r="AV49" s="3"/>
      <c r="AW49" s="1" t="s">
        <v>94</v>
      </c>
      <c r="AX49" s="3">
        <f t="array" ref="AX49">NPV(AX50,AL37:CW37)</f>
        <v>538570.452</v>
      </c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ht="12.75" customHeight="1">
      <c r="A50" s="3"/>
      <c r="B50" s="3" t="s">
        <v>95</v>
      </c>
      <c r="C50" s="13">
        <f t="shared" ref="C50:Z50" si="57">+C36/C35</f>
        <v>0.1110516934</v>
      </c>
      <c r="D50" s="13">
        <f t="shared" si="57"/>
        <v>0.1298568507</v>
      </c>
      <c r="E50" s="13">
        <f t="shared" si="57"/>
        <v>0.1310893099</v>
      </c>
      <c r="F50" s="13">
        <f t="shared" si="57"/>
        <v>0.1366202484</v>
      </c>
      <c r="G50" s="13">
        <f t="shared" si="57"/>
        <v>0.3397209873</v>
      </c>
      <c r="H50" s="13">
        <f t="shared" si="57"/>
        <v>0.3243559719</v>
      </c>
      <c r="I50" s="13">
        <f t="shared" si="57"/>
        <v>0.168917997</v>
      </c>
      <c r="J50" s="13">
        <f t="shared" si="57"/>
        <v>0.1984949286</v>
      </c>
      <c r="K50" s="13">
        <f t="shared" si="57"/>
        <v>0.163623955</v>
      </c>
      <c r="L50" s="13">
        <f t="shared" si="57"/>
        <v>0.1554395694</v>
      </c>
      <c r="M50" s="13">
        <f t="shared" si="57"/>
        <v>0.03528833149</v>
      </c>
      <c r="N50" s="13">
        <f t="shared" si="57"/>
        <v>0.1406357717</v>
      </c>
      <c r="O50" s="13">
        <f t="shared" si="57"/>
        <v>0.1743892898</v>
      </c>
      <c r="P50" s="13">
        <f t="shared" si="57"/>
        <v>0.1693438824</v>
      </c>
      <c r="Q50" s="13">
        <f t="shared" si="57"/>
        <v>0.1297681022</v>
      </c>
      <c r="R50" s="13">
        <f t="shared" si="57"/>
        <v>0.1902849945</v>
      </c>
      <c r="S50" s="13">
        <f t="shared" si="57"/>
        <v>0.1619892232</v>
      </c>
      <c r="T50" s="13">
        <f t="shared" si="57"/>
        <v>0.1831175177</v>
      </c>
      <c r="U50" s="13">
        <f t="shared" si="57"/>
        <v>0.2118005739</v>
      </c>
      <c r="V50" s="13">
        <f t="shared" si="57"/>
        <v>0.2434542202</v>
      </c>
      <c r="W50" s="13">
        <f t="shared" si="57"/>
        <v>0.19</v>
      </c>
      <c r="X50" s="13">
        <f t="shared" si="57"/>
        <v>0.19</v>
      </c>
      <c r="Y50" s="13">
        <f t="shared" si="57"/>
        <v>0.19</v>
      </c>
      <c r="Z50" s="13">
        <f t="shared" si="57"/>
        <v>0.19</v>
      </c>
      <c r="AA50" s="3"/>
      <c r="AB50" s="3"/>
      <c r="AC50" s="3"/>
      <c r="AD50" s="3"/>
      <c r="AE50" s="3"/>
      <c r="AF50" s="3"/>
      <c r="AG50" s="27">
        <f t="shared" ref="AG50:AS50" si="58">+AG36/AG35</f>
        <v>0.1281495209</v>
      </c>
      <c r="AH50" s="27">
        <f t="shared" si="58"/>
        <v>0.2122299745</v>
      </c>
      <c r="AI50" s="27">
        <f t="shared" si="58"/>
        <v>0.1215792646</v>
      </c>
      <c r="AJ50" s="27">
        <f t="shared" si="58"/>
        <v>0.1673716268</v>
      </c>
      <c r="AK50" s="27">
        <f t="shared" si="58"/>
        <v>0.194975537</v>
      </c>
      <c r="AL50" s="27">
        <f t="shared" si="58"/>
        <v>0.18</v>
      </c>
      <c r="AM50" s="27">
        <f t="shared" si="58"/>
        <v>0.18</v>
      </c>
      <c r="AN50" s="27">
        <f t="shared" si="58"/>
        <v>0.18</v>
      </c>
      <c r="AO50" s="27">
        <f t="shared" si="58"/>
        <v>0.18</v>
      </c>
      <c r="AP50" s="27">
        <f t="shared" si="58"/>
        <v>0.18</v>
      </c>
      <c r="AQ50" s="27">
        <f t="shared" si="58"/>
        <v>0.18</v>
      </c>
      <c r="AR50" s="27">
        <f t="shared" si="58"/>
        <v>0.18</v>
      </c>
      <c r="AS50" s="27">
        <f t="shared" si="58"/>
        <v>0.18</v>
      </c>
      <c r="AT50" s="3"/>
      <c r="AU50" s="3"/>
      <c r="AV50" s="3"/>
      <c r="AW50" s="3" t="s">
        <v>96</v>
      </c>
      <c r="AX50" s="27">
        <v>0.08</v>
      </c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ht="12.75" customHeight="1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9"/>
      <c r="T51" s="4"/>
      <c r="U51" s="4"/>
      <c r="V51" s="4"/>
      <c r="W51" s="4"/>
      <c r="X51" s="4"/>
      <c r="Y51" s="4"/>
      <c r="AW51" s="1" t="s">
        <v>97</v>
      </c>
      <c r="AX51" s="28">
        <v>-0.02</v>
      </c>
    </row>
    <row r="52" ht="12.75" customHeight="1">
      <c r="B52" s="1" t="s">
        <v>98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9">
        <f t="shared" ref="Q52:Z52" si="59">+Q53-Q67</f>
        <v>64833</v>
      </c>
      <c r="R52" s="9">
        <f t="shared" si="59"/>
        <v>54773</v>
      </c>
      <c r="S52" s="9">
        <f t="shared" si="59"/>
        <v>50665</v>
      </c>
      <c r="T52" s="9">
        <f t="shared" si="59"/>
        <v>47025</v>
      </c>
      <c r="U52" s="9">
        <f t="shared" si="59"/>
        <v>38382</v>
      </c>
      <c r="V52" s="9">
        <f t="shared" si="59"/>
        <v>43034</v>
      </c>
      <c r="W52" s="9">
        <f t="shared" si="59"/>
        <v>50008.7088</v>
      </c>
      <c r="X52" s="9">
        <f t="shared" si="59"/>
        <v>56327.0963</v>
      </c>
      <c r="Y52" s="9">
        <f t="shared" si="59"/>
        <v>61297.48747</v>
      </c>
      <c r="Z52" s="9">
        <f t="shared" si="59"/>
        <v>67987.96338</v>
      </c>
      <c r="AW52" s="3" t="s">
        <v>99</v>
      </c>
      <c r="AX52" s="28">
        <v>0.01</v>
      </c>
    </row>
    <row r="53" ht="12.75" customHeight="1">
      <c r="A53" s="3"/>
      <c r="B53" s="3" t="s">
        <v>10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>
        <f>17576+44378+6234</f>
        <v>68188</v>
      </c>
      <c r="O53" s="9">
        <f>19513+44706+6342</f>
        <v>70561</v>
      </c>
      <c r="P53" s="9">
        <f>16186+47894+6393</f>
        <v>70473</v>
      </c>
      <c r="Q53" s="9">
        <f>14496+43579+6758</f>
        <v>64833</v>
      </c>
      <c r="R53" s="9">
        <f>16601+31397+6775</f>
        <v>54773</v>
      </c>
      <c r="S53" s="9">
        <f>14886+29004+6775</f>
        <v>50665</v>
      </c>
      <c r="T53" s="9">
        <f>12681+27808+6536</f>
        <v>47025</v>
      </c>
      <c r="U53" s="9">
        <f>14308+27468+6528</f>
        <v>48304</v>
      </c>
      <c r="V53" s="9">
        <f t="shared" ref="V53:Z53" si="60">+U53+V37</f>
        <v>52956</v>
      </c>
      <c r="W53" s="9">
        <f t="shared" si="60"/>
        <v>59930.7088</v>
      </c>
      <c r="X53" s="9">
        <f t="shared" si="60"/>
        <v>66249.0963</v>
      </c>
      <c r="Y53" s="9">
        <f t="shared" si="60"/>
        <v>71219.48747</v>
      </c>
      <c r="Z53" s="9">
        <f t="shared" si="60"/>
        <v>77909.96338</v>
      </c>
      <c r="AA53" s="3"/>
      <c r="AB53" s="3"/>
      <c r="AC53" s="3"/>
      <c r="AD53" s="3"/>
      <c r="AE53" s="3"/>
      <c r="AF53" s="3"/>
      <c r="AG53" s="3"/>
      <c r="AH53" s="3"/>
      <c r="AI53" s="3"/>
      <c r="AJ53" s="3">
        <f>+R53</f>
        <v>54773</v>
      </c>
      <c r="AK53" s="3">
        <f>+V53</f>
        <v>52956</v>
      </c>
      <c r="AL53" s="3">
        <f t="shared" ref="AL53:AS53" si="61">+AK53+AL37</f>
        <v>78685.94811</v>
      </c>
      <c r="AM53" s="3">
        <f t="shared" si="61"/>
        <v>103555.8705</v>
      </c>
      <c r="AN53" s="3">
        <f t="shared" si="61"/>
        <v>137966.892</v>
      </c>
      <c r="AO53" s="3">
        <f t="shared" si="61"/>
        <v>178617.0275</v>
      </c>
      <c r="AP53" s="3">
        <f t="shared" si="61"/>
        <v>223923.726</v>
      </c>
      <c r="AQ53" s="3">
        <f t="shared" si="61"/>
        <v>273807.7134</v>
      </c>
      <c r="AR53" s="3">
        <f t="shared" si="61"/>
        <v>328210.2574</v>
      </c>
      <c r="AS53" s="3">
        <f t="shared" si="61"/>
        <v>387091.4997</v>
      </c>
      <c r="AT53" s="3"/>
      <c r="AU53" s="3"/>
      <c r="AV53" s="3"/>
      <c r="AW53" s="3" t="s">
        <v>100</v>
      </c>
      <c r="AX53" s="22">
        <f>AX49/Main!M3</f>
        <v>203.1154311</v>
      </c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ht="12.75" customHeight="1">
      <c r="A54" s="3"/>
      <c r="B54" s="3" t="s">
        <v>101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>
        <v>11335.0</v>
      </c>
      <c r="O54" s="9">
        <v>10276.0</v>
      </c>
      <c r="P54" s="9">
        <v>11698.0</v>
      </c>
      <c r="Q54" s="9">
        <v>12088.0</v>
      </c>
      <c r="R54" s="9">
        <v>14039.0</v>
      </c>
      <c r="S54" s="9">
        <v>11390.0</v>
      </c>
      <c r="T54" s="9">
        <v>11525.0</v>
      </c>
      <c r="U54" s="9">
        <v>11227.0</v>
      </c>
      <c r="V54" s="9"/>
      <c r="W54" s="9"/>
      <c r="X54" s="9"/>
      <c r="Y54" s="9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 t="s">
        <v>102</v>
      </c>
      <c r="AX54" s="27">
        <f>AX53/Main!M2-1</f>
        <v>-0.04036931359</v>
      </c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ht="12.75" customHeight="1">
      <c r="A55" s="3"/>
      <c r="B55" s="3" t="s">
        <v>103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>
        <v>2381.0</v>
      </c>
      <c r="O55" s="9">
        <v>2827.0</v>
      </c>
      <c r="P55" s="9">
        <v>4919.0</v>
      </c>
      <c r="Q55" s="9">
        <v>5258.0</v>
      </c>
      <c r="R55" s="9">
        <v>4629.0</v>
      </c>
      <c r="S55" s="9">
        <v>3985.0</v>
      </c>
      <c r="T55" s="9">
        <v>3973.0</v>
      </c>
      <c r="U55" s="9">
        <v>5312.0</v>
      </c>
      <c r="V55" s="9"/>
      <c r="W55" s="9"/>
      <c r="X55" s="9"/>
      <c r="Y55" s="9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ht="12.75" customHeight="1">
      <c r="A56" s="3"/>
      <c r="B56" s="3" t="s">
        <v>104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>
        <v>45633.0</v>
      </c>
      <c r="O56" s="9">
        <v>47720.0</v>
      </c>
      <c r="P56" s="9">
        <v>50909.0</v>
      </c>
      <c r="Q56" s="9">
        <v>53726.0</v>
      </c>
      <c r="R56" s="9">
        <v>57809.0</v>
      </c>
      <c r="S56" s="9">
        <v>61582.0</v>
      </c>
      <c r="T56" s="9">
        <v>67588.0</v>
      </c>
      <c r="U56" s="9">
        <v>73738.0</v>
      </c>
      <c r="V56" s="9"/>
      <c r="W56" s="9"/>
      <c r="X56" s="9"/>
      <c r="Y56" s="9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ht="12.75" customHeight="1">
      <c r="A57" s="3"/>
      <c r="B57" s="3" t="s">
        <v>105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>
        <v>9348.0</v>
      </c>
      <c r="O57" s="9">
        <v>10202.0</v>
      </c>
      <c r="P57" s="9">
        <v>10525.0</v>
      </c>
      <c r="Q57" s="9">
        <v>11063.0</v>
      </c>
      <c r="R57" s="9">
        <v>12155.0</v>
      </c>
      <c r="S57" s="9">
        <v>12241.0</v>
      </c>
      <c r="T57" s="9">
        <v>14130.0</v>
      </c>
      <c r="U57" s="9">
        <v>13641.0</v>
      </c>
      <c r="V57" s="9"/>
      <c r="W57" s="9"/>
      <c r="X57" s="9"/>
      <c r="Y57" s="9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ht="12.75" customHeight="1">
      <c r="A58" s="3"/>
      <c r="B58" s="3" t="s">
        <v>106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>
        <f>623+19050</f>
        <v>19673</v>
      </c>
      <c r="O58" s="9">
        <f>505+19056</f>
        <v>19561</v>
      </c>
      <c r="P58" s="9">
        <f>19219+514</f>
        <v>19733</v>
      </c>
      <c r="Q58" s="9">
        <f>365+19065</f>
        <v>19430</v>
      </c>
      <c r="R58" s="9">
        <f>19197+634</f>
        <v>19831</v>
      </c>
      <c r="S58" s="9">
        <f>910+19923</f>
        <v>20833</v>
      </c>
      <c r="T58" s="9">
        <f>965+20229</f>
        <v>21194</v>
      </c>
      <c r="U58" s="9">
        <f>875+20268</f>
        <v>21143</v>
      </c>
      <c r="V58" s="9"/>
      <c r="W58" s="9"/>
      <c r="X58" s="9"/>
      <c r="Y58" s="9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ht="12.75" customHeight="1">
      <c r="A59" s="3"/>
      <c r="B59" s="3" t="s">
        <v>71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>
        <v>2758.0</v>
      </c>
      <c r="O59" s="9">
        <v>2376.0</v>
      </c>
      <c r="P59" s="9">
        <v>2352.0</v>
      </c>
      <c r="Q59" s="9">
        <v>3187.0</v>
      </c>
      <c r="R59" s="9">
        <v>2751.0</v>
      </c>
      <c r="S59" s="9">
        <v>3522.0</v>
      </c>
      <c r="T59" s="9">
        <v>4344.0</v>
      </c>
      <c r="U59" s="9">
        <v>5529.0</v>
      </c>
      <c r="V59" s="9"/>
      <c r="W59" s="9"/>
      <c r="X59" s="9"/>
      <c r="Y59" s="9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 ht="12.75" customHeight="1">
      <c r="A60" s="3"/>
      <c r="B60" s="3" t="s">
        <v>107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>
        <f t="shared" ref="N60:U60" si="62">SUM(N53:N59)</f>
        <v>159316</v>
      </c>
      <c r="O60" s="9">
        <f t="shared" si="62"/>
        <v>163523</v>
      </c>
      <c r="P60" s="9">
        <f t="shared" si="62"/>
        <v>170609</v>
      </c>
      <c r="Q60" s="9">
        <f t="shared" si="62"/>
        <v>169585</v>
      </c>
      <c r="R60" s="9">
        <f t="shared" si="62"/>
        <v>165987</v>
      </c>
      <c r="S60" s="9">
        <f t="shared" si="62"/>
        <v>164218</v>
      </c>
      <c r="T60" s="9">
        <f t="shared" si="62"/>
        <v>169779</v>
      </c>
      <c r="U60" s="9">
        <f t="shared" si="62"/>
        <v>178894</v>
      </c>
      <c r="V60" s="9"/>
      <c r="W60" s="9"/>
      <c r="X60" s="9"/>
      <c r="Y60" s="9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ht="12.75" customHeight="1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9"/>
      <c r="T61" s="4"/>
      <c r="U61" s="4"/>
      <c r="V61" s="4"/>
      <c r="W61" s="4"/>
      <c r="X61" s="4"/>
      <c r="Y61" s="4"/>
    </row>
    <row r="62" ht="12.75" customHeight="1">
      <c r="B62" s="1" t="s">
        <v>108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9">
        <v>1331.0</v>
      </c>
      <c r="O62" s="9">
        <v>878.0</v>
      </c>
      <c r="P62" s="9">
        <v>973.0</v>
      </c>
      <c r="Q62" s="9">
        <v>2195.0</v>
      </c>
      <c r="R62" s="9">
        <v>4083.0</v>
      </c>
      <c r="S62" s="9">
        <v>3246.0</v>
      </c>
      <c r="T62" s="9">
        <v>4008.0</v>
      </c>
      <c r="U62" s="9">
        <v>3871.0</v>
      </c>
      <c r="V62" s="4"/>
      <c r="W62" s="4"/>
      <c r="X62" s="4"/>
      <c r="Y62" s="4"/>
    </row>
    <row r="63" ht="12.75" customHeight="1">
      <c r="B63" s="1" t="s">
        <v>109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9">
        <v>1093.0</v>
      </c>
      <c r="O63" s="9">
        <v>1006.0</v>
      </c>
      <c r="P63" s="9">
        <v>949.0</v>
      </c>
      <c r="Q63" s="9">
        <v>909.0</v>
      </c>
      <c r="R63" s="9">
        <v>1052.0</v>
      </c>
      <c r="S63" s="9">
        <v>935.0</v>
      </c>
      <c r="T63" s="9">
        <v>982.0</v>
      </c>
      <c r="U63" s="9">
        <v>975.0</v>
      </c>
      <c r="V63" s="4"/>
      <c r="W63" s="4"/>
      <c r="X63" s="4"/>
      <c r="Y63" s="4"/>
    </row>
    <row r="64" ht="12.75" customHeight="1">
      <c r="B64" s="1" t="s">
        <v>110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9">
        <f>1023+9631</f>
        <v>10654</v>
      </c>
      <c r="O64" s="9">
        <f>1040+10574</f>
        <v>11614</v>
      </c>
      <c r="P64" s="9">
        <f>1051+10956</f>
        <v>12007</v>
      </c>
      <c r="Q64" s="9">
        <f>1086+11554</f>
        <v>12640</v>
      </c>
      <c r="R64" s="9">
        <f>1127+12746</f>
        <v>13873</v>
      </c>
      <c r="S64" s="9">
        <f>1159+12894</f>
        <v>14053</v>
      </c>
      <c r="T64" s="9">
        <f>1275+14792</f>
        <v>16067</v>
      </c>
      <c r="U64" s="9">
        <f>1291+14687</f>
        <v>15978</v>
      </c>
      <c r="V64" s="4"/>
      <c r="W64" s="4"/>
      <c r="X64" s="4"/>
      <c r="Y64" s="4"/>
    </row>
    <row r="65" ht="12.75" customHeight="1">
      <c r="B65" s="1" t="s">
        <v>111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9">
        <v>11152.0</v>
      </c>
      <c r="O65" s="9">
        <v>9411.0</v>
      </c>
      <c r="P65" s="9">
        <v>11510.0</v>
      </c>
      <c r="Q65" s="9">
        <v>13158.0</v>
      </c>
      <c r="R65" s="9">
        <v>14312.0</v>
      </c>
      <c r="S65" s="9">
        <v>15226.0</v>
      </c>
      <c r="T65" s="9">
        <v>15420.0</v>
      </c>
      <c r="U65" s="9">
        <v>16036.0</v>
      </c>
      <c r="V65" s="4"/>
      <c r="W65" s="4"/>
      <c r="X65" s="4"/>
      <c r="Y65" s="4"/>
    </row>
    <row r="66" ht="12.75" customHeight="1">
      <c r="B66" s="1" t="s">
        <v>112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9">
        <v>382.0</v>
      </c>
      <c r="O66" s="9">
        <v>382.0</v>
      </c>
      <c r="P66" s="9">
        <v>391.0</v>
      </c>
      <c r="Q66" s="9">
        <v>464.0</v>
      </c>
      <c r="R66" s="9">
        <v>561.0</v>
      </c>
      <c r="S66" s="9">
        <v>520.0</v>
      </c>
      <c r="T66" s="9">
        <v>532.0</v>
      </c>
      <c r="U66" s="9">
        <v>514.0</v>
      </c>
      <c r="V66" s="4"/>
      <c r="W66" s="4"/>
      <c r="X66" s="4"/>
      <c r="Y66" s="4"/>
    </row>
    <row r="67" ht="12.75" customHeight="1">
      <c r="B67" s="1" t="s">
        <v>12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9"/>
      <c r="O67" s="9"/>
      <c r="P67" s="9"/>
      <c r="Q67" s="9"/>
      <c r="R67" s="9"/>
      <c r="S67" s="9"/>
      <c r="T67" s="9"/>
      <c r="U67" s="9">
        <v>9922.0</v>
      </c>
      <c r="V67" s="9">
        <f t="shared" ref="V67:Z67" si="63">+U67</f>
        <v>9922</v>
      </c>
      <c r="W67" s="9">
        <f t="shared" si="63"/>
        <v>9922</v>
      </c>
      <c r="X67" s="9">
        <f t="shared" si="63"/>
        <v>9922</v>
      </c>
      <c r="Y67" s="9">
        <f t="shared" si="63"/>
        <v>9922</v>
      </c>
      <c r="Z67" s="9">
        <f t="shared" si="63"/>
        <v>9922</v>
      </c>
    </row>
    <row r="68" ht="12.75" customHeight="1">
      <c r="B68" s="1" t="s">
        <v>113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9">
        <v>6414.0</v>
      </c>
      <c r="O68" s="9">
        <v>6575.0</v>
      </c>
      <c r="P68" s="9">
        <v>6552.0</v>
      </c>
      <c r="Q68" s="9">
        <v>6859.0</v>
      </c>
      <c r="R68" s="9">
        <v>7227.0</v>
      </c>
      <c r="S68" s="9">
        <v>7010.0</v>
      </c>
      <c r="T68" s="9">
        <v>7003.0</v>
      </c>
      <c r="U68" s="9">
        <v>7504.0</v>
      </c>
      <c r="V68" s="4"/>
      <c r="W68" s="4"/>
      <c r="X68" s="4"/>
      <c r="Y68" s="4"/>
    </row>
    <row r="69" ht="12.75" customHeight="1">
      <c r="B69" s="1" t="s">
        <v>114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9">
        <v>50018.0</v>
      </c>
      <c r="O69" s="9">
        <v>51160.0</v>
      </c>
      <c r="P69" s="9">
        <v>52845.0</v>
      </c>
      <c r="Q69" s="9">
        <v>54334.0</v>
      </c>
      <c r="R69" s="9">
        <v>55811.0</v>
      </c>
      <c r="S69" s="9">
        <v>57512.0</v>
      </c>
      <c r="T69" s="9">
        <v>59929.0</v>
      </c>
      <c r="U69" s="9">
        <v>62092.0</v>
      </c>
      <c r="V69" s="4"/>
      <c r="W69" s="4"/>
      <c r="X69" s="4"/>
      <c r="Y69" s="4"/>
    </row>
    <row r="70" ht="12.75" customHeight="1">
      <c r="B70" s="1" t="s">
        <v>115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9">
        <v>927.0</v>
      </c>
      <c r="O70" s="9">
        <v>154.0</v>
      </c>
      <c r="P70" s="9">
        <v>285.0</v>
      </c>
      <c r="Q70" s="9">
        <v>-207.0</v>
      </c>
      <c r="R70" s="9">
        <v>-693.0</v>
      </c>
      <c r="S70" s="9">
        <v>-1996.0</v>
      </c>
      <c r="T70" s="9">
        <v>-3411.0</v>
      </c>
      <c r="U70" s="9">
        <v>-5054.0</v>
      </c>
      <c r="V70" s="4"/>
      <c r="W70" s="4"/>
      <c r="X70" s="4"/>
      <c r="Y70" s="4"/>
    </row>
    <row r="71" ht="12.75" customHeight="1">
      <c r="B71" s="1" t="s">
        <v>116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9">
        <v>77345.0</v>
      </c>
      <c r="O71" s="9">
        <v>82343.0</v>
      </c>
      <c r="P71" s="9">
        <v>85097.0</v>
      </c>
      <c r="Q71" s="9">
        <v>79233.0</v>
      </c>
      <c r="R71" s="9">
        <v>69761.0</v>
      </c>
      <c r="S71" s="9">
        <v>67712.0</v>
      </c>
      <c r="T71" s="9">
        <v>69249.0</v>
      </c>
      <c r="U71" s="9">
        <v>67056.0</v>
      </c>
      <c r="V71" s="4"/>
      <c r="W71" s="4"/>
      <c r="X71" s="4"/>
      <c r="Y71" s="4"/>
    </row>
    <row r="72" ht="12.75" customHeight="1">
      <c r="B72" s="1" t="s">
        <v>117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9">
        <f t="shared" ref="N72:U72" si="64">SUM(N62:N71)</f>
        <v>159316</v>
      </c>
      <c r="O72" s="9">
        <f t="shared" si="64"/>
        <v>163523</v>
      </c>
      <c r="P72" s="9">
        <f t="shared" si="64"/>
        <v>170609</v>
      </c>
      <c r="Q72" s="9">
        <f t="shared" si="64"/>
        <v>169585</v>
      </c>
      <c r="R72" s="9">
        <f t="shared" si="64"/>
        <v>165987</v>
      </c>
      <c r="S72" s="9">
        <f t="shared" si="64"/>
        <v>164218</v>
      </c>
      <c r="T72" s="9">
        <f t="shared" si="64"/>
        <v>169779</v>
      </c>
      <c r="U72" s="9">
        <f t="shared" si="64"/>
        <v>178894</v>
      </c>
      <c r="V72" s="4"/>
      <c r="W72" s="4"/>
      <c r="X72" s="4"/>
      <c r="Y72" s="4"/>
    </row>
    <row r="73" ht="12.75" customHeight="1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9"/>
      <c r="T73" s="4"/>
      <c r="U73" s="4"/>
      <c r="V73" s="4"/>
      <c r="W73" s="4"/>
      <c r="X73" s="4"/>
      <c r="Y73" s="4"/>
    </row>
    <row r="74" ht="12.75" customHeight="1">
      <c r="B74" s="1" t="s">
        <v>118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9">
        <f t="shared" ref="O74:U74" si="65">O37</f>
        <v>9497</v>
      </c>
      <c r="P74" s="9">
        <f t="shared" si="65"/>
        <v>10394</v>
      </c>
      <c r="Q74" s="9">
        <f t="shared" si="65"/>
        <v>9194</v>
      </c>
      <c r="R74" s="9">
        <f t="shared" si="65"/>
        <v>10285</v>
      </c>
      <c r="S74" s="9">
        <f t="shared" si="65"/>
        <v>7465</v>
      </c>
      <c r="T74" s="9">
        <f t="shared" si="65"/>
        <v>6687</v>
      </c>
      <c r="U74" s="9">
        <f t="shared" si="65"/>
        <v>4395</v>
      </c>
      <c r="V74" s="4"/>
      <c r="W74" s="4"/>
      <c r="X74" s="4"/>
      <c r="Y74" s="4"/>
    </row>
    <row r="75" ht="12.75" customHeight="1">
      <c r="B75" s="1" t="s">
        <v>119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9">
        <v>9497.0</v>
      </c>
      <c r="P75" s="9">
        <f>19892-O75</f>
        <v>10395</v>
      </c>
      <c r="Q75" s="9">
        <f>29085-P75-O75</f>
        <v>9193</v>
      </c>
      <c r="R75" s="9">
        <v>10285.0</v>
      </c>
      <c r="S75" s="9">
        <v>7465.0</v>
      </c>
      <c r="T75" s="9">
        <v>6687.0</v>
      </c>
      <c r="U75" s="9">
        <f>18547-T75-S75</f>
        <v>4395</v>
      </c>
      <c r="V75" s="4"/>
      <c r="W75" s="4"/>
      <c r="X75" s="4"/>
      <c r="Y75" s="4"/>
    </row>
    <row r="76" ht="12.75" customHeight="1">
      <c r="B76" s="1" t="s">
        <v>120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9">
        <v>1972.0</v>
      </c>
      <c r="P76" s="9">
        <f>3958-O76</f>
        <v>1986</v>
      </c>
      <c r="Q76" s="9">
        <f>5953-P76-O76</f>
        <v>1995</v>
      </c>
      <c r="R76" s="9">
        <v>2014.0</v>
      </c>
      <c r="S76" s="9">
        <v>2156.0</v>
      </c>
      <c r="T76" s="9">
        <v>1979.0</v>
      </c>
      <c r="U76" s="9">
        <f>6310-T76-S76</f>
        <v>2175</v>
      </c>
      <c r="V76" s="4"/>
      <c r="W76" s="4"/>
      <c r="X76" s="4"/>
      <c r="Y76" s="4"/>
    </row>
    <row r="77" ht="12.75" customHeight="1">
      <c r="B77" s="1" t="s">
        <v>121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9">
        <v>1830.0</v>
      </c>
      <c r="P77" s="9">
        <f>4379-O77</f>
        <v>2549</v>
      </c>
      <c r="Q77" s="9">
        <f>6757-P77-O77</f>
        <v>2378</v>
      </c>
      <c r="R77" s="9">
        <v>2406.0</v>
      </c>
      <c r="S77" s="9">
        <v>2498.0</v>
      </c>
      <c r="T77" s="9">
        <v>3351.0</v>
      </c>
      <c r="U77" s="9">
        <f>8984-T77-S77</f>
        <v>3135</v>
      </c>
      <c r="V77" s="4"/>
      <c r="W77" s="4"/>
      <c r="X77" s="4"/>
      <c r="Y77" s="4"/>
    </row>
    <row r="78" ht="12.75" customHeight="1">
      <c r="B78" s="1" t="s">
        <v>122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9">
        <v>418.0</v>
      </c>
      <c r="P78" s="9">
        <f>647-O78</f>
        <v>229</v>
      </c>
      <c r="Q78" s="9">
        <f>-139-P78-O78</f>
        <v>-786</v>
      </c>
      <c r="R78" s="9">
        <v>748.0</v>
      </c>
      <c r="S78" s="9">
        <v>-563.0</v>
      </c>
      <c r="T78" s="9">
        <v>-453.0</v>
      </c>
      <c r="U78" s="9">
        <f>-2113-T78-S78</f>
        <v>-1097</v>
      </c>
      <c r="V78" s="4"/>
      <c r="W78" s="4"/>
      <c r="X78" s="4"/>
      <c r="Y78" s="4"/>
    </row>
    <row r="79" ht="12.75" customHeight="1">
      <c r="B79" s="1" t="s">
        <v>71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9">
        <v>-66.0</v>
      </c>
      <c r="P79" s="9">
        <f>-88-O79</f>
        <v>-22</v>
      </c>
      <c r="Q79" s="9">
        <f>-161-P79-O79</f>
        <v>-73</v>
      </c>
      <c r="R79" s="9">
        <v>34.0</v>
      </c>
      <c r="S79" s="9">
        <v>-221.0</v>
      </c>
      <c r="T79" s="9">
        <v>189.0</v>
      </c>
      <c r="U79" s="9">
        <f>413-T79-S79+71</f>
        <v>516</v>
      </c>
      <c r="V79" s="4"/>
      <c r="W79" s="4"/>
      <c r="X79" s="4"/>
      <c r="Y79" s="4"/>
    </row>
    <row r="80" ht="12.75" customHeight="1">
      <c r="B80" s="1" t="s">
        <v>123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9">
        <f>849-461-10-250-72-1681+6+210</f>
        <v>-1409</v>
      </c>
      <c r="P80" s="9">
        <f>-517-2313-195-134-133-200+9+184-O80</f>
        <v>-1890</v>
      </c>
      <c r="Q80" s="9">
        <f>-1072-2566-184+560-163+895+87+527-P80-O80</f>
        <v>1383</v>
      </c>
      <c r="R80" s="9">
        <f>-2038+817-165+876+151+2462+100+414</f>
        <v>2617</v>
      </c>
      <c r="S80" s="9">
        <f>2557+573-108-882-105+763-52-5</f>
        <v>2741</v>
      </c>
      <c r="T80" s="9">
        <f>-522-435-25+237+73+1180+24-88</f>
        <v>444</v>
      </c>
      <c r="U80" s="9">
        <f>1930-693-160-666-12+2942-35+446-T80-S80</f>
        <v>567</v>
      </c>
      <c r="V80" s="4"/>
      <c r="W80" s="4"/>
      <c r="X80" s="4"/>
      <c r="Y80" s="4"/>
    </row>
    <row r="81" ht="12.75" customHeight="1">
      <c r="B81" s="1" t="s">
        <v>124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9">
        <f t="shared" ref="O81:U81" si="66">SUM(O75:O80)</f>
        <v>12242</v>
      </c>
      <c r="P81" s="9">
        <f t="shared" si="66"/>
        <v>13247</v>
      </c>
      <c r="Q81" s="9">
        <f t="shared" si="66"/>
        <v>14090</v>
      </c>
      <c r="R81" s="9">
        <f t="shared" si="66"/>
        <v>18104</v>
      </c>
      <c r="S81" s="9">
        <f t="shared" si="66"/>
        <v>14076</v>
      </c>
      <c r="T81" s="9">
        <f t="shared" si="66"/>
        <v>12197</v>
      </c>
      <c r="U81" s="9">
        <f t="shared" si="66"/>
        <v>9691</v>
      </c>
      <c r="V81" s="4"/>
      <c r="W81" s="4"/>
      <c r="X81" s="4"/>
      <c r="Y81" s="4"/>
    </row>
    <row r="82" ht="12.75" customHeight="1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9"/>
      <c r="T82" s="9"/>
      <c r="U82" s="4"/>
      <c r="V82" s="4"/>
      <c r="W82" s="4"/>
      <c r="X82" s="4"/>
      <c r="Y82" s="4"/>
    </row>
    <row r="83" ht="12.75" customHeight="1">
      <c r="A83" s="3"/>
      <c r="B83" s="3" t="s">
        <v>125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>
        <v>-4272.0</v>
      </c>
      <c r="P83" s="9">
        <f>-8884-O83</f>
        <v>-4612</v>
      </c>
      <c r="Q83" s="9">
        <f>-13198-P83-O83</f>
        <v>-4314</v>
      </c>
      <c r="R83" s="9">
        <v>-5370.0</v>
      </c>
      <c r="S83" s="9">
        <f>-5441+126</f>
        <v>-5315</v>
      </c>
      <c r="T83" s="9">
        <f>-7572+44</f>
        <v>-7528</v>
      </c>
      <c r="U83" s="9">
        <f>-22388-T83-S83+190</f>
        <v>-9355</v>
      </c>
      <c r="V83" s="9"/>
      <c r="W83" s="9"/>
      <c r="X83" s="9"/>
      <c r="Y83" s="9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</row>
    <row r="84" ht="12.75" customHeight="1">
      <c r="A84" s="3"/>
      <c r="B84" s="3" t="s">
        <v>126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>
        <f>-6231+1650+3981-2</f>
        <v>-602</v>
      </c>
      <c r="P84" s="9">
        <f>-16528+6337+6327-O84-62</f>
        <v>-3324</v>
      </c>
      <c r="Q84" s="9">
        <f>-24314+15331+9318-46-160-P84-O84</f>
        <v>4055</v>
      </c>
      <c r="R84" s="9">
        <f>-6093+16340+1598-2-123</f>
        <v>11720</v>
      </c>
      <c r="S84" s="9">
        <f>-4068+5065+402-10</f>
        <v>1389</v>
      </c>
      <c r="T84" s="9">
        <f>-2220+2648+511-7</f>
        <v>932</v>
      </c>
      <c r="U84" s="9">
        <f>-8885+9333+1562-T84-S84</f>
        <v>-311</v>
      </c>
      <c r="V84" s="9"/>
      <c r="W84" s="9"/>
      <c r="X84" s="9"/>
      <c r="Y84" s="9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ht="12.75" customHeight="1">
      <c r="A85" s="3"/>
      <c r="B85" s="3" t="s">
        <v>23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>
        <v>0.0</v>
      </c>
      <c r="P85" s="9">
        <f>-259-O85</f>
        <v>-259</v>
      </c>
      <c r="Q85" s="9">
        <f>-330-P85-O85</f>
        <v>-71</v>
      </c>
      <c r="R85" s="9">
        <v>-521.0</v>
      </c>
      <c r="S85" s="9">
        <v>-853.0</v>
      </c>
      <c r="T85" s="9">
        <v>-363.0</v>
      </c>
      <c r="U85" s="9">
        <f>-1250-1-T85-S85</f>
        <v>-35</v>
      </c>
      <c r="V85" s="9"/>
      <c r="W85" s="9"/>
      <c r="X85" s="9"/>
      <c r="Y85" s="9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ht="12.75" customHeight="1">
      <c r="A86" s="3"/>
      <c r="B86" s="3" t="s">
        <v>127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>
        <f t="shared" ref="O86:U86" si="67">SUM(O83:O85)</f>
        <v>-4874</v>
      </c>
      <c r="P86" s="9">
        <f t="shared" si="67"/>
        <v>-8195</v>
      </c>
      <c r="Q86" s="9">
        <f t="shared" si="67"/>
        <v>-330</v>
      </c>
      <c r="R86" s="9">
        <f t="shared" si="67"/>
        <v>5829</v>
      </c>
      <c r="S86" s="9">
        <f t="shared" si="67"/>
        <v>-4779</v>
      </c>
      <c r="T86" s="9">
        <f t="shared" si="67"/>
        <v>-6959</v>
      </c>
      <c r="U86" s="9">
        <f t="shared" si="67"/>
        <v>-9701</v>
      </c>
      <c r="V86" s="9"/>
      <c r="W86" s="9"/>
      <c r="X86" s="9"/>
      <c r="Y86" s="9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 ht="12.75" customHeight="1">
      <c r="A87" s="3"/>
      <c r="B87" s="3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 ht="12.75" customHeight="1">
      <c r="A88" s="3"/>
      <c r="B88" s="3" t="s">
        <v>128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>
        <v>-1077.0</v>
      </c>
      <c r="P88" s="9">
        <f>-2432-O88</f>
        <v>-1355</v>
      </c>
      <c r="Q88" s="9">
        <f>-4007-P88-O88</f>
        <v>-1575</v>
      </c>
      <c r="R88" s="9">
        <v>-1507.0</v>
      </c>
      <c r="S88" s="9">
        <v>-925.0</v>
      </c>
      <c r="T88" s="9">
        <v>-1002.0</v>
      </c>
      <c r="U88" s="9">
        <f>-2938-T88-S88</f>
        <v>-1011</v>
      </c>
      <c r="V88" s="9"/>
      <c r="W88" s="9"/>
      <c r="X88" s="9"/>
      <c r="Y88" s="9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ht="12.75" customHeight="1">
      <c r="A89" s="19"/>
      <c r="B89" s="19" t="s">
        <v>129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>
        <v>-3939.0</v>
      </c>
      <c r="P89" s="20">
        <f>-11018-O89</f>
        <v>-7079</v>
      </c>
      <c r="Q89" s="20">
        <f>-24476-P89-O89</f>
        <v>-13458</v>
      </c>
      <c r="R89" s="20">
        <v>-20063.0</v>
      </c>
      <c r="S89" s="20">
        <v>-9506.0</v>
      </c>
      <c r="T89" s="20">
        <v>-5233.0</v>
      </c>
      <c r="U89" s="20">
        <f>-21093-T89-S89</f>
        <v>-6354</v>
      </c>
      <c r="V89" s="20"/>
      <c r="W89" s="20"/>
      <c r="X89" s="20"/>
      <c r="Y89" s="20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</row>
    <row r="90" ht="12.75" customHeight="1">
      <c r="A90" s="3"/>
      <c r="B90" s="3" t="s">
        <v>12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>
        <v>0.0</v>
      </c>
      <c r="T90" s="9">
        <v>0.0</v>
      </c>
      <c r="U90" s="9">
        <f>9921-T90-S90</f>
        <v>9921</v>
      </c>
      <c r="V90" s="9"/>
      <c r="W90" s="9"/>
      <c r="X90" s="9"/>
      <c r="Y90" s="9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</row>
    <row r="91" ht="12.75" customHeight="1">
      <c r="A91" s="3"/>
      <c r="B91" s="3" t="s">
        <v>71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>
        <f>-151+32-50</f>
        <v>-169</v>
      </c>
      <c r="P91" s="9">
        <f>-274-O91+3-13</f>
        <v>-115</v>
      </c>
      <c r="Q91" s="9">
        <f>-505+15-13-P91-O91</f>
        <v>-219</v>
      </c>
      <c r="R91" s="9">
        <v>-172.0</v>
      </c>
      <c r="S91" s="9">
        <f>-233+20-16</f>
        <v>-229</v>
      </c>
      <c r="T91" s="9">
        <f>-219-79-30</f>
        <v>-328</v>
      </c>
      <c r="U91" s="9">
        <f>-615-250-101-T91-S91</f>
        <v>-409</v>
      </c>
      <c r="V91" s="9"/>
      <c r="W91" s="9"/>
      <c r="X91" s="9"/>
      <c r="Y91" s="9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</row>
    <row r="92" ht="12.75" customHeight="1">
      <c r="A92" s="3"/>
      <c r="B92" s="3" t="s">
        <v>130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>
        <f t="shared" ref="O92:U92" si="68">SUM(O88:O91)</f>
        <v>-5185</v>
      </c>
      <c r="P92" s="9">
        <f t="shared" si="68"/>
        <v>-8549</v>
      </c>
      <c r="Q92" s="9">
        <f t="shared" si="68"/>
        <v>-15252</v>
      </c>
      <c r="R92" s="9">
        <f t="shared" si="68"/>
        <v>-21742</v>
      </c>
      <c r="S92" s="9">
        <f t="shared" si="68"/>
        <v>-10660</v>
      </c>
      <c r="T92" s="9">
        <f t="shared" si="68"/>
        <v>-6563</v>
      </c>
      <c r="U92" s="9">
        <f t="shared" si="68"/>
        <v>2147</v>
      </c>
      <c r="V92" s="9"/>
      <c r="W92" s="9"/>
      <c r="X92" s="9"/>
      <c r="Y92" s="9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ht="12.75" customHeight="1">
      <c r="B93" s="1" t="s">
        <v>131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>
        <v>-246.0</v>
      </c>
      <c r="P93" s="4">
        <f>-129-O93</f>
        <v>117</v>
      </c>
      <c r="Q93" s="4">
        <f>-344-P93-O93</f>
        <v>-215</v>
      </c>
      <c r="R93" s="4">
        <v>-130.0</v>
      </c>
      <c r="S93" s="9">
        <v>-149.0</v>
      </c>
      <c r="T93" s="4">
        <v>-550.0</v>
      </c>
      <c r="U93" s="9">
        <f>-1063-T93-S93</f>
        <v>-364</v>
      </c>
      <c r="V93" s="4"/>
      <c r="W93" s="4"/>
      <c r="X93" s="4"/>
      <c r="Y93" s="4"/>
    </row>
    <row r="94" ht="12.75" customHeight="1">
      <c r="B94" s="1" t="s">
        <v>132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9">
        <f t="shared" ref="O94:U94" si="69">+O93+O92+O86+O81</f>
        <v>1937</v>
      </c>
      <c r="P94" s="9">
        <f t="shared" si="69"/>
        <v>-3380</v>
      </c>
      <c r="Q94" s="9">
        <f t="shared" si="69"/>
        <v>-1707</v>
      </c>
      <c r="R94" s="9">
        <f t="shared" si="69"/>
        <v>2061</v>
      </c>
      <c r="S94" s="9">
        <f t="shared" si="69"/>
        <v>-1512</v>
      </c>
      <c r="T94" s="9">
        <f t="shared" si="69"/>
        <v>-1875</v>
      </c>
      <c r="U94" s="9">
        <f t="shared" si="69"/>
        <v>1773</v>
      </c>
      <c r="V94" s="4"/>
      <c r="W94" s="4"/>
      <c r="X94" s="4"/>
      <c r="Y94" s="4"/>
    </row>
    <row r="95" ht="12.75" customHeight="1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9"/>
      <c r="T95" s="4"/>
      <c r="U95" s="4"/>
      <c r="V95" s="4"/>
      <c r="W95" s="4"/>
      <c r="X95" s="4"/>
      <c r="Y95" s="4"/>
    </row>
    <row r="96" ht="12.75" customHeight="1">
      <c r="A96" s="3"/>
      <c r="B96" s="3" t="s">
        <v>133</v>
      </c>
      <c r="C96" s="9"/>
      <c r="D96" s="9"/>
      <c r="E96" s="9"/>
      <c r="F96" s="9"/>
      <c r="G96" s="9"/>
      <c r="H96" s="9"/>
      <c r="I96" s="9">
        <v>43030.0</v>
      </c>
      <c r="J96" s="9">
        <v>44942.0</v>
      </c>
      <c r="K96" s="9"/>
      <c r="L96" s="9"/>
      <c r="M96" s="9"/>
      <c r="N96" s="9"/>
      <c r="O96" s="9"/>
      <c r="P96" s="9"/>
      <c r="Q96" s="9"/>
      <c r="R96" s="9">
        <v>71970.0</v>
      </c>
      <c r="S96" s="9">
        <v>77805.0</v>
      </c>
      <c r="T96" s="9">
        <v>83553.0</v>
      </c>
      <c r="U96" s="9">
        <v>87314.0</v>
      </c>
      <c r="V96" s="9">
        <v>86000.0</v>
      </c>
      <c r="W96" s="9"/>
      <c r="X96" s="9"/>
      <c r="Y96" s="9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</row>
    <row r="97" ht="12.75" customHeight="1">
      <c r="B97" s="1" t="s">
        <v>134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9">
        <f t="shared" ref="S97:U97" si="70">+S96-R96</f>
        <v>5835</v>
      </c>
      <c r="T97" s="9">
        <f t="shared" si="70"/>
        <v>5748</v>
      </c>
      <c r="U97" s="9">
        <f t="shared" si="70"/>
        <v>3761</v>
      </c>
      <c r="V97" s="4"/>
      <c r="W97" s="4"/>
      <c r="X97" s="4"/>
      <c r="Y97" s="4"/>
    </row>
    <row r="98" ht="12.75" customHeight="1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9"/>
      <c r="T98" s="9"/>
      <c r="U98" s="4"/>
      <c r="V98" s="4"/>
      <c r="W98" s="4"/>
      <c r="X98" s="4"/>
      <c r="Y98" s="4"/>
    </row>
    <row r="99" ht="12.75" customHeight="1">
      <c r="B99" s="1" t="s">
        <v>135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9">
        <f t="shared" ref="O99:U99" si="71">+O81+O83</f>
        <v>7970</v>
      </c>
      <c r="P99" s="9">
        <f t="shared" si="71"/>
        <v>8635</v>
      </c>
      <c r="Q99" s="9">
        <f t="shared" si="71"/>
        <v>9776</v>
      </c>
      <c r="R99" s="9">
        <f t="shared" si="71"/>
        <v>12734</v>
      </c>
      <c r="S99" s="9">
        <f t="shared" si="71"/>
        <v>8761</v>
      </c>
      <c r="T99" s="9">
        <f t="shared" si="71"/>
        <v>4669</v>
      </c>
      <c r="U99" s="9">
        <f t="shared" si="71"/>
        <v>336</v>
      </c>
      <c r="V99" s="4"/>
      <c r="W99" s="4"/>
      <c r="X99" s="4"/>
      <c r="Y99" s="4"/>
    </row>
    <row r="100" ht="12.75" customHeight="1">
      <c r="B100" s="1" t="s">
        <v>136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9">
        <f t="shared" ref="R100:U100" si="72">SUM(O99:R99)</f>
        <v>39115</v>
      </c>
      <c r="S100" s="9">
        <f t="shared" si="72"/>
        <v>39906</v>
      </c>
      <c r="T100" s="9">
        <f t="shared" si="72"/>
        <v>35940</v>
      </c>
      <c r="U100" s="9">
        <f t="shared" si="72"/>
        <v>26500</v>
      </c>
      <c r="V100" s="4"/>
      <c r="W100" s="4"/>
      <c r="X100" s="4"/>
      <c r="Y100" s="4"/>
    </row>
    <row r="101" ht="12.75" customHeight="1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3"/>
      <c r="B102" s="3" t="s">
        <v>137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>
        <v>-2631.0</v>
      </c>
      <c r="R102" s="9"/>
      <c r="S102" s="9"/>
      <c r="T102" s="9"/>
      <c r="U102" s="9">
        <v>-3672.0</v>
      </c>
      <c r="V102" s="9"/>
      <c r="W102" s="9"/>
      <c r="X102" s="9"/>
      <c r="Y102" s="9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</row>
    <row r="103" ht="12.75" customHeight="1">
      <c r="B103" s="1" t="s">
        <v>138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3"/>
      <c r="R103" s="13">
        <f t="shared" ref="R103:U103" si="73">SUM(Q24:R24)/SUM(M24:N24)-1</f>
        <v>1.0013947</v>
      </c>
      <c r="S103" s="13">
        <f t="shared" si="73"/>
        <v>0.2565947242</v>
      </c>
      <c r="T103" s="13">
        <f t="shared" si="73"/>
        <v>0.3671036949</v>
      </c>
      <c r="U103" s="13">
        <f t="shared" si="73"/>
        <v>-0.1460023175</v>
      </c>
      <c r="V103" s="4"/>
      <c r="W103" s="4"/>
      <c r="X103" s="4"/>
      <c r="Y103" s="4"/>
    </row>
    <row r="104" ht="12.75" customHeight="1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B105" s="1" t="s">
        <v>139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9">
        <v>13054.0</v>
      </c>
      <c r="R105" s="9"/>
      <c r="S105" s="9"/>
      <c r="T105" s="9"/>
      <c r="U105" s="9">
        <v>9336.0</v>
      </c>
      <c r="V105" s="4"/>
      <c r="W105" s="4"/>
      <c r="X105" s="4"/>
      <c r="Y105" s="4"/>
    </row>
    <row r="106" ht="12.75" customHeight="1">
      <c r="B106" s="1" t="s">
        <v>140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13">
        <f>+U105/U26</f>
        <v>0.3368694523</v>
      </c>
      <c r="V106" s="4"/>
      <c r="W106" s="4"/>
      <c r="X106" s="4"/>
      <c r="Y106" s="4"/>
    </row>
    <row r="107" ht="12.75" customHeight="1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B108" s="1" t="s">
        <v>141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2.75" customHeight="1"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hyperlinks>
    <hyperlink display="Main" location="Main!A1" ref="A1"/>
  </hyperlink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5.0"/>
    <col customWidth="1" min="2" max="2" width="9.25"/>
    <col customWidth="1" min="3" max="3" width="10.38"/>
    <col customWidth="1" min="4" max="26" width="8.63"/>
  </cols>
  <sheetData>
    <row r="1" ht="12.75" customHeight="1">
      <c r="A1" s="1" t="s">
        <v>32</v>
      </c>
    </row>
    <row r="2" ht="12.75" customHeight="1"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148</v>
      </c>
    </row>
    <row r="3" ht="12.75" customHeight="1">
      <c r="B3" s="1">
        <v>1.1449606E7</v>
      </c>
      <c r="C3" s="29">
        <v>44215.0</v>
      </c>
      <c r="D3" s="29">
        <v>44824.0</v>
      </c>
      <c r="E3" s="29" t="s">
        <v>149</v>
      </c>
      <c r="F3" s="29" t="s">
        <v>150</v>
      </c>
      <c r="G3" s="1">
        <v>3.0</v>
      </c>
      <c r="H3" s="1" t="s">
        <v>151</v>
      </c>
    </row>
    <row r="4" ht="12.75" customHeight="1">
      <c r="B4" s="1">
        <v>1.1449189E7</v>
      </c>
      <c r="C4" s="29">
        <v>43740.0</v>
      </c>
      <c r="D4" s="29">
        <v>44824.0</v>
      </c>
      <c r="E4" s="1" t="s">
        <v>149</v>
      </c>
      <c r="F4" s="1" t="s">
        <v>152</v>
      </c>
      <c r="G4" s="1">
        <v>4.0</v>
      </c>
      <c r="H4" s="1" t="s">
        <v>153</v>
      </c>
    </row>
    <row r="5" ht="12.75" customHeight="1">
      <c r="B5" s="1">
        <v>1.1448803E7</v>
      </c>
      <c r="C5" s="29">
        <v>43836.0</v>
      </c>
      <c r="D5" s="29">
        <v>44824.0</v>
      </c>
      <c r="E5" s="1" t="s">
        <v>154</v>
      </c>
      <c r="F5" s="1" t="s">
        <v>155</v>
      </c>
      <c r="G5" s="1">
        <v>3.0</v>
      </c>
      <c r="H5" s="1" t="s">
        <v>156</v>
      </c>
    </row>
    <row r="6" ht="12.75" customHeight="1">
      <c r="B6" s="1">
        <v>1.1442272E7</v>
      </c>
      <c r="C6" s="29">
        <v>43902.0</v>
      </c>
      <c r="D6" s="29">
        <v>44817.0</v>
      </c>
      <c r="E6" s="1" t="s">
        <v>149</v>
      </c>
      <c r="F6" s="1" t="s">
        <v>157</v>
      </c>
      <c r="G6" s="1">
        <v>3.0</v>
      </c>
      <c r="H6" s="1" t="s">
        <v>158</v>
      </c>
    </row>
    <row r="7" ht="12.75" customHeight="1">
      <c r="B7" s="1">
        <v>1.1441702E7</v>
      </c>
      <c r="C7" s="29">
        <v>43594.0</v>
      </c>
      <c r="D7" s="29">
        <v>44817.0</v>
      </c>
      <c r="E7" s="1" t="s">
        <v>159</v>
      </c>
      <c r="G7" s="1">
        <v>3.0</v>
      </c>
      <c r="H7" s="1" t="s">
        <v>160</v>
      </c>
    </row>
    <row r="8" ht="12.75" customHeight="1">
      <c r="B8" s="1">
        <v>1.1436793E7</v>
      </c>
      <c r="C8" s="29">
        <v>44239.0</v>
      </c>
      <c r="D8" s="29">
        <v>44810.0</v>
      </c>
      <c r="E8" s="1" t="s">
        <v>161</v>
      </c>
      <c r="F8" s="1" t="s">
        <v>162</v>
      </c>
      <c r="G8" s="1">
        <v>3.0</v>
      </c>
      <c r="H8" s="1" t="s">
        <v>163</v>
      </c>
    </row>
    <row r="9" ht="12.75" customHeight="1">
      <c r="B9" s="1">
        <v>1.143582E7</v>
      </c>
      <c r="C9" s="29">
        <v>43601.0</v>
      </c>
      <c r="D9" s="29">
        <v>44810.0</v>
      </c>
      <c r="E9" s="1" t="s">
        <v>149</v>
      </c>
      <c r="F9" s="1" t="s">
        <v>164</v>
      </c>
      <c r="G9" s="1">
        <v>3.0</v>
      </c>
      <c r="H9" s="1" t="s">
        <v>165</v>
      </c>
    </row>
    <row r="10" ht="12.75" customHeight="1">
      <c r="B10" s="1">
        <v>1.1435448E7</v>
      </c>
      <c r="C10" s="29">
        <v>44071.0</v>
      </c>
      <c r="D10" s="29">
        <v>44810.0</v>
      </c>
      <c r="E10" s="1" t="s">
        <v>161</v>
      </c>
      <c r="F10" s="1" t="s">
        <v>166</v>
      </c>
      <c r="G10" s="1">
        <v>3.0</v>
      </c>
      <c r="H10" s="1" t="s">
        <v>167</v>
      </c>
    </row>
    <row r="11" ht="12.75" customHeight="1">
      <c r="B11" s="1">
        <v>1.1431955E7</v>
      </c>
      <c r="C11" s="29">
        <v>43802.0</v>
      </c>
      <c r="D11" s="29">
        <v>44803.0</v>
      </c>
      <c r="E11" s="1" t="s">
        <v>159</v>
      </c>
      <c r="F11" s="1" t="s">
        <v>168</v>
      </c>
      <c r="G11" s="1">
        <v>3.0</v>
      </c>
      <c r="H11" s="1" t="s">
        <v>169</v>
      </c>
    </row>
    <row r="12" ht="12.75" customHeight="1">
      <c r="B12" s="1">
        <v>1.1430398E7</v>
      </c>
      <c r="C12" s="29">
        <v>44455.0</v>
      </c>
      <c r="D12" s="29">
        <v>44803.0</v>
      </c>
      <c r="E12" s="1" t="s">
        <v>170</v>
      </c>
      <c r="F12" s="1" t="s">
        <v>171</v>
      </c>
      <c r="G12" s="1">
        <v>3.0</v>
      </c>
      <c r="H12" s="1" t="s">
        <v>172</v>
      </c>
    </row>
    <row r="13" ht="12.75" customHeight="1">
      <c r="B13" s="1">
        <v>1.1430141E7</v>
      </c>
      <c r="C13" s="29">
        <v>43844.0</v>
      </c>
      <c r="D13" s="29">
        <v>44803.0</v>
      </c>
      <c r="E13" s="1" t="s">
        <v>149</v>
      </c>
      <c r="F13" s="1" t="s">
        <v>173</v>
      </c>
      <c r="G13" s="1">
        <v>4.0</v>
      </c>
      <c r="H13" s="1" t="s">
        <v>174</v>
      </c>
    </row>
    <row r="14" ht="12.75" customHeight="1">
      <c r="B14" s="1">
        <v>1.1430085E7</v>
      </c>
      <c r="C14" s="29">
        <v>44096.0</v>
      </c>
      <c r="D14" s="29">
        <v>44803.0</v>
      </c>
      <c r="E14" s="1" t="s">
        <v>159</v>
      </c>
      <c r="F14" s="1" t="s">
        <v>175</v>
      </c>
      <c r="G14" s="1">
        <v>3.0</v>
      </c>
      <c r="H14" s="1" t="s">
        <v>176</v>
      </c>
    </row>
    <row r="15" ht="12.75" customHeight="1">
      <c r="B15" s="1">
        <v>1.1425523E7</v>
      </c>
      <c r="C15" s="29">
        <v>43931.0</v>
      </c>
      <c r="D15" s="29">
        <v>44796.0</v>
      </c>
      <c r="E15" s="1" t="s">
        <v>154</v>
      </c>
      <c r="F15" s="1" t="s">
        <v>177</v>
      </c>
      <c r="G15" s="1">
        <v>3.0</v>
      </c>
      <c r="H15" s="1" t="s">
        <v>178</v>
      </c>
    </row>
    <row r="16" ht="12.75" customHeight="1">
      <c r="B16" s="1">
        <v>1.1423621E7</v>
      </c>
      <c r="C16" s="29">
        <v>43972.0</v>
      </c>
      <c r="D16" s="29">
        <v>44796.0</v>
      </c>
      <c r="E16" s="1" t="s">
        <v>179</v>
      </c>
      <c r="F16" s="1" t="s">
        <v>180</v>
      </c>
      <c r="G16" s="1">
        <v>3.0</v>
      </c>
      <c r="H16" s="1" t="s">
        <v>181</v>
      </c>
    </row>
    <row r="17" ht="12.75" customHeight="1">
      <c r="B17" s="1">
        <v>1.1423616E7</v>
      </c>
      <c r="C17" s="29">
        <v>43917.0</v>
      </c>
      <c r="D17" s="29">
        <v>44796.0</v>
      </c>
      <c r="E17" s="1" t="s">
        <v>170</v>
      </c>
      <c r="F17" s="1" t="s">
        <v>182</v>
      </c>
      <c r="G17" s="1">
        <v>4.0</v>
      </c>
      <c r="H17" s="1" t="s">
        <v>183</v>
      </c>
    </row>
    <row r="18" ht="12.75" customHeight="1">
      <c r="B18" s="1">
        <v>1.142352E7</v>
      </c>
      <c r="C18" s="29">
        <v>44134.0</v>
      </c>
      <c r="D18" s="29">
        <v>44796.0</v>
      </c>
      <c r="E18" s="1" t="s">
        <v>179</v>
      </c>
      <c r="F18" s="1" t="s">
        <v>184</v>
      </c>
      <c r="G18" s="1">
        <v>3.0</v>
      </c>
      <c r="H18" s="1" t="s">
        <v>185</v>
      </c>
    </row>
    <row r="19" ht="12.75" customHeight="1">
      <c r="B19" s="1">
        <v>1.1423152E7</v>
      </c>
      <c r="C19" s="29">
        <v>43690.0</v>
      </c>
      <c r="D19" s="29">
        <v>44796.0</v>
      </c>
      <c r="E19" s="1" t="s">
        <v>161</v>
      </c>
      <c r="G19" s="1">
        <v>3.0</v>
      </c>
      <c r="H19" s="1" t="s">
        <v>186</v>
      </c>
    </row>
    <row r="20" ht="12.75" customHeight="1">
      <c r="B20" s="1">
        <v>1.1422669E7</v>
      </c>
      <c r="C20" s="29">
        <v>43623.0</v>
      </c>
      <c r="D20" s="29">
        <v>44796.0</v>
      </c>
      <c r="E20" s="1" t="s">
        <v>149</v>
      </c>
      <c r="F20" s="1" t="s">
        <v>187</v>
      </c>
      <c r="G20" s="1">
        <v>4.0</v>
      </c>
      <c r="H20" s="1" t="s">
        <v>188</v>
      </c>
    </row>
    <row r="21" ht="12.75" customHeight="1">
      <c r="B21" s="1">
        <v>1.1422373E7</v>
      </c>
      <c r="C21" s="29">
        <v>43868.0</v>
      </c>
      <c r="D21" s="29">
        <v>44796.0</v>
      </c>
      <c r="E21" s="1" t="s">
        <v>161</v>
      </c>
      <c r="F21" s="1" t="s">
        <v>189</v>
      </c>
      <c r="G21" s="1">
        <v>3.0</v>
      </c>
      <c r="H21" s="1" t="s">
        <v>190</v>
      </c>
    </row>
    <row r="22" ht="12.75" customHeight="1">
      <c r="B22" s="1">
        <v>1.1417054E7</v>
      </c>
      <c r="C22" s="29">
        <v>44272.0</v>
      </c>
      <c r="D22" s="29">
        <v>44789.0</v>
      </c>
      <c r="E22" s="1" t="s">
        <v>170</v>
      </c>
      <c r="F22" s="1" t="s">
        <v>191</v>
      </c>
      <c r="G22" s="1">
        <v>3.0</v>
      </c>
      <c r="H22" s="1" t="s">
        <v>192</v>
      </c>
    </row>
    <row r="23" ht="12.75" customHeight="1">
      <c r="B23" s="1">
        <v>1.1416239E7</v>
      </c>
      <c r="C23" s="29">
        <v>44195.0</v>
      </c>
      <c r="D23" s="29">
        <v>44789.0</v>
      </c>
      <c r="E23" s="1" t="s">
        <v>179</v>
      </c>
      <c r="F23" s="1" t="s">
        <v>193</v>
      </c>
      <c r="G23" s="1">
        <v>3.0</v>
      </c>
      <c r="H23" s="1" t="s">
        <v>194</v>
      </c>
    </row>
    <row r="24" ht="12.75" customHeight="1">
      <c r="B24" s="1">
        <v>1.1416075E7</v>
      </c>
      <c r="C24" s="29">
        <v>43915.0</v>
      </c>
      <c r="D24" s="29">
        <v>44789.0</v>
      </c>
      <c r="E24" s="1" t="s">
        <v>161</v>
      </c>
      <c r="F24" s="1" t="s">
        <v>195</v>
      </c>
      <c r="G24" s="1">
        <v>5.0</v>
      </c>
      <c r="H24" s="1" t="s">
        <v>196</v>
      </c>
    </row>
    <row r="25" ht="12.75" customHeight="1">
      <c r="B25" s="1">
        <v>1.1416067E7</v>
      </c>
      <c r="C25" s="29">
        <v>44452.0</v>
      </c>
      <c r="D25" s="29">
        <v>44789.0</v>
      </c>
      <c r="E25" s="1" t="s">
        <v>154</v>
      </c>
      <c r="F25" s="1" t="s">
        <v>197</v>
      </c>
      <c r="G25" s="1">
        <v>3.0</v>
      </c>
      <c r="H25" s="1" t="s">
        <v>198</v>
      </c>
    </row>
    <row r="26" ht="12.75" customHeight="1">
      <c r="B26" s="1">
        <v>1.141588E7</v>
      </c>
      <c r="C26" s="29">
        <v>43483.0</v>
      </c>
      <c r="D26" s="29">
        <v>44789.0</v>
      </c>
      <c r="E26" s="1" t="s">
        <v>159</v>
      </c>
      <c r="F26" s="1" t="s">
        <v>199</v>
      </c>
      <c r="G26" s="1">
        <v>3.0</v>
      </c>
      <c r="H26" s="1" t="s">
        <v>200</v>
      </c>
    </row>
    <row r="27" ht="12.75" customHeight="1">
      <c r="B27" s="1">
        <v>1.1415808E7</v>
      </c>
      <c r="C27" s="29">
        <v>43818.0</v>
      </c>
      <c r="D27" s="29">
        <v>44789.0</v>
      </c>
      <c r="E27" s="1" t="s">
        <v>159</v>
      </c>
      <c r="F27" s="1" t="s">
        <v>201</v>
      </c>
      <c r="G27" s="1">
        <v>3.0</v>
      </c>
      <c r="H27" s="1" t="s">
        <v>202</v>
      </c>
    </row>
    <row r="28" ht="12.75" customHeight="1">
      <c r="B28" s="1" t="s">
        <v>203</v>
      </c>
      <c r="C28" s="29">
        <v>44537.0</v>
      </c>
      <c r="D28" s="29">
        <v>44782.0</v>
      </c>
      <c r="E28" s="1" t="s">
        <v>161</v>
      </c>
      <c r="F28" s="1" t="s">
        <v>204</v>
      </c>
      <c r="G28" s="1">
        <v>3.0</v>
      </c>
      <c r="H28" s="1" t="s">
        <v>205</v>
      </c>
    </row>
    <row r="29" ht="12.75" customHeight="1">
      <c r="B29" s="1">
        <v>1.1412511E7</v>
      </c>
      <c r="C29" s="29">
        <v>43956.0</v>
      </c>
      <c r="D29" s="29">
        <v>44782.0</v>
      </c>
      <c r="E29" s="1" t="s">
        <v>154</v>
      </c>
      <c r="F29" s="1" t="s">
        <v>206</v>
      </c>
      <c r="G29" s="1">
        <v>3.0</v>
      </c>
      <c r="H29" s="1" t="s">
        <v>207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