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FT" sheetId="1" r:id="rId4"/>
  </sheets>
  <definedNames/>
  <calcPr/>
</workbook>
</file>

<file path=xl/sharedStrings.xml><?xml version="1.0" encoding="utf-8"?>
<sst xmlns="http://schemas.openxmlformats.org/spreadsheetml/2006/main" count="98" uniqueCount="83">
  <si>
    <t>MSFT DCF</t>
  </si>
  <si>
    <t>Valuation Date:</t>
  </si>
  <si>
    <t>Share Price on Valuation Date:</t>
  </si>
  <si>
    <t>Diluted Shares Outstanding</t>
  </si>
  <si>
    <t>Select Operating Data</t>
  </si>
  <si>
    <t>Projected Annual Forecast</t>
  </si>
  <si>
    <t>Revenue</t>
  </si>
  <si>
    <t>Revenue Growth Rate (%)</t>
  </si>
  <si>
    <t>EBITDA</t>
  </si>
  <si>
    <t>EBITDA Margin (%)</t>
  </si>
  <si>
    <t>EBIT</t>
  </si>
  <si>
    <t>EBIT Margin (%)</t>
  </si>
  <si>
    <t xml:space="preserve">Depreciation &amp; Amortization </t>
  </si>
  <si>
    <t>D&amp;A as a % of revenue</t>
  </si>
  <si>
    <t>Select Balance Sheet And Other Data</t>
  </si>
  <si>
    <t>Cash &amp; Equivalents</t>
  </si>
  <si>
    <t>cash on hand after financing, operating, investing</t>
  </si>
  <si>
    <t>Accounts Receivable</t>
  </si>
  <si>
    <t>Inventories</t>
  </si>
  <si>
    <t>Prepaid Expenses</t>
  </si>
  <si>
    <t>Accounts Payable</t>
  </si>
  <si>
    <t>Accrued Expenses</t>
  </si>
  <si>
    <t>Debt</t>
  </si>
  <si>
    <t>Capital Expenditures</t>
  </si>
  <si>
    <t>Capital expenditures, commonly known as CapEx, are funds used by a company to acquire, upgrade, and maintain physical assets such as property, buildings, an industrial plant, technology, or equipment.</t>
  </si>
  <si>
    <t>from cap iq</t>
  </si>
  <si>
    <t>Accounts Receivable Growth (%)</t>
  </si>
  <si>
    <t>Inventories Growth (%)</t>
  </si>
  <si>
    <t>Prepaid Expenses Growth (%)</t>
  </si>
  <si>
    <t>-</t>
  </si>
  <si>
    <t>Accounts Payable Growth (%)</t>
  </si>
  <si>
    <t>Accrued Expenses Growth (%)</t>
  </si>
  <si>
    <t>Capital Expenditures Growth (%)</t>
  </si>
  <si>
    <t>Cap IQ</t>
  </si>
  <si>
    <t>Free Cash Flow Buildup</t>
  </si>
  <si>
    <t>$mm</t>
  </si>
  <si>
    <t>Period</t>
  </si>
  <si>
    <t>Total Revenues</t>
  </si>
  <si>
    <t>Tax rate</t>
  </si>
  <si>
    <t>EBIAT or NOPAT</t>
  </si>
  <si>
    <t>Depreciation &amp; Amortization</t>
  </si>
  <si>
    <t>Accounts receivable</t>
  </si>
  <si>
    <t>Prepaid expenses</t>
  </si>
  <si>
    <t>Predicted fREE cashflow S&amp;P</t>
  </si>
  <si>
    <t>Accounts payable</t>
  </si>
  <si>
    <t>Accrued expenses</t>
  </si>
  <si>
    <t>high</t>
  </si>
  <si>
    <t>Capital expenditures</t>
  </si>
  <si>
    <t>mean</t>
  </si>
  <si>
    <t>Unlevered free cash flows</t>
  </si>
  <si>
    <t>low</t>
  </si>
  <si>
    <r>
      <rPr>
        <rFont val="Calibri"/>
        <color theme="1"/>
        <sz val="11.0"/>
      </rPr>
      <t xml:space="preserve">Discount Rate </t>
    </r>
    <r>
      <rPr>
        <rFont val="Calibri"/>
        <i/>
        <color theme="1"/>
        <sz val="11.0"/>
      </rPr>
      <t>(WACC)</t>
    </r>
  </si>
  <si>
    <t>No. Analysts</t>
  </si>
  <si>
    <t>Present value of free cash flows</t>
  </si>
  <si>
    <t>Sum of present values of FCFs</t>
  </si>
  <si>
    <t>Stage 1 of Free Cash Flow Analysis</t>
  </si>
  <si>
    <t>present value of FCFs</t>
  </si>
  <si>
    <t>sum of present values of FCFs</t>
  </si>
  <si>
    <t>Terminal Value</t>
  </si>
  <si>
    <t>Growth in perpetuity method:</t>
  </si>
  <si>
    <t>Long term growth rate</t>
  </si>
  <si>
    <t>WACC</t>
  </si>
  <si>
    <t>Free cash flow (t+1)</t>
  </si>
  <si>
    <t>Present Value of Terminal Value</t>
  </si>
  <si>
    <t>Stage 2</t>
  </si>
  <si>
    <t>Share Price</t>
  </si>
  <si>
    <t>https://www.gurufocus.com/term/wacc/NAS:MSFT/WACC-/Microsoft#:~:text=cost%20of%20debt.-,As%20of%20Jun.,2686%20%2F%2074682%20%3D%203.5966%25.</t>
  </si>
  <si>
    <t>Cost of Debt</t>
  </si>
  <si>
    <t>Tax Rate</t>
  </si>
  <si>
    <t>After-tax Cost of Debt</t>
  </si>
  <si>
    <t>Cost of Equity</t>
  </si>
  <si>
    <t>rf rate + beta*(market risk premium)</t>
  </si>
  <si>
    <t>Total Debt ($)</t>
  </si>
  <si>
    <t>Total Equity ($)</t>
  </si>
  <si>
    <t>Total Capital</t>
  </si>
  <si>
    <t>Debt Weighting</t>
  </si>
  <si>
    <t>Equity Weighting</t>
  </si>
  <si>
    <t>WACC =</t>
  </si>
  <si>
    <t>Enterprise Value to Equity Value</t>
  </si>
  <si>
    <t>Enterprise Value</t>
  </si>
  <si>
    <t>Less: Net debt</t>
  </si>
  <si>
    <t>Equity Value</t>
  </si>
  <si>
    <t>Equity Value Per 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</si>
</sst>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&quot;$&quot;#,##0.00_);\(&quot;$&quot;#,##0.00\);@_)"/>
    <numFmt numFmtId="165" formatCode="#,##0.0_);\(#,##0.0\);@_)"/>
    <numFmt numFmtId="166" formatCode="yyyy\A"/>
    <numFmt numFmtId="167" formatCode="yyyy\P"/>
    <numFmt numFmtId="168" formatCode="&quot;$&quot;#,##0.0_);\(&quot;$&quot;#,##0.0\)"/>
    <numFmt numFmtId="169" formatCode="&quot;$&quot;#,##0.0_);\(&quot;$&quot;#,##0.0\);@_)"/>
    <numFmt numFmtId="170" formatCode="0.0%_);\(0.0%\);@_)"/>
    <numFmt numFmtId="171" formatCode="0.0%"/>
    <numFmt numFmtId="172" formatCode="#,##0.0_);\(#,##0.0\);\-_);@_)"/>
    <numFmt numFmtId="173" formatCode="&quot;$&quot;#,##0.00"/>
    <numFmt numFmtId="174" formatCode="#,##0.0_);\(#,##0.0\)"/>
    <numFmt numFmtId="175" formatCode="mmm yyyy"/>
    <numFmt numFmtId="176" formatCode="_(* #,##0.0_);_(* \(#,##0.0\);_(* &quot;-&quot;?_);_(@_)"/>
    <numFmt numFmtId="177" formatCode="&quot;$&quot;#,##0.00_);[Red]\(&quot;$&quot;#,##0.00\)"/>
    <numFmt numFmtId="178" formatCode="0.0"/>
  </numFmts>
  <fonts count="21">
    <font>
      <sz val="10.0"/>
      <color rgb="FF000000"/>
      <name val="Calibri"/>
      <scheme val="minor"/>
    </font>
    <font>
      <b/>
      <sz val="15.0"/>
      <color theme="1"/>
      <name val="Calibri"/>
      <scheme val="minor"/>
    </font>
    <font>
      <sz val="18.0"/>
      <color rgb="FF000000"/>
      <name val="Calibri"/>
      <scheme val="minor"/>
    </font>
    <font>
      <sz val="18.0"/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0000FF"/>
      <name val="Calibri"/>
      <scheme val="minor"/>
    </font>
    <font>
      <sz val="11.0"/>
      <color rgb="FF008000"/>
      <name val="Calibri"/>
      <scheme val="minor"/>
    </font>
    <font>
      <b/>
      <sz val="14.0"/>
      <color rgb="FFFFFFFF"/>
      <name val="Calibri"/>
      <scheme val="minor"/>
    </font>
    <font>
      <b/>
      <sz val="11.0"/>
      <color theme="1"/>
      <name val="Calibri"/>
      <scheme val="minor"/>
    </font>
    <font/>
    <font>
      <b/>
      <sz val="11.0"/>
      <color rgb="FF000000"/>
      <name val="Calibri"/>
      <scheme val="minor"/>
    </font>
    <font>
      <i/>
      <sz val="11.0"/>
      <color rgb="FF000000"/>
      <name val="Calibri"/>
      <scheme val="minor"/>
    </font>
    <font>
      <i/>
      <sz val="11.0"/>
      <color rgb="FF0000FF"/>
      <name val="Calibri"/>
      <scheme val="minor"/>
    </font>
    <font>
      <i/>
      <sz val="11.0"/>
      <color theme="1"/>
      <name val="Calibri"/>
      <scheme val="minor"/>
    </font>
    <font>
      <i/>
      <sz val="11.0"/>
      <color rgb="FF008000"/>
      <name val="Calibri"/>
      <scheme val="minor"/>
    </font>
    <font>
      <b/>
      <sz val="11.0"/>
      <color rgb="FF0000FF"/>
      <name val="Calibri"/>
      <scheme val="minor"/>
    </font>
    <font>
      <b/>
      <i/>
      <sz val="11.0"/>
      <color theme="1"/>
      <name val="Calibri"/>
      <scheme val="minor"/>
    </font>
    <font>
      <sz val="11.0"/>
      <color theme="1"/>
      <name val="Arial"/>
    </font>
    <font>
      <u/>
      <sz val="11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17">
    <border/>
    <border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Font="1"/>
    <xf borderId="1" fillId="0" fontId="3" numFmtId="0" xfId="0" applyBorder="1" applyFont="1"/>
    <xf borderId="2" fillId="0" fontId="4" numFmtId="0" xfId="0" applyBorder="1" applyFont="1"/>
    <xf borderId="0" fillId="0" fontId="5" numFmtId="0" xfId="0" applyAlignment="1" applyFont="1">
      <alignment horizontal="left" readingOrder="1"/>
    </xf>
    <xf borderId="0" fillId="0" fontId="6" numFmtId="0" xfId="0" applyAlignment="1" applyFont="1">
      <alignment horizontal="left" readingOrder="1" vertical="top"/>
    </xf>
    <xf borderId="0" fillId="0" fontId="6" numFmtId="15" xfId="0" applyAlignment="1" applyFont="1" applyNumberFormat="1">
      <alignment horizontal="right" readingOrder="1" vertical="top"/>
    </xf>
    <xf borderId="3" fillId="2" fontId="7" numFmtId="14" xfId="0" applyAlignment="1" applyBorder="1" applyFill="1" applyFont="1" applyNumberFormat="1">
      <alignment horizontal="right" readingOrder="1" vertical="top"/>
    </xf>
    <xf borderId="3" fillId="2" fontId="7" numFmtId="164" xfId="0" applyAlignment="1" applyBorder="1" applyFont="1" applyNumberFormat="1">
      <alignment horizontal="right" readingOrder="1" vertical="top"/>
    </xf>
    <xf borderId="3" fillId="2" fontId="7" numFmtId="165" xfId="0" applyAlignment="1" applyBorder="1" applyFont="1" applyNumberFormat="1">
      <alignment horizontal="right" readingOrder="1" vertical="top"/>
    </xf>
    <xf borderId="0" fillId="0" fontId="8" numFmtId="14" xfId="0" applyAlignment="1" applyFont="1" applyNumberFormat="1">
      <alignment horizontal="right" readingOrder="1" vertical="top"/>
    </xf>
    <xf borderId="4" fillId="3" fontId="9" numFmtId="0" xfId="0" applyBorder="1" applyFill="1" applyFont="1"/>
    <xf borderId="5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6" fillId="0" fontId="10" numFmtId="0" xfId="0" applyAlignment="1" applyBorder="1" applyFont="1">
      <alignment horizontal="center"/>
    </xf>
    <xf borderId="7" fillId="4" fontId="10" numFmtId="0" xfId="0" applyAlignment="1" applyBorder="1" applyFill="1" applyFont="1">
      <alignment horizontal="center"/>
    </xf>
    <xf borderId="8" fillId="0" fontId="11" numFmtId="0" xfId="0" applyBorder="1" applyFont="1"/>
    <xf borderId="9" fillId="0" fontId="11" numFmtId="0" xfId="0" applyBorder="1" applyFont="1"/>
    <xf borderId="10" fillId="0" fontId="12" numFmtId="166" xfId="0" applyAlignment="1" applyBorder="1" applyFont="1" applyNumberFormat="1">
      <alignment readingOrder="0"/>
    </xf>
    <xf borderId="10" fillId="0" fontId="10" numFmtId="167" xfId="0" applyBorder="1" applyFont="1" applyNumberFormat="1"/>
    <xf borderId="3" fillId="2" fontId="7" numFmtId="168" xfId="0" applyAlignment="1" applyBorder="1" applyFont="1" applyNumberFormat="1">
      <alignment readingOrder="0"/>
    </xf>
    <xf borderId="11" fillId="2" fontId="7" numFmtId="168" xfId="0" applyAlignment="1" applyBorder="1" applyFont="1" applyNumberFormat="1">
      <alignment readingOrder="0"/>
    </xf>
    <xf borderId="11" fillId="2" fontId="7" numFmtId="169" xfId="0" applyAlignment="1" applyBorder="1" applyFont="1" applyNumberFormat="1">
      <alignment readingOrder="0"/>
    </xf>
    <xf borderId="0" fillId="0" fontId="5" numFmtId="169" xfId="0" applyAlignment="1" applyFont="1" applyNumberFormat="1">
      <alignment horizontal="left" readingOrder="1"/>
    </xf>
    <xf borderId="0" fillId="0" fontId="13" numFmtId="0" xfId="0" applyAlignment="1" applyFont="1">
      <alignment horizontal="left" readingOrder="1" vertical="top"/>
    </xf>
    <xf borderId="0" fillId="5" fontId="14" numFmtId="170" xfId="0" applyAlignment="1" applyFill="1" applyFont="1" applyNumberFormat="1">
      <alignment horizontal="left" readingOrder="1"/>
    </xf>
    <xf borderId="12" fillId="2" fontId="14" numFmtId="170" xfId="0" applyAlignment="1" applyBorder="1" applyFont="1" applyNumberFormat="1">
      <alignment horizontal="left" readingOrder="1"/>
    </xf>
    <xf borderId="3" fillId="2" fontId="14" numFmtId="170" xfId="0" applyAlignment="1" applyBorder="1" applyFont="1" applyNumberFormat="1">
      <alignment horizontal="left" readingOrder="1"/>
    </xf>
    <xf borderId="3" fillId="2" fontId="7" numFmtId="169" xfId="0" applyAlignment="1" applyBorder="1" applyFont="1" applyNumberFormat="1">
      <alignment readingOrder="0"/>
    </xf>
    <xf borderId="0" fillId="0" fontId="5" numFmtId="168" xfId="0" applyAlignment="1" applyFont="1" applyNumberFormat="1">
      <alignment horizontal="left" readingOrder="1"/>
    </xf>
    <xf borderId="3" fillId="2" fontId="14" numFmtId="171" xfId="0" applyAlignment="1" applyBorder="1" applyFont="1" applyNumberFormat="1">
      <alignment horizontal="left" readingOrder="1"/>
    </xf>
    <xf borderId="3" fillId="2" fontId="7" numFmtId="165" xfId="0" applyAlignment="1" applyBorder="1" applyFont="1" applyNumberFormat="1">
      <alignment readingOrder="0"/>
    </xf>
    <xf borderId="3" fillId="2" fontId="7" numFmtId="169" xfId="0" applyBorder="1" applyFont="1" applyNumberFormat="1"/>
    <xf borderId="10" fillId="0" fontId="10" numFmtId="166" xfId="0" applyBorder="1" applyFont="1" applyNumberFormat="1"/>
    <xf borderId="0" fillId="0" fontId="6" numFmtId="0" xfId="0" applyAlignment="1" applyFont="1">
      <alignment horizontal="left" readingOrder="1" vertical="top"/>
    </xf>
    <xf borderId="0" fillId="0" fontId="5" numFmtId="172" xfId="0" applyAlignment="1" applyFont="1" applyNumberFormat="1">
      <alignment horizontal="left" readingOrder="1"/>
    </xf>
    <xf borderId="0" fillId="0" fontId="5" numFmtId="0" xfId="0" applyAlignment="1" applyFont="1">
      <alignment horizontal="left" readingOrder="1"/>
    </xf>
    <xf borderId="0" fillId="0" fontId="5" numFmtId="0" xfId="0" applyAlignment="1" applyFont="1">
      <alignment horizontal="left"/>
    </xf>
    <xf borderId="3" fillId="2" fontId="7" numFmtId="173" xfId="0" applyAlignment="1" applyBorder="1" applyFont="1" applyNumberFormat="1">
      <alignment readingOrder="0"/>
    </xf>
    <xf borderId="0" fillId="0" fontId="5" numFmtId="173" xfId="0" applyAlignment="1" applyFont="1" applyNumberFormat="1">
      <alignment horizontal="left" readingOrder="1"/>
    </xf>
    <xf borderId="3" fillId="2" fontId="7" numFmtId="165" xfId="0" applyBorder="1" applyFont="1" applyNumberFormat="1"/>
    <xf borderId="0" fillId="0" fontId="5" numFmtId="165" xfId="0" applyAlignment="1" applyFont="1" applyNumberFormat="1">
      <alignment horizontal="left" readingOrder="1"/>
    </xf>
    <xf borderId="0" fillId="0" fontId="5" numFmtId="0" xfId="0" applyAlignment="1" applyFont="1">
      <alignment horizontal="left" readingOrder="1" shrinkToFit="0" wrapText="0"/>
    </xf>
    <xf borderId="0" fillId="0" fontId="15" numFmtId="0" xfId="0" applyAlignment="1" applyFont="1">
      <alignment horizontal="left"/>
    </xf>
    <xf borderId="0" fillId="0" fontId="13" numFmtId="15" xfId="0" applyAlignment="1" applyFont="1" applyNumberFormat="1">
      <alignment horizontal="right" readingOrder="1" vertical="top"/>
    </xf>
    <xf borderId="3" fillId="2" fontId="14" numFmtId="0" xfId="0" applyAlignment="1" applyBorder="1" applyFont="1">
      <alignment horizontal="left" readingOrder="1"/>
    </xf>
    <xf borderId="0" fillId="0" fontId="16" numFmtId="14" xfId="0" applyAlignment="1" applyFont="1" applyNumberFormat="1">
      <alignment horizontal="right" readingOrder="1" vertical="top"/>
    </xf>
    <xf borderId="0" fillId="0" fontId="15" numFmtId="0" xfId="0" applyAlignment="1" applyFont="1">
      <alignment horizontal="left" readingOrder="1"/>
    </xf>
    <xf borderId="0" fillId="0" fontId="5" numFmtId="0" xfId="0" applyFont="1"/>
    <xf borderId="0" fillId="0" fontId="15" numFmtId="0" xfId="0" applyFont="1"/>
    <xf borderId="13" fillId="0" fontId="10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0" fillId="0" fontId="10" numFmtId="0" xfId="0" applyFont="1"/>
    <xf borderId="2" fillId="0" fontId="10" numFmtId="166" xfId="0" applyBorder="1" applyFont="1" applyNumberFormat="1"/>
    <xf borderId="1" fillId="0" fontId="10" numFmtId="0" xfId="0" applyBorder="1" applyFont="1"/>
    <xf borderId="10" fillId="0" fontId="5" numFmtId="0" xfId="0" applyBorder="1" applyFont="1"/>
    <xf borderId="1" fillId="0" fontId="5" numFmtId="0" xfId="0" applyBorder="1" applyFont="1"/>
    <xf borderId="0" fillId="0" fontId="6" numFmtId="168" xfId="0" applyFont="1" applyNumberFormat="1"/>
    <xf borderId="0" fillId="0" fontId="6" numFmtId="169" xfId="0" applyFont="1" applyNumberFormat="1"/>
    <xf borderId="0" fillId="0" fontId="5" numFmtId="174" xfId="0" applyFont="1" applyNumberFormat="1"/>
    <xf borderId="0" fillId="0" fontId="5" numFmtId="165" xfId="0" applyFont="1" applyNumberFormat="1"/>
    <xf borderId="0" fillId="0" fontId="6" numFmtId="172" xfId="0" applyFont="1" applyNumberFormat="1"/>
    <xf borderId="0" fillId="0" fontId="10" numFmtId="170" xfId="0" applyFont="1" applyNumberFormat="1"/>
    <xf borderId="3" fillId="2" fontId="17" numFmtId="170" xfId="0" applyAlignment="1" applyBorder="1" applyFont="1" applyNumberFormat="1">
      <alignment readingOrder="0"/>
    </xf>
    <xf borderId="0" fillId="0" fontId="10" numFmtId="169" xfId="0" applyFont="1" applyNumberFormat="1"/>
    <xf borderId="2" fillId="0" fontId="10" numFmtId="169" xfId="0" applyBorder="1" applyFont="1" applyNumberFormat="1"/>
    <xf borderId="0" fillId="0" fontId="5" numFmtId="174" xfId="0" applyAlignment="1" applyFont="1" applyNumberFormat="1">
      <alignment horizontal="left"/>
    </xf>
    <xf borderId="0" fillId="0" fontId="6" numFmtId="165" xfId="0" applyFont="1" applyNumberFormat="1"/>
    <xf borderId="0" fillId="0" fontId="6" numFmtId="174" xfId="0" applyFont="1" applyNumberFormat="1"/>
    <xf borderId="0" fillId="0" fontId="5" numFmtId="0" xfId="0" applyAlignment="1" applyFont="1">
      <alignment readingOrder="0"/>
    </xf>
    <xf borderId="0" fillId="0" fontId="5" numFmtId="175" xfId="0" applyAlignment="1" applyFont="1" applyNumberFormat="1">
      <alignment readingOrder="0"/>
    </xf>
    <xf borderId="0" fillId="0" fontId="6" numFmtId="171" xfId="0" applyFont="1" applyNumberFormat="1"/>
    <xf borderId="0" fillId="0" fontId="15" numFmtId="171" xfId="0" applyFont="1" applyNumberFormat="1"/>
    <xf borderId="0" fillId="0" fontId="5" numFmtId="169" xfId="0" applyFont="1" applyNumberFormat="1"/>
    <xf borderId="2" fillId="0" fontId="10" numFmtId="169" xfId="0" applyAlignment="1" applyBorder="1" applyFont="1" applyNumberFormat="1">
      <alignment readingOrder="0"/>
    </xf>
    <xf borderId="0" fillId="0" fontId="18" numFmtId="0" xfId="0" applyFont="1"/>
    <xf borderId="0" fillId="0" fontId="19" numFmtId="174" xfId="0" applyAlignment="1" applyFont="1" applyNumberFormat="1">
      <alignment horizontal="right"/>
    </xf>
    <xf borderId="0" fillId="0" fontId="10" numFmtId="0" xfId="0" applyAlignment="1" applyFont="1">
      <alignment horizontal="left"/>
    </xf>
    <xf borderId="3" fillId="2" fontId="7" numFmtId="171" xfId="0" applyAlignment="1" applyBorder="1" applyFont="1" applyNumberFormat="1">
      <alignment horizontal="right"/>
    </xf>
    <xf borderId="0" fillId="0" fontId="7" numFmtId="171" xfId="0" applyAlignment="1" applyFont="1" applyNumberFormat="1">
      <alignment horizontal="right"/>
    </xf>
    <xf borderId="0" fillId="0" fontId="6" numFmtId="171" xfId="0" applyAlignment="1" applyFont="1" applyNumberFormat="1">
      <alignment horizontal="right"/>
    </xf>
    <xf borderId="0" fillId="0" fontId="5" numFmtId="174" xfId="0" applyAlignment="1" applyFont="1" applyNumberFormat="1">
      <alignment horizontal="right"/>
    </xf>
    <xf borderId="2" fillId="0" fontId="10" numFmtId="169" xfId="0" applyAlignment="1" applyBorder="1" applyFont="1" applyNumberFormat="1">
      <alignment horizontal="right"/>
    </xf>
    <xf borderId="0" fillId="0" fontId="5" numFmtId="169" xfId="0" applyAlignment="1" applyFont="1" applyNumberFormat="1">
      <alignment horizontal="right"/>
    </xf>
    <xf borderId="0" fillId="0" fontId="19" numFmtId="0" xfId="0" applyFont="1"/>
    <xf borderId="0" fillId="0" fontId="6" numFmtId="164" xfId="0" applyFont="1" applyNumberFormat="1"/>
    <xf borderId="0" fillId="0" fontId="20" numFmtId="0" xfId="0" applyAlignment="1" applyFont="1">
      <alignment readingOrder="0"/>
    </xf>
    <xf borderId="3" fillId="2" fontId="7" numFmtId="171" xfId="0" applyAlignment="1" applyBorder="1" applyFont="1" applyNumberFormat="1">
      <alignment horizontal="right" readingOrder="0"/>
    </xf>
    <xf borderId="0" fillId="0" fontId="6" numFmtId="170" xfId="0" applyFont="1" applyNumberFormat="1"/>
    <xf borderId="3" fillId="2" fontId="7" numFmtId="10" xfId="0" applyAlignment="1" applyBorder="1" applyFont="1" applyNumberFormat="1">
      <alignment horizontal="right" readingOrder="0"/>
    </xf>
    <xf borderId="0" fillId="0" fontId="5" numFmtId="176" xfId="0" applyFont="1" applyNumberFormat="1"/>
    <xf borderId="0" fillId="0" fontId="5" numFmtId="170" xfId="0" applyFont="1" applyNumberFormat="1"/>
    <xf quotePrefix="1" borderId="0" fillId="0" fontId="10" numFmtId="0" xfId="0" applyFont="1"/>
    <xf borderId="0" fillId="0" fontId="10" numFmtId="171" xfId="0" applyFont="1" applyNumberFormat="1"/>
    <xf borderId="0" fillId="0" fontId="8" numFmtId="174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10" numFmtId="169" xfId="0" applyAlignment="1" applyFont="1" applyNumberFormat="1">
      <alignment horizontal="right"/>
    </xf>
    <xf borderId="15" fillId="0" fontId="5" numFmtId="0" xfId="0" applyBorder="1" applyFont="1"/>
    <xf borderId="16" fillId="0" fontId="10" numFmtId="177" xfId="0" applyAlignment="1" applyBorder="1" applyFont="1" applyNumberFormat="1">
      <alignment horizontal="right"/>
    </xf>
    <xf borderId="5" fillId="0" fontId="5" numFmtId="0" xfId="0" applyAlignment="1" applyBorder="1" applyFont="1">
      <alignment horizontal="left"/>
    </xf>
    <xf borderId="0" fillId="0" fontId="5" numFmtId="178" xfId="0" applyAlignment="1" applyFont="1" applyNumberFormat="1">
      <alignment horizontal="right"/>
    </xf>
    <xf borderId="2" fillId="0" fontId="5" numFmtId="0" xfId="0" applyBorder="1" applyFont="1"/>
    <xf borderId="0" fillId="0" fontId="10" numFmtId="177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urufocus.com/term/wacc/NAS:MSFT/WACC-/Microsof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37.43"/>
    <col customWidth="1" min="3" max="3" width="25.14"/>
    <col customWidth="1" min="4" max="4" width="19.0"/>
    <col customWidth="1" min="5" max="5" width="12.29"/>
    <col customWidth="1" min="6" max="6" width="21.14"/>
    <col customWidth="1" min="7" max="10" width="12.29"/>
    <col customWidth="1" min="11" max="12" width="8.86"/>
    <col customWidth="1" min="13" max="13" width="22.0"/>
    <col customWidth="1" min="14" max="14" width="8.86"/>
    <col customWidth="1" min="15" max="15" width="18.71"/>
    <col customWidth="1" min="16" max="26" width="8.86"/>
  </cols>
  <sheetData>
    <row r="1" ht="12.75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B2" s="5"/>
      <c r="C2" s="5"/>
      <c r="D2" s="5"/>
    </row>
    <row r="3" ht="12.75" customHeight="1">
      <c r="A3" s="6"/>
      <c r="B3" s="7" t="s">
        <v>1</v>
      </c>
      <c r="C3" s="8"/>
      <c r="D3" s="9">
        <v>44039.0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6"/>
      <c r="B4" s="7" t="s">
        <v>2</v>
      </c>
      <c r="C4" s="8"/>
      <c r="D4" s="10">
        <v>204.4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6"/>
      <c r="B5" s="7" t="s">
        <v>3</v>
      </c>
      <c r="C5" s="8"/>
      <c r="D5" s="11">
        <v>7.65E9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6"/>
      <c r="B6" s="7"/>
      <c r="C6" s="8"/>
      <c r="D6" s="12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6"/>
      <c r="B7" s="13" t="s">
        <v>4</v>
      </c>
      <c r="C7" s="13"/>
      <c r="D7" s="13"/>
      <c r="E7" s="13"/>
      <c r="F7" s="13"/>
      <c r="G7" s="13"/>
      <c r="H7" s="13"/>
      <c r="I7" s="13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6"/>
      <c r="B8" s="7"/>
      <c r="C8" s="14"/>
      <c r="D8" s="15"/>
      <c r="E8" s="16"/>
      <c r="F8" s="17" t="s">
        <v>5</v>
      </c>
      <c r="G8" s="18"/>
      <c r="H8" s="18"/>
      <c r="I8" s="18"/>
      <c r="J8" s="1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7"/>
      <c r="C9" s="20">
        <v>43086.0</v>
      </c>
      <c r="D9" s="20">
        <v>43465.0</v>
      </c>
      <c r="E9" s="20">
        <v>43830.0</v>
      </c>
      <c r="F9" s="21">
        <f t="shared" ref="F9:J9" si="1">E9+365</f>
        <v>44195</v>
      </c>
      <c r="G9" s="21">
        <f t="shared" si="1"/>
        <v>44560</v>
      </c>
      <c r="H9" s="21">
        <f t="shared" si="1"/>
        <v>44925</v>
      </c>
      <c r="I9" s="21">
        <f t="shared" si="1"/>
        <v>45290</v>
      </c>
      <c r="J9" s="21">
        <f t="shared" si="1"/>
        <v>45655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6"/>
      <c r="B10" s="7" t="s">
        <v>6</v>
      </c>
      <c r="C10" s="22">
        <v>1.1036E11</v>
      </c>
      <c r="D10" s="23">
        <v>1.2584E11</v>
      </c>
      <c r="E10" s="24">
        <v>1.4302E11</v>
      </c>
      <c r="F10" s="25">
        <v>1.567E11</v>
      </c>
      <c r="G10" s="25">
        <v>1.746E11</v>
      </c>
      <c r="H10" s="25">
        <v>1.93136E11</v>
      </c>
      <c r="I10" s="25">
        <v>2.17416E11</v>
      </c>
      <c r="J10" s="25">
        <v>2.42847E11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26" t="s">
        <v>7</v>
      </c>
      <c r="C11" s="8"/>
      <c r="D11" s="27">
        <f t="shared" ref="D11:G11" si="2">D10/C10 -1</f>
        <v>0.1402682131</v>
      </c>
      <c r="E11" s="27">
        <f t="shared" si="2"/>
        <v>0.1365225683</v>
      </c>
      <c r="F11" s="28">
        <f t="shared" si="2"/>
        <v>0.09565095791</v>
      </c>
      <c r="G11" s="29">
        <f t="shared" si="2"/>
        <v>0.1142310147</v>
      </c>
      <c r="H11" s="29">
        <v>0.12</v>
      </c>
      <c r="I11" s="29">
        <v>0.13</v>
      </c>
      <c r="J11" s="29">
        <v>0.13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7"/>
      <c r="C12" s="8"/>
      <c r="D12" s="1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7" t="s">
        <v>8</v>
      </c>
      <c r="C13" s="30">
        <v>4.9468E10</v>
      </c>
      <c r="D13" s="30">
        <v>5.8056E10</v>
      </c>
      <c r="E13" s="30">
        <v>6.5755E10</v>
      </c>
      <c r="F13" s="31">
        <v>7.301601E10</v>
      </c>
      <c r="G13" s="31">
        <v>8.552379E10</v>
      </c>
      <c r="H13" s="31">
        <v>9.39747E10</v>
      </c>
      <c r="I13" s="31">
        <f t="shared" ref="I13:J13" si="3">I14*I10</f>
        <v>97837200000</v>
      </c>
      <c r="J13" s="31">
        <f t="shared" si="3"/>
        <v>109281150000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26" t="s">
        <v>9</v>
      </c>
      <c r="C14" s="27">
        <f t="shared" ref="C14:H14" si="4">C13/C10</f>
        <v>0.4482421167</v>
      </c>
      <c r="D14" s="27">
        <f t="shared" si="4"/>
        <v>0.4613477432</v>
      </c>
      <c r="E14" s="27">
        <f t="shared" si="4"/>
        <v>0.4597608726</v>
      </c>
      <c r="F14" s="29">
        <f t="shared" si="4"/>
        <v>0.4659604978</v>
      </c>
      <c r="G14" s="29">
        <f t="shared" si="4"/>
        <v>0.4898269759</v>
      </c>
      <c r="H14" s="29">
        <f t="shared" si="4"/>
        <v>0.4865726742</v>
      </c>
      <c r="I14" s="32">
        <f t="shared" ref="I14:J14" si="5">0.45</f>
        <v>0.45</v>
      </c>
      <c r="J14" s="32">
        <f t="shared" si="5"/>
        <v>0.45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7"/>
      <c r="C15" s="8"/>
      <c r="D15" s="12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7" t="s">
        <v>10</v>
      </c>
      <c r="C16" s="33">
        <v>3.5058E10</v>
      </c>
      <c r="D16" s="33">
        <v>4.2959E10</v>
      </c>
      <c r="E16" s="33">
        <v>5.2959E10</v>
      </c>
      <c r="F16" s="31">
        <v>5.913169E10</v>
      </c>
      <c r="G16" s="31">
        <v>6.681436E10</v>
      </c>
      <c r="H16" s="31">
        <v>7.478859E10</v>
      </c>
      <c r="I16" s="31">
        <v>8.3706E10</v>
      </c>
      <c r="J16" s="31">
        <v>9.6193E10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26" t="s">
        <v>11</v>
      </c>
      <c r="C17" s="27">
        <f t="shared" ref="C17:J17" si="6">C16/C10</f>
        <v>0.3176694455</v>
      </c>
      <c r="D17" s="27">
        <f t="shared" si="6"/>
        <v>0.3413779402</v>
      </c>
      <c r="E17" s="27">
        <f t="shared" si="6"/>
        <v>0.3702908684</v>
      </c>
      <c r="F17" s="29">
        <f t="shared" si="6"/>
        <v>0.3773560306</v>
      </c>
      <c r="G17" s="29">
        <f t="shared" si="6"/>
        <v>0.3826710195</v>
      </c>
      <c r="H17" s="29">
        <f t="shared" si="6"/>
        <v>0.387232779</v>
      </c>
      <c r="I17" s="32">
        <f t="shared" si="6"/>
        <v>0.3850038636</v>
      </c>
      <c r="J17" s="29">
        <f t="shared" si="6"/>
        <v>0.3961053668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7"/>
      <c r="C18" s="8"/>
      <c r="D18" s="12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7" t="s">
        <v>12</v>
      </c>
      <c r="C19" s="34">
        <f t="shared" ref="C19:J19" si="7">C13-C16</f>
        <v>14410000000</v>
      </c>
      <c r="D19" s="34">
        <f t="shared" si="7"/>
        <v>15097000000</v>
      </c>
      <c r="E19" s="34">
        <f t="shared" si="7"/>
        <v>12796000000</v>
      </c>
      <c r="F19" s="34">
        <f t="shared" si="7"/>
        <v>13884320000</v>
      </c>
      <c r="G19" s="34">
        <f t="shared" si="7"/>
        <v>18709430000</v>
      </c>
      <c r="H19" s="34">
        <f t="shared" si="7"/>
        <v>19186110000</v>
      </c>
      <c r="I19" s="34">
        <f t="shared" si="7"/>
        <v>14131200000</v>
      </c>
      <c r="J19" s="34">
        <f t="shared" si="7"/>
        <v>13088150000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26" t="s">
        <v>13</v>
      </c>
      <c r="C20" s="27">
        <f t="shared" ref="C20:J20" si="8">C19/C10</f>
        <v>0.1305726713</v>
      </c>
      <c r="D20" s="27">
        <f t="shared" si="8"/>
        <v>0.1199698029</v>
      </c>
      <c r="E20" s="27">
        <f t="shared" si="8"/>
        <v>0.0894700042</v>
      </c>
      <c r="F20" s="29">
        <f t="shared" si="8"/>
        <v>0.08860446713</v>
      </c>
      <c r="G20" s="29">
        <f t="shared" si="8"/>
        <v>0.1071559565</v>
      </c>
      <c r="H20" s="29">
        <f t="shared" si="8"/>
        <v>0.0993398952</v>
      </c>
      <c r="I20" s="29">
        <f t="shared" si="8"/>
        <v>0.06499613644</v>
      </c>
      <c r="J20" s="29">
        <f t="shared" si="8"/>
        <v>0.05389463325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7"/>
      <c r="C21" s="8"/>
      <c r="D21" s="1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13" t="s">
        <v>14</v>
      </c>
      <c r="C22" s="13"/>
      <c r="D22" s="13"/>
      <c r="E22" s="13"/>
      <c r="F22" s="13"/>
      <c r="G22" s="13"/>
      <c r="H22" s="13"/>
      <c r="I22" s="13"/>
      <c r="J22" s="1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7"/>
      <c r="C23" s="14"/>
      <c r="D23" s="15"/>
      <c r="E23" s="16"/>
      <c r="F23" s="17" t="s">
        <v>5</v>
      </c>
      <c r="G23" s="18"/>
      <c r="H23" s="18"/>
      <c r="I23" s="18"/>
      <c r="J23" s="1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7"/>
      <c r="C24" s="35">
        <f t="shared" ref="C24:E24" si="9">C9</f>
        <v>43086</v>
      </c>
      <c r="D24" s="35">
        <f t="shared" si="9"/>
        <v>43465</v>
      </c>
      <c r="E24" s="35">
        <f t="shared" si="9"/>
        <v>43830</v>
      </c>
      <c r="F24" s="21">
        <f t="shared" ref="F24:J24" si="10">E24+365</f>
        <v>44195</v>
      </c>
      <c r="G24" s="21">
        <f t="shared" si="10"/>
        <v>44560</v>
      </c>
      <c r="H24" s="21">
        <f t="shared" si="10"/>
        <v>44925</v>
      </c>
      <c r="I24" s="21">
        <f t="shared" si="10"/>
        <v>45290</v>
      </c>
      <c r="J24" s="21">
        <f t="shared" si="10"/>
        <v>45655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36" t="s">
        <v>15</v>
      </c>
      <c r="C25" s="30">
        <v>1.195E10</v>
      </c>
      <c r="D25" s="30">
        <v>1.136E10</v>
      </c>
      <c r="E25" s="30">
        <v>1.358E10</v>
      </c>
      <c r="F25" s="37">
        <f t="shared" ref="F25:J25" si="11">E25*(1+F36)</f>
        <v>13580000000</v>
      </c>
      <c r="G25" s="37">
        <f t="shared" si="11"/>
        <v>13580000000</v>
      </c>
      <c r="H25" s="37">
        <f t="shared" si="11"/>
        <v>13580000000</v>
      </c>
      <c r="I25" s="37">
        <f t="shared" si="11"/>
        <v>13580000000</v>
      </c>
      <c r="J25" s="37">
        <f t="shared" si="11"/>
        <v>13580000000</v>
      </c>
      <c r="K25" s="38" t="s">
        <v>16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39" t="s">
        <v>17</v>
      </c>
      <c r="C26" s="40">
        <v>2.6481E10</v>
      </c>
      <c r="D26" s="40">
        <v>2.9524E10</v>
      </c>
      <c r="E26" s="40">
        <v>3.2011E10</v>
      </c>
      <c r="F26" s="41">
        <f t="shared" ref="F26:J26" si="12">E26*(1+F37)</f>
        <v>34699924000</v>
      </c>
      <c r="G26" s="41">
        <f t="shared" si="12"/>
        <v>37614717616</v>
      </c>
      <c r="H26" s="41">
        <f t="shared" si="12"/>
        <v>40774353896</v>
      </c>
      <c r="I26" s="41">
        <f t="shared" si="12"/>
        <v>44199399623</v>
      </c>
      <c r="J26" s="41">
        <f t="shared" si="12"/>
        <v>47912149191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39" t="s">
        <v>18</v>
      </c>
      <c r="C27" s="40">
        <v>2.662E9</v>
      </c>
      <c r="D27" s="40">
        <v>2.063E9</v>
      </c>
      <c r="E27" s="40">
        <v>1.895E9</v>
      </c>
      <c r="F27" s="41">
        <f t="shared" ref="F27:J27" si="13">E27*(1+F38)</f>
        <v>1740681047</v>
      </c>
      <c r="G27" s="41">
        <f t="shared" si="13"/>
        <v>1598929028</v>
      </c>
      <c r="H27" s="41">
        <f t="shared" si="13"/>
        <v>1468720556</v>
      </c>
      <c r="I27" s="41">
        <f t="shared" si="13"/>
        <v>1349115586</v>
      </c>
      <c r="J27" s="41">
        <f t="shared" si="13"/>
        <v>1239250623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39" t="s">
        <v>19</v>
      </c>
      <c r="C28" s="33"/>
      <c r="D28" s="42"/>
      <c r="E28" s="42"/>
      <c r="F28" s="37"/>
      <c r="G28" s="37"/>
      <c r="H28" s="37"/>
      <c r="I28" s="37"/>
      <c r="J28" s="3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7"/>
      <c r="C29" s="8"/>
      <c r="D29" s="1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39" t="s">
        <v>20</v>
      </c>
      <c r="C30" s="30">
        <v>8.617E9</v>
      </c>
      <c r="D30" s="30">
        <v>9.382E9</v>
      </c>
      <c r="E30" s="30">
        <v>1.253E10</v>
      </c>
      <c r="F30" s="25">
        <f t="shared" ref="F30:J30" si="14">E30*(1+F40)</f>
        <v>13642388302</v>
      </c>
      <c r="G30" s="25">
        <f t="shared" si="14"/>
        <v>14853532210</v>
      </c>
      <c r="H30" s="25">
        <f t="shared" si="14"/>
        <v>16172199047</v>
      </c>
      <c r="I30" s="25">
        <f t="shared" si="14"/>
        <v>17607934486</v>
      </c>
      <c r="J30" s="25">
        <f t="shared" si="14"/>
        <v>19171131640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39" t="s">
        <v>21</v>
      </c>
      <c r="C31" s="40">
        <v>7.5E9</v>
      </c>
      <c r="D31" s="40">
        <v>6.83E9</v>
      </c>
      <c r="E31" s="40">
        <v>7.87E9</v>
      </c>
      <c r="F31" s="41">
        <f t="shared" ref="F31:J31" si="15">E31*(1+F41)</f>
        <v>9068360176</v>
      </c>
      <c r="G31" s="41">
        <f t="shared" si="15"/>
        <v>10449193936</v>
      </c>
      <c r="H31" s="41">
        <f t="shared" si="15"/>
        <v>12040286424</v>
      </c>
      <c r="I31" s="41">
        <f t="shared" si="15"/>
        <v>13873653610</v>
      </c>
      <c r="J31" s="41">
        <f t="shared" si="15"/>
        <v>15986186517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7"/>
      <c r="C32" s="8"/>
      <c r="D32" s="1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7" t="s">
        <v>22</v>
      </c>
      <c r="C33" s="40">
        <v>3.998E9</v>
      </c>
      <c r="D33" s="40">
        <v>5.516E9</v>
      </c>
      <c r="E33" s="40">
        <v>3.749E9</v>
      </c>
      <c r="F33" s="41">
        <f t="shared" ref="F33:J33" si="16">E33</f>
        <v>3749000000</v>
      </c>
      <c r="G33" s="41">
        <f t="shared" si="16"/>
        <v>3749000000</v>
      </c>
      <c r="H33" s="41">
        <f t="shared" si="16"/>
        <v>3749000000</v>
      </c>
      <c r="I33" s="41">
        <f t="shared" si="16"/>
        <v>3749000000</v>
      </c>
      <c r="J33" s="41">
        <f t="shared" si="16"/>
        <v>3749000000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7"/>
      <c r="C34" s="8"/>
      <c r="D34" s="1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7" t="s">
        <v>23</v>
      </c>
      <c r="C35" s="33">
        <v>-1.163E10</v>
      </c>
      <c r="D35" s="33">
        <v>-1.3925E10</v>
      </c>
      <c r="E35" s="33">
        <v>-1.5441E10</v>
      </c>
      <c r="F35" s="43">
        <v>-1.830445E10</v>
      </c>
      <c r="G35" s="43">
        <v>-2.03793E10</v>
      </c>
      <c r="H35" s="43">
        <v>-2.302676E10</v>
      </c>
      <c r="I35" s="43">
        <v>-2.472067E10</v>
      </c>
      <c r="J35" s="43">
        <v>-2.623533E10</v>
      </c>
      <c r="K35" s="44" t="s">
        <v>24</v>
      </c>
      <c r="L35" s="38" t="s">
        <v>25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7"/>
      <c r="C36" s="8"/>
      <c r="D36" s="1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45" t="s">
        <v>26</v>
      </c>
      <c r="C37" s="46"/>
      <c r="D37" s="29">
        <f t="shared" ref="D37:E37" si="17">D26/C26 -1</f>
        <v>0.1149125788</v>
      </c>
      <c r="E37" s="29">
        <f t="shared" si="17"/>
        <v>0.08423655331</v>
      </c>
      <c r="F37" s="29">
        <v>0.084</v>
      </c>
      <c r="G37" s="29">
        <v>0.084</v>
      </c>
      <c r="H37" s="29">
        <v>0.084</v>
      </c>
      <c r="I37" s="29">
        <v>0.084</v>
      </c>
      <c r="J37" s="29">
        <v>0.084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45" t="s">
        <v>27</v>
      </c>
      <c r="C38" s="46"/>
      <c r="D38" s="29">
        <f t="shared" ref="D38:E38" si="18">D27/C27 -1</f>
        <v>-0.2250187829</v>
      </c>
      <c r="E38" s="29">
        <f t="shared" si="18"/>
        <v>-0.08143480368</v>
      </c>
      <c r="F38" s="29">
        <f t="shared" ref="F38:J38" si="19">E38</f>
        <v>-0.08143480368</v>
      </c>
      <c r="G38" s="29">
        <f t="shared" si="19"/>
        <v>-0.08143480368</v>
      </c>
      <c r="H38" s="29">
        <f t="shared" si="19"/>
        <v>-0.08143480368</v>
      </c>
      <c r="I38" s="29">
        <f t="shared" si="19"/>
        <v>-0.08143480368</v>
      </c>
      <c r="J38" s="29">
        <f t="shared" si="19"/>
        <v>-0.08143480368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45" t="s">
        <v>28</v>
      </c>
      <c r="C39" s="46"/>
      <c r="D39" s="47" t="s">
        <v>29</v>
      </c>
      <c r="E39" s="47" t="s">
        <v>29</v>
      </c>
      <c r="F39" s="47" t="s">
        <v>29</v>
      </c>
      <c r="G39" s="47" t="s">
        <v>29</v>
      </c>
      <c r="H39" s="47" t="s">
        <v>29</v>
      </c>
      <c r="I39" s="47" t="s">
        <v>29</v>
      </c>
      <c r="J39" s="47" t="s">
        <v>29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45" t="s">
        <v>30</v>
      </c>
      <c r="C40" s="46"/>
      <c r="D40" s="29">
        <f t="shared" ref="D40:E40" si="20">D30/C30 -1</f>
        <v>0.08877799698</v>
      </c>
      <c r="E40" s="29">
        <f t="shared" si="20"/>
        <v>0.335536133</v>
      </c>
      <c r="F40" s="29">
        <f>D40</f>
        <v>0.08877799698</v>
      </c>
      <c r="G40" s="29">
        <f>D40</f>
        <v>0.08877799698</v>
      </c>
      <c r="H40" s="29">
        <f t="shared" ref="H40:J40" si="21">F40</f>
        <v>0.08877799698</v>
      </c>
      <c r="I40" s="29">
        <f t="shared" si="21"/>
        <v>0.08877799698</v>
      </c>
      <c r="J40" s="29">
        <f t="shared" si="21"/>
        <v>0.08877799698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45" t="s">
        <v>31</v>
      </c>
      <c r="C41" s="46"/>
      <c r="D41" s="29">
        <f t="shared" ref="D41:E41" si="22">D31/C31 -1</f>
        <v>-0.08933333333</v>
      </c>
      <c r="E41" s="29">
        <f t="shared" si="22"/>
        <v>0.1522693997</v>
      </c>
      <c r="F41" s="29">
        <f t="shared" ref="F41:J41" si="23">E41</f>
        <v>0.1522693997</v>
      </c>
      <c r="G41" s="29">
        <f t="shared" si="23"/>
        <v>0.1522693997</v>
      </c>
      <c r="H41" s="29">
        <f t="shared" si="23"/>
        <v>0.1522693997</v>
      </c>
      <c r="I41" s="29">
        <f t="shared" si="23"/>
        <v>0.1522693997</v>
      </c>
      <c r="J41" s="29">
        <f t="shared" si="23"/>
        <v>0.1522693997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26" t="s">
        <v>32</v>
      </c>
      <c r="C42" s="46"/>
      <c r="D42" s="29">
        <f t="shared" ref="D42:J42" si="24">D35/C35 -1</f>
        <v>0.1973344798</v>
      </c>
      <c r="E42" s="29">
        <f t="shared" si="24"/>
        <v>0.1088689408</v>
      </c>
      <c r="F42" s="29">
        <f t="shared" si="24"/>
        <v>0.1854445956</v>
      </c>
      <c r="G42" s="29">
        <f t="shared" si="24"/>
        <v>0.1133522176</v>
      </c>
      <c r="H42" s="29">
        <f t="shared" si="24"/>
        <v>0.1299092707</v>
      </c>
      <c r="I42" s="29">
        <f t="shared" si="24"/>
        <v>0.0735626723</v>
      </c>
      <c r="J42" s="29">
        <f t="shared" si="24"/>
        <v>0.06127099306</v>
      </c>
      <c r="K42" s="38" t="s">
        <v>33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26"/>
      <c r="C43" s="46"/>
      <c r="D43" s="48"/>
      <c r="E43" s="49"/>
      <c r="F43" s="49"/>
      <c r="G43" s="49"/>
      <c r="H43" s="49"/>
      <c r="I43" s="49"/>
      <c r="J43" s="49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50"/>
      <c r="B44" s="13" t="s">
        <v>34</v>
      </c>
      <c r="C44" s="13"/>
      <c r="D44" s="13"/>
      <c r="E44" s="13"/>
      <c r="F44" s="13"/>
      <c r="G44" s="13"/>
      <c r="H44" s="13"/>
      <c r="I44" s="13"/>
      <c r="J44" s="13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>
      <c r="A45" s="50"/>
      <c r="B45" s="51" t="s">
        <v>35</v>
      </c>
      <c r="C45" s="52"/>
      <c r="D45" s="15"/>
      <c r="E45" s="53"/>
      <c r="F45" s="17" t="s">
        <v>5</v>
      </c>
      <c r="G45" s="18"/>
      <c r="H45" s="18"/>
      <c r="I45" s="18"/>
      <c r="J45" s="19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>
      <c r="A46" s="50"/>
      <c r="B46" s="54"/>
      <c r="C46" s="55">
        <f t="shared" ref="C46:E46" si="25">C9</f>
        <v>43086</v>
      </c>
      <c r="D46" s="55">
        <f t="shared" si="25"/>
        <v>43465</v>
      </c>
      <c r="E46" s="55">
        <f t="shared" si="25"/>
        <v>43830</v>
      </c>
      <c r="F46" s="21">
        <f t="shared" ref="F46:J46" si="26">E46+365</f>
        <v>44195</v>
      </c>
      <c r="G46" s="21">
        <f t="shared" si="26"/>
        <v>44560</v>
      </c>
      <c r="H46" s="21">
        <f t="shared" si="26"/>
        <v>44925</v>
      </c>
      <c r="I46" s="21">
        <f t="shared" si="26"/>
        <v>45290</v>
      </c>
      <c r="J46" s="21">
        <f t="shared" si="26"/>
        <v>45655</v>
      </c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2.75" customHeight="1">
      <c r="A47" s="50"/>
      <c r="B47" s="56" t="s">
        <v>36</v>
      </c>
      <c r="C47" s="57"/>
      <c r="D47" s="57"/>
      <c r="E47" s="57"/>
      <c r="F47" s="58">
        <v>1.0</v>
      </c>
      <c r="G47" s="58">
        <f t="shared" ref="G47:J47" si="27">F47+1</f>
        <v>2</v>
      </c>
      <c r="H47" s="58">
        <f t="shared" si="27"/>
        <v>3</v>
      </c>
      <c r="I47" s="58">
        <f t="shared" si="27"/>
        <v>4</v>
      </c>
      <c r="J47" s="58">
        <f t="shared" si="27"/>
        <v>5</v>
      </c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2.75" customHeight="1">
      <c r="A48" s="50"/>
      <c r="B48" s="50" t="s">
        <v>37</v>
      </c>
      <c r="C48" s="59"/>
      <c r="D48" s="59"/>
      <c r="E48" s="60"/>
      <c r="F48" s="60">
        <f t="shared" ref="F48:J48" si="28">F10</f>
        <v>156700000000</v>
      </c>
      <c r="G48" s="60">
        <f t="shared" si="28"/>
        <v>174600000000</v>
      </c>
      <c r="H48" s="60">
        <f t="shared" si="28"/>
        <v>193136000000</v>
      </c>
      <c r="I48" s="60">
        <f t="shared" si="28"/>
        <v>217416000000</v>
      </c>
      <c r="J48" s="60">
        <f t="shared" si="28"/>
        <v>242847000000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2.75" customHeight="1">
      <c r="A49" s="50"/>
      <c r="B49" s="61" t="s">
        <v>8</v>
      </c>
      <c r="C49" s="62"/>
      <c r="D49" s="62"/>
      <c r="E49" s="62"/>
      <c r="F49" s="31">
        <f t="shared" ref="F49:J49" si="29">F13</f>
        <v>73016010000</v>
      </c>
      <c r="G49" s="31">
        <f t="shared" si="29"/>
        <v>85523790000</v>
      </c>
      <c r="H49" s="31">
        <f t="shared" si="29"/>
        <v>93974700000</v>
      </c>
      <c r="I49" s="31">
        <f t="shared" si="29"/>
        <v>97837200000</v>
      </c>
      <c r="J49" s="31">
        <f t="shared" si="29"/>
        <v>109281150000</v>
      </c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2.75" customHeight="1">
      <c r="A50" s="50"/>
      <c r="B50" s="50" t="s">
        <v>10</v>
      </c>
      <c r="C50" s="62"/>
      <c r="D50" s="62"/>
      <c r="E50" s="62"/>
      <c r="F50" s="63">
        <f t="shared" ref="F50:J50" si="30">F16</f>
        <v>59131690000</v>
      </c>
      <c r="G50" s="63">
        <f t="shared" si="30"/>
        <v>66814360000</v>
      </c>
      <c r="H50" s="63">
        <f t="shared" si="30"/>
        <v>74788590000</v>
      </c>
      <c r="I50" s="63">
        <f t="shared" si="30"/>
        <v>83706000000</v>
      </c>
      <c r="J50" s="63">
        <f t="shared" si="30"/>
        <v>96193000000</v>
      </c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2.75" customHeight="1">
      <c r="A51" s="50"/>
      <c r="B51" s="50" t="s">
        <v>38</v>
      </c>
      <c r="C51" s="64"/>
      <c r="D51" s="64"/>
      <c r="E51" s="64"/>
      <c r="F51" s="65">
        <v>0.2</v>
      </c>
      <c r="G51" s="65">
        <v>0.2</v>
      </c>
      <c r="H51" s="65">
        <v>0.2</v>
      </c>
      <c r="I51" s="65">
        <v>0.2</v>
      </c>
      <c r="J51" s="65">
        <v>0.2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2.75" customHeight="1">
      <c r="A52" s="50"/>
      <c r="B52" s="54" t="s">
        <v>39</v>
      </c>
      <c r="C52" s="66"/>
      <c r="D52" s="66"/>
      <c r="E52" s="66"/>
      <c r="F52" s="67">
        <f t="shared" ref="F52:J52" si="31">F50*(1-F51)</f>
        <v>47305352000</v>
      </c>
      <c r="G52" s="67">
        <f t="shared" si="31"/>
        <v>53451488000</v>
      </c>
      <c r="H52" s="67">
        <f t="shared" si="31"/>
        <v>59830872000</v>
      </c>
      <c r="I52" s="67">
        <f t="shared" si="31"/>
        <v>66964800000</v>
      </c>
      <c r="J52" s="67">
        <f t="shared" si="31"/>
        <v>76954400000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2.75" customHeight="1">
      <c r="A53" s="50"/>
      <c r="B53" s="68" t="s">
        <v>40</v>
      </c>
      <c r="C53" s="69"/>
      <c r="D53" s="69"/>
      <c r="E53" s="69"/>
      <c r="F53" s="70">
        <f t="shared" ref="F53:J53" si="32">F19</f>
        <v>13884320000</v>
      </c>
      <c r="G53" s="70">
        <f t="shared" si="32"/>
        <v>18709430000</v>
      </c>
      <c r="H53" s="70">
        <f t="shared" si="32"/>
        <v>19186110000</v>
      </c>
      <c r="I53" s="70">
        <f t="shared" si="32"/>
        <v>14131200000</v>
      </c>
      <c r="J53" s="70">
        <f t="shared" si="32"/>
        <v>13088150000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2.75" customHeight="1">
      <c r="A54" s="50"/>
      <c r="B54" s="39" t="s">
        <v>41</v>
      </c>
      <c r="C54" s="69"/>
      <c r="D54" s="69"/>
      <c r="E54" s="69"/>
      <c r="F54" s="69">
        <f t="shared" ref="F54:J54" si="33">E26-F26</f>
        <v>-2688924000</v>
      </c>
      <c r="G54" s="69">
        <f t="shared" si="33"/>
        <v>-2914793616</v>
      </c>
      <c r="H54" s="69">
        <f t="shared" si="33"/>
        <v>-3159636280</v>
      </c>
      <c r="I54" s="69">
        <f t="shared" si="33"/>
        <v>-3425045727</v>
      </c>
      <c r="J54" s="69">
        <f t="shared" si="33"/>
        <v>-3712749568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2.75" customHeight="1">
      <c r="A55" s="50"/>
      <c r="B55" s="39" t="s">
        <v>18</v>
      </c>
      <c r="C55" s="69"/>
      <c r="D55" s="69"/>
      <c r="E55" s="69"/>
      <c r="F55" s="69">
        <f t="shared" ref="F55:J55" si="34">E27-F27</f>
        <v>154318953</v>
      </c>
      <c r="G55" s="69">
        <f t="shared" si="34"/>
        <v>141752019.3</v>
      </c>
      <c r="H55" s="69">
        <f t="shared" si="34"/>
        <v>130208471.5</v>
      </c>
      <c r="I55" s="69">
        <f t="shared" si="34"/>
        <v>119604970.2</v>
      </c>
      <c r="J55" s="69">
        <f t="shared" si="34"/>
        <v>109864962.9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2.75" customHeight="1">
      <c r="A56" s="50"/>
      <c r="B56" s="39" t="s">
        <v>42</v>
      </c>
      <c r="C56" s="69"/>
      <c r="D56" s="69"/>
      <c r="E56" s="69"/>
      <c r="F56" s="69">
        <f t="shared" ref="F56:J56" si="35">E28-F28</f>
        <v>0</v>
      </c>
      <c r="G56" s="69">
        <f t="shared" si="35"/>
        <v>0</v>
      </c>
      <c r="H56" s="69">
        <f t="shared" si="35"/>
        <v>0</v>
      </c>
      <c r="I56" s="69">
        <f t="shared" si="35"/>
        <v>0</v>
      </c>
      <c r="J56" s="69">
        <f t="shared" si="35"/>
        <v>0</v>
      </c>
      <c r="K56" s="50"/>
      <c r="L56" s="50"/>
      <c r="M56" s="71" t="s">
        <v>43</v>
      </c>
      <c r="N56" s="50"/>
      <c r="O56" s="71">
        <v>1.0</v>
      </c>
      <c r="P56" s="71">
        <v>2.0</v>
      </c>
      <c r="Q56" s="71">
        <v>3.0</v>
      </c>
      <c r="R56" s="71">
        <v>4.0</v>
      </c>
      <c r="S56" s="71">
        <v>5.0</v>
      </c>
      <c r="T56" s="50"/>
      <c r="U56" s="50"/>
      <c r="V56" s="50"/>
      <c r="W56" s="50"/>
      <c r="X56" s="50"/>
      <c r="Y56" s="50"/>
      <c r="Z56" s="50"/>
    </row>
    <row r="57" ht="12.75" customHeight="1">
      <c r="A57" s="50"/>
      <c r="B57" s="39" t="s">
        <v>44</v>
      </c>
      <c r="C57" s="69"/>
      <c r="D57" s="69"/>
      <c r="E57" s="69"/>
      <c r="F57" s="69">
        <f t="shared" ref="F57:J57" si="36">F30-E30</f>
        <v>1112388302</v>
      </c>
      <c r="G57" s="69">
        <f t="shared" si="36"/>
        <v>1211143908</v>
      </c>
      <c r="H57" s="69">
        <f t="shared" si="36"/>
        <v>1318666838</v>
      </c>
      <c r="I57" s="69">
        <f t="shared" si="36"/>
        <v>1435735438</v>
      </c>
      <c r="J57" s="69">
        <f t="shared" si="36"/>
        <v>1563197155</v>
      </c>
      <c r="K57" s="50"/>
      <c r="L57" s="50"/>
      <c r="M57" s="50"/>
      <c r="N57" s="72"/>
      <c r="O57" s="72">
        <v>44348.0</v>
      </c>
      <c r="P57" s="72">
        <v>44713.0</v>
      </c>
      <c r="Q57" s="72">
        <v>45078.0</v>
      </c>
      <c r="R57" s="72">
        <v>45444.0</v>
      </c>
      <c r="S57" s="72">
        <v>45809.0</v>
      </c>
      <c r="T57" s="50"/>
      <c r="U57" s="50"/>
      <c r="V57" s="50"/>
      <c r="W57" s="50"/>
      <c r="X57" s="50"/>
      <c r="Y57" s="50"/>
      <c r="Z57" s="50"/>
    </row>
    <row r="58" ht="12.75" customHeight="1">
      <c r="A58" s="50"/>
      <c r="B58" s="39" t="s">
        <v>45</v>
      </c>
      <c r="C58" s="69"/>
      <c r="D58" s="69"/>
      <c r="E58" s="69"/>
      <c r="F58" s="69">
        <f t="shared" ref="F58:J58" si="37">F31-E31</f>
        <v>1198360176</v>
      </c>
      <c r="G58" s="69">
        <f t="shared" si="37"/>
        <v>1380833760</v>
      </c>
      <c r="H58" s="69">
        <f t="shared" si="37"/>
        <v>1591092488</v>
      </c>
      <c r="I58" s="69">
        <f t="shared" si="37"/>
        <v>1833367186</v>
      </c>
      <c r="J58" s="69">
        <f t="shared" si="37"/>
        <v>2112532907</v>
      </c>
      <c r="K58" s="50"/>
      <c r="L58" s="50"/>
      <c r="M58" s="71" t="s">
        <v>46</v>
      </c>
      <c r="N58" s="71"/>
      <c r="O58" s="71">
        <v>5.774E10</v>
      </c>
      <c r="P58" s="71">
        <v>5.9033E10</v>
      </c>
      <c r="Q58" s="71">
        <v>6.4762E10</v>
      </c>
      <c r="R58" s="71">
        <v>7.8793E10</v>
      </c>
      <c r="S58" s="71">
        <v>9.3239E10</v>
      </c>
      <c r="T58" s="50"/>
      <c r="U58" s="50"/>
      <c r="V58" s="50"/>
      <c r="W58" s="50"/>
      <c r="X58" s="50"/>
      <c r="Y58" s="50"/>
      <c r="Z58" s="50"/>
    </row>
    <row r="59" ht="12.75" customHeight="1">
      <c r="A59" s="50"/>
      <c r="B59" s="68" t="s">
        <v>47</v>
      </c>
      <c r="C59" s="69"/>
      <c r="D59" s="69"/>
      <c r="E59" s="69"/>
      <c r="F59" s="69">
        <f t="shared" ref="F59:J59" si="38">E35-F35</f>
        <v>2863450000</v>
      </c>
      <c r="G59" s="69">
        <f t="shared" si="38"/>
        <v>2074850000</v>
      </c>
      <c r="H59" s="69">
        <f t="shared" si="38"/>
        <v>2647460000</v>
      </c>
      <c r="I59" s="69">
        <f t="shared" si="38"/>
        <v>1693910000</v>
      </c>
      <c r="J59" s="69">
        <f t="shared" si="38"/>
        <v>1514660000</v>
      </c>
      <c r="K59" s="50"/>
      <c r="L59" s="50"/>
      <c r="M59" s="71" t="s">
        <v>48</v>
      </c>
      <c r="N59" s="71"/>
      <c r="O59" s="71">
        <v>4.834069E10</v>
      </c>
      <c r="P59" s="71">
        <v>5.264554E10</v>
      </c>
      <c r="Q59" s="71">
        <v>6.020325E10</v>
      </c>
      <c r="R59" s="71">
        <v>6.90435E10</v>
      </c>
      <c r="S59" s="71">
        <v>8.213225E10</v>
      </c>
      <c r="T59" s="50"/>
      <c r="U59" s="50"/>
      <c r="V59" s="50"/>
      <c r="W59" s="50"/>
      <c r="X59" s="50"/>
      <c r="Y59" s="50"/>
      <c r="Z59" s="50"/>
    </row>
    <row r="60" ht="12.75" customHeight="1">
      <c r="A60" s="50"/>
      <c r="B60" s="54" t="s">
        <v>49</v>
      </c>
      <c r="C60" s="66"/>
      <c r="D60" s="66"/>
      <c r="E60" s="66"/>
      <c r="F60" s="67">
        <f t="shared" ref="F60:J60" si="39">SUM(F52:F59)</f>
        <v>63829265431</v>
      </c>
      <c r="G60" s="67">
        <f t="shared" si="39"/>
        <v>74054704071</v>
      </c>
      <c r="H60" s="67">
        <f t="shared" si="39"/>
        <v>81544773517</v>
      </c>
      <c r="I60" s="67">
        <f t="shared" si="39"/>
        <v>82753571867</v>
      </c>
      <c r="J60" s="67">
        <f t="shared" si="39"/>
        <v>91630055456</v>
      </c>
      <c r="K60" s="50"/>
      <c r="L60" s="50"/>
      <c r="M60" s="71" t="s">
        <v>50</v>
      </c>
      <c r="N60" s="71"/>
      <c r="O60" s="71">
        <v>3.9549E10</v>
      </c>
      <c r="P60" s="71">
        <v>4.1567E10</v>
      </c>
      <c r="Q60" s="71">
        <v>5.1638E10</v>
      </c>
      <c r="R60" s="71">
        <v>5.6085E10</v>
      </c>
      <c r="S60" s="71">
        <v>6.7207E10</v>
      </c>
      <c r="T60" s="50"/>
      <c r="U60" s="50"/>
      <c r="V60" s="50"/>
      <c r="W60" s="50"/>
      <c r="X60" s="50"/>
      <c r="Y60" s="50"/>
      <c r="Z60" s="50"/>
    </row>
    <row r="61" ht="12.75" customHeight="1">
      <c r="A61" s="50"/>
      <c r="B61" s="39" t="s">
        <v>51</v>
      </c>
      <c r="C61" s="73"/>
      <c r="D61" s="74"/>
      <c r="E61" s="74"/>
      <c r="F61" s="74">
        <f t="shared" ref="F61:J61" si="40">$D$88</f>
        <v>0.05553589854</v>
      </c>
      <c r="G61" s="74">
        <f t="shared" si="40"/>
        <v>0.05553589854</v>
      </c>
      <c r="H61" s="74">
        <f t="shared" si="40"/>
        <v>0.05553589854</v>
      </c>
      <c r="I61" s="74">
        <f t="shared" si="40"/>
        <v>0.05553589854</v>
      </c>
      <c r="J61" s="74">
        <f t="shared" si="40"/>
        <v>0.05553589854</v>
      </c>
      <c r="K61" s="50"/>
      <c r="L61" s="50"/>
      <c r="M61" s="71" t="s">
        <v>52</v>
      </c>
      <c r="N61" s="71"/>
      <c r="O61" s="71">
        <v>13.0</v>
      </c>
      <c r="P61" s="71">
        <v>17.0</v>
      </c>
      <c r="Q61" s="71">
        <v>4.0</v>
      </c>
      <c r="R61" s="71">
        <v>4.0</v>
      </c>
      <c r="S61" s="71">
        <v>4.0</v>
      </c>
      <c r="T61" s="50"/>
      <c r="U61" s="50"/>
      <c r="V61" s="50"/>
      <c r="W61" s="50"/>
      <c r="X61" s="50"/>
      <c r="Y61" s="50"/>
      <c r="Z61" s="50"/>
    </row>
    <row r="62" ht="12.75" customHeight="1">
      <c r="A62" s="50"/>
      <c r="B62" s="39" t="s">
        <v>53</v>
      </c>
      <c r="C62" s="75"/>
      <c r="D62" s="75"/>
      <c r="E62" s="75"/>
      <c r="F62" s="75">
        <f t="shared" ref="F62:J62" si="41">F60/(1+F61)^F47</f>
        <v>60470956525</v>
      </c>
      <c r="G62" s="75">
        <f t="shared" si="41"/>
        <v>66467085283</v>
      </c>
      <c r="H62" s="75">
        <f t="shared" si="41"/>
        <v>69338925340</v>
      </c>
      <c r="I62" s="75">
        <f t="shared" si="41"/>
        <v>66664513725</v>
      </c>
      <c r="J62" s="75">
        <f t="shared" si="41"/>
        <v>69931510445</v>
      </c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2.75" customHeight="1">
      <c r="A63" s="50"/>
      <c r="B63" s="54" t="s">
        <v>54</v>
      </c>
      <c r="C63" s="67">
        <f>SUM(F62:J62)</f>
        <v>332872991317</v>
      </c>
      <c r="D63" s="75" t="s">
        <v>55</v>
      </c>
      <c r="E63" s="50"/>
      <c r="F63" s="50"/>
      <c r="G63" s="50"/>
      <c r="H63" s="50"/>
      <c r="I63" s="50"/>
      <c r="J63" s="50"/>
      <c r="K63" s="50"/>
      <c r="L63" s="50"/>
      <c r="M63" s="76" t="s">
        <v>56</v>
      </c>
      <c r="N63" s="50"/>
      <c r="O63" s="67">
        <f t="shared" ref="O63:S63" si="42">O60/(1+F61)^O56</f>
        <v>37468171433</v>
      </c>
      <c r="P63" s="67">
        <f t="shared" si="42"/>
        <v>37308059881</v>
      </c>
      <c r="Q63" s="67">
        <f t="shared" si="42"/>
        <v>43908680744</v>
      </c>
      <c r="R63" s="67">
        <f t="shared" si="42"/>
        <v>45180880630</v>
      </c>
      <c r="S63" s="67">
        <f t="shared" si="42"/>
        <v>51291980553</v>
      </c>
      <c r="T63" s="50"/>
      <c r="U63" s="50"/>
      <c r="V63" s="50"/>
      <c r="W63" s="50"/>
      <c r="X63" s="50"/>
      <c r="Y63" s="50"/>
      <c r="Z63" s="50"/>
    </row>
    <row r="64" ht="12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71" t="s">
        <v>57</v>
      </c>
      <c r="N64" s="50"/>
      <c r="O64" s="67">
        <f>SUM(O63:S63)</f>
        <v>215157773240</v>
      </c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2.75" customHeight="1">
      <c r="A65" s="50"/>
      <c r="B65" s="13" t="s">
        <v>58</v>
      </c>
      <c r="C65" s="13"/>
      <c r="D65" s="13"/>
      <c r="E65" s="13"/>
      <c r="F65" s="13"/>
      <c r="G65" s="13"/>
      <c r="H65" s="13"/>
      <c r="I65" s="13"/>
      <c r="J65" s="13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2.75" customHeight="1">
      <c r="A66" s="50"/>
      <c r="B66" s="77" t="s">
        <v>59</v>
      </c>
      <c r="C66" s="78"/>
      <c r="D66" s="50"/>
      <c r="E66" s="50"/>
      <c r="F66" s="79"/>
      <c r="G66" s="78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2.75" customHeight="1">
      <c r="A67" s="50"/>
      <c r="B67" s="50" t="s">
        <v>60</v>
      </c>
      <c r="C67" s="80">
        <v>0.04</v>
      </c>
      <c r="D67" s="50"/>
      <c r="E67" s="50"/>
      <c r="F67" s="39"/>
      <c r="G67" s="81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2.75" customHeight="1">
      <c r="A68" s="50"/>
      <c r="B68" s="50" t="s">
        <v>61</v>
      </c>
      <c r="C68" s="82">
        <f>$D$88</f>
        <v>0.05553589854</v>
      </c>
      <c r="D68" s="50"/>
      <c r="E68" s="50"/>
      <c r="F68" s="39"/>
      <c r="G68" s="81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2.75" customHeight="1">
      <c r="A69" s="50"/>
      <c r="B69" s="50" t="s">
        <v>62</v>
      </c>
      <c r="C69" s="83">
        <f>J60*(1+C67)</f>
        <v>95295257674</v>
      </c>
      <c r="D69" s="50"/>
      <c r="E69" s="50"/>
      <c r="F69" s="84">
        <f>S60*(1+C67)</f>
        <v>69895280000</v>
      </c>
      <c r="G69" s="83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2.75" customHeight="1">
      <c r="A70" s="50"/>
      <c r="B70" s="50" t="s">
        <v>58</v>
      </c>
      <c r="C70" s="83">
        <f>C69/(C68-C67)</f>
        <v>6133874871044</v>
      </c>
      <c r="D70" s="50"/>
      <c r="E70" s="50"/>
      <c r="F70" s="84">
        <f>F69/(C68-C67)</f>
        <v>4498953169962</v>
      </c>
      <c r="G70" s="83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2.75" customHeight="1">
      <c r="A71" s="50"/>
      <c r="B71" s="54" t="s">
        <v>63</v>
      </c>
      <c r="C71" s="84">
        <f>C70/(1+J61)^J47</f>
        <v>4681336625630</v>
      </c>
      <c r="D71" s="50" t="s">
        <v>64</v>
      </c>
      <c r="E71" s="50"/>
      <c r="F71" s="84">
        <f>F70/(1+J61)^J47</f>
        <v>3433574158964</v>
      </c>
      <c r="G71" s="85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2.75" customHeight="1">
      <c r="A72" s="50"/>
      <c r="B72" s="50"/>
      <c r="C72" s="8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2.75" customHeight="1">
      <c r="A73" s="50"/>
      <c r="B73" s="13" t="s">
        <v>61</v>
      </c>
      <c r="C73" s="13"/>
      <c r="D73" s="13"/>
      <c r="E73" s="13"/>
      <c r="F73" s="13"/>
      <c r="G73" s="13"/>
      <c r="H73" s="13"/>
      <c r="I73" s="13"/>
      <c r="J73" s="13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2.75" customHeight="1">
      <c r="A74" s="50"/>
      <c r="B74" s="50" t="s">
        <v>65</v>
      </c>
      <c r="C74" s="50"/>
      <c r="D74" s="87">
        <f t="shared" ref="D74:D75" si="43">D4</f>
        <v>204.4</v>
      </c>
      <c r="E74" s="50"/>
      <c r="F74" s="88" t="s">
        <v>66</v>
      </c>
      <c r="G74" s="50"/>
      <c r="H74" s="50"/>
      <c r="I74" s="50"/>
      <c r="J74" s="50"/>
      <c r="K74" s="50"/>
      <c r="L74" s="50"/>
      <c r="T74" s="50"/>
      <c r="U74" s="50"/>
      <c r="V74" s="50"/>
      <c r="W74" s="50"/>
      <c r="X74" s="50"/>
      <c r="Y74" s="50"/>
      <c r="Z74" s="50"/>
    </row>
    <row r="75" ht="12.75" customHeight="1">
      <c r="A75" s="50"/>
      <c r="B75" s="50" t="s">
        <v>3</v>
      </c>
      <c r="C75" s="50"/>
      <c r="D75" s="69">
        <f t="shared" si="43"/>
        <v>7650000000</v>
      </c>
      <c r="E75" s="50"/>
      <c r="F75" s="50"/>
      <c r="G75" s="50"/>
      <c r="H75" s="50"/>
      <c r="I75" s="50"/>
      <c r="J75" s="50"/>
      <c r="K75" s="50"/>
      <c r="L75" s="50"/>
      <c r="T75" s="50"/>
      <c r="U75" s="50"/>
      <c r="V75" s="50"/>
      <c r="W75" s="50"/>
      <c r="X75" s="50"/>
      <c r="Y75" s="50"/>
      <c r="Z75" s="50"/>
    </row>
    <row r="76" ht="12.75" customHeight="1">
      <c r="A76" s="50"/>
      <c r="B76" s="50" t="s">
        <v>67</v>
      </c>
      <c r="C76" s="50"/>
      <c r="D76" s="89">
        <v>0.036</v>
      </c>
      <c r="E76" s="50"/>
      <c r="F76" s="50"/>
      <c r="G76" s="50"/>
      <c r="H76" s="50"/>
      <c r="I76" s="50"/>
      <c r="J76" s="50"/>
      <c r="K76" s="50"/>
      <c r="L76" s="50"/>
      <c r="T76" s="50"/>
      <c r="U76" s="50"/>
      <c r="V76" s="50"/>
      <c r="W76" s="50"/>
      <c r="X76" s="50"/>
      <c r="Y76" s="50"/>
      <c r="Z76" s="50"/>
    </row>
    <row r="77" ht="12.75" customHeight="1">
      <c r="A77" s="50"/>
      <c r="B77" s="50" t="s">
        <v>68</v>
      </c>
      <c r="C77" s="50"/>
      <c r="D77" s="89">
        <v>0.2</v>
      </c>
      <c r="E77" s="50"/>
      <c r="F77" s="50"/>
      <c r="G77" s="50"/>
      <c r="H77" s="50"/>
      <c r="I77" s="50"/>
      <c r="J77" s="50"/>
      <c r="K77" s="50"/>
      <c r="L77" s="50"/>
      <c r="T77" s="50"/>
      <c r="U77" s="50"/>
      <c r="V77" s="50"/>
      <c r="W77" s="50"/>
      <c r="X77" s="50"/>
      <c r="Y77" s="50"/>
      <c r="Z77" s="50"/>
    </row>
    <row r="78" ht="12.75" customHeight="1">
      <c r="A78" s="50"/>
      <c r="B78" s="50" t="s">
        <v>69</v>
      </c>
      <c r="C78" s="50"/>
      <c r="D78" s="90">
        <f>D76*(1-D77)</f>
        <v>0.0288</v>
      </c>
      <c r="E78" s="50"/>
      <c r="F78" s="50"/>
      <c r="G78" s="50"/>
      <c r="H78" s="50"/>
      <c r="I78" s="50"/>
      <c r="J78" s="50"/>
      <c r="K78" s="50"/>
      <c r="L78" s="50"/>
      <c r="T78" s="50"/>
      <c r="U78" s="50"/>
      <c r="V78" s="50"/>
      <c r="W78" s="50"/>
      <c r="X78" s="50"/>
      <c r="Y78" s="50"/>
      <c r="Z78" s="50"/>
    </row>
    <row r="79" ht="12.75" customHeight="1">
      <c r="A79" s="50"/>
      <c r="B79" s="50" t="s">
        <v>70</v>
      </c>
      <c r="C79" s="50"/>
      <c r="D79" s="91">
        <v>0.0556</v>
      </c>
      <c r="E79" s="50" t="s">
        <v>71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2.75" customHeight="1">
      <c r="A80" s="50"/>
      <c r="B80" s="50"/>
      <c r="C80" s="86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2.75" customHeight="1">
      <c r="A81" s="50"/>
      <c r="B81" s="50" t="s">
        <v>72</v>
      </c>
      <c r="C81" s="50"/>
      <c r="D81" s="75">
        <f>E33</f>
        <v>3749000000</v>
      </c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2.75" customHeight="1">
      <c r="A82" s="50"/>
      <c r="B82" s="50" t="s">
        <v>73</v>
      </c>
      <c r="C82" s="50"/>
      <c r="D82" s="92">
        <f>D74*D75</f>
        <v>1563660000000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2.75" customHeight="1">
      <c r="A83" s="50"/>
      <c r="B83" s="79" t="s">
        <v>74</v>
      </c>
      <c r="C83" s="50"/>
      <c r="D83" s="67">
        <f>SUM(D81:D82)</f>
        <v>1567409000000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2.75" customHeight="1">
      <c r="A84" s="50"/>
      <c r="B84" s="79"/>
      <c r="C84" s="50"/>
      <c r="D84" s="92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2.75" customHeight="1">
      <c r="A85" s="50"/>
      <c r="B85" s="50" t="s">
        <v>75</v>
      </c>
      <c r="C85" s="50"/>
      <c r="D85" s="93">
        <f>D81/D83</f>
        <v>0.002391845396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2.75" customHeight="1">
      <c r="A86" s="50"/>
      <c r="B86" s="50" t="s">
        <v>76</v>
      </c>
      <c r="C86" s="50"/>
      <c r="D86" s="93">
        <f>D82/D83</f>
        <v>0.9976081546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2.75" customHeight="1">
      <c r="A87" s="50"/>
      <c r="B87" s="79"/>
      <c r="C87" s="50"/>
      <c r="D87" s="92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2.75" customHeight="1">
      <c r="A88" s="50"/>
      <c r="B88" s="94" t="s">
        <v>77</v>
      </c>
      <c r="C88" s="54"/>
      <c r="D88" s="95">
        <f>D85*D78+D86*D79</f>
        <v>0.05553589854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2.75" customHeight="1">
      <c r="A89" s="50"/>
      <c r="B89" s="50"/>
      <c r="C89" s="86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2.75" customHeight="1">
      <c r="A90" s="50"/>
      <c r="B90" s="13" t="s">
        <v>78</v>
      </c>
      <c r="C90" s="13"/>
      <c r="D90" s="13"/>
      <c r="E90" s="13"/>
      <c r="F90" s="13"/>
      <c r="G90" s="13"/>
      <c r="H90" s="13"/>
      <c r="I90" s="13"/>
      <c r="J90" s="13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2.75" customHeight="1">
      <c r="A91" s="50"/>
      <c r="B91" s="50" t="s">
        <v>79</v>
      </c>
      <c r="C91" s="85"/>
      <c r="D91" s="75">
        <f>C71+C63</f>
        <v>5014209616947</v>
      </c>
      <c r="E91" s="50"/>
      <c r="F91" s="75">
        <f>F71+O64</f>
        <v>3648731932204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2.75" customHeight="1">
      <c r="A92" s="50"/>
      <c r="B92" s="50" t="s">
        <v>80</v>
      </c>
      <c r="C92" s="96"/>
      <c r="D92" s="62">
        <f>E33-E25</f>
        <v>-9831000000</v>
      </c>
      <c r="E92" s="39"/>
      <c r="F92" s="85">
        <f>D92</f>
        <v>-9831000000</v>
      </c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2.75" customHeight="1">
      <c r="A93" s="50"/>
      <c r="B93" s="54" t="s">
        <v>81</v>
      </c>
      <c r="C93" s="50"/>
      <c r="D93" s="67">
        <f>D91-D92</f>
        <v>5024040616947</v>
      </c>
      <c r="E93" s="39"/>
      <c r="F93" s="96">
        <f>F91-F92</f>
        <v>3658562932204</v>
      </c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2.75" customHeight="1">
      <c r="A94" s="50"/>
      <c r="B94" s="50" t="s">
        <v>3</v>
      </c>
      <c r="C94" s="50"/>
      <c r="D94" s="97">
        <f>D5</f>
        <v>7650000000</v>
      </c>
      <c r="E94" s="79"/>
      <c r="F94" s="98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2.75" customHeight="1">
      <c r="A95" s="50"/>
      <c r="B95" s="99" t="s">
        <v>82</v>
      </c>
      <c r="C95" s="57"/>
      <c r="D95" s="100">
        <f>D93/D94</f>
        <v>656.7373355</v>
      </c>
      <c r="E95" s="101"/>
      <c r="F95" s="102">
        <f>F93/D94</f>
        <v>478.2435205</v>
      </c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2.75" customHeight="1">
      <c r="A96" s="50"/>
      <c r="B96" s="50"/>
      <c r="C96" s="50"/>
      <c r="D96" s="103"/>
      <c r="E96" s="79"/>
      <c r="F96" s="104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2.75" customHeight="1">
      <c r="A97" s="86"/>
      <c r="B97" s="54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2.75" customHeight="1">
      <c r="A98" s="86"/>
      <c r="B98" s="50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F8:J8"/>
    <mergeCell ref="F23:J23"/>
    <mergeCell ref="F45:J45"/>
  </mergeCells>
  <hyperlinks>
    <hyperlink r:id="rId1" location=":~:text=cost%20of%20debt.-,As%20of%20Jun.,2686%20%2F%2074682%20%3D%203.5966%25." ref="F74"/>
  </hyperlinks>
  <printOptions/>
  <pageMargins bottom="0.75" footer="0.0" header="0.0" left="0.7" right="0.7" top="0.75"/>
  <pageSetup orientation="portrait"/>
  <drawing r:id="rId2"/>
</worksheet>
</file>