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Manufacturing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Q123: 1.8m/year</t>
      </text>
    </comment>
  </commentList>
</comments>
</file>

<file path=xl/sharedStrings.xml><?xml version="1.0" encoding="utf-8"?>
<sst xmlns="http://schemas.openxmlformats.org/spreadsheetml/2006/main" count="135" uniqueCount="121">
  <si>
    <t>Price</t>
  </si>
  <si>
    <t>Q323</t>
  </si>
  <si>
    <t>Shares</t>
  </si>
  <si>
    <t>MC</t>
  </si>
  <si>
    <t>Cash</t>
  </si>
  <si>
    <t>Debt</t>
  </si>
  <si>
    <t>EV</t>
  </si>
  <si>
    <t>4/2/22: Q1 deliveries number.</t>
  </si>
  <si>
    <t>teslarati.com</t>
  </si>
  <si>
    <t>https://ir.tesla.com/sec-filings</t>
  </si>
  <si>
    <t>Main</t>
  </si>
  <si>
    <t>FSD Beta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</si>
  <si>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</si>
  <si>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</si>
  <si>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</si>
  <si>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</si>
  <si>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</si>
  <si>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</si>
  <si>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</si>
  <si>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</si>
  <si>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</si>
  <si>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</si>
  <si>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</si>
  <si>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</si>
  <si>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</si>
  <si>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</si>
  <si>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</si>
  <si>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</si>
  <si>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</si>
  <si>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</si>
  <si>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</si>
  <si>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</si>
  <si>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</si>
  <si>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</si>
  <si>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</si>
  <si>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</si>
  <si>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</si>
  <si>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</si>
  <si>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</si>
  <si>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</si>
  <si>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</si>
  <si>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Q423</t>
  </si>
  <si>
    <t>Software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</si>
  <si>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</si>
  <si>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</si>
  <si>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</si>
  <si>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</si>
  <si>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</si>
  <si>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</si>
  <si>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</si>
  <si>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</si>
  <si>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</si>
  <si>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Software COGS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</si>
  <si>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</si>
  <si>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</si>
  <si>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</si>
  <si>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</si>
  <si>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</si>
  <si>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</si>
  <si>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</si>
  <si>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</si>
  <si>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</si>
  <si>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</si>
  <si>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</si>
  <si>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</si>
  <si>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</si>
  <si>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</si>
  <si>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Revenue y/y</t>
  </si>
  <si>
    <t>Deliveries y/y</t>
  </si>
  <si>
    <t>Production y/y</t>
  </si>
  <si>
    <t>Rev Growth Rate</t>
  </si>
  <si>
    <t>Auto Product y/y</t>
  </si>
  <si>
    <t>Maturity</t>
  </si>
  <si>
    <t>Auto GM</t>
  </si>
  <si>
    <t>Discount</t>
  </si>
  <si>
    <t>NPV</t>
  </si>
  <si>
    <t>ROIC</t>
  </si>
  <si>
    <t>Share</t>
  </si>
  <si>
    <t>Model NI</t>
  </si>
  <si>
    <t>Upside</t>
  </si>
  <si>
    <t>Reported NI</t>
  </si>
  <si>
    <t>D&amp;A</t>
  </si>
  <si>
    <t>SBC</t>
  </si>
  <si>
    <t>Inventory</t>
  </si>
  <si>
    <t>FX/Other</t>
  </si>
  <si>
    <t>Non-Cash Interest</t>
  </si>
  <si>
    <t>Digital Assets</t>
  </si>
  <si>
    <t>WC</t>
  </si>
  <si>
    <t>CFFO</t>
  </si>
  <si>
    <t>CapEx</t>
  </si>
  <si>
    <t>FCF</t>
  </si>
  <si>
    <t>TTM FCF</t>
  </si>
  <si>
    <t>Net Cash</t>
  </si>
  <si>
    <t>AR</t>
  </si>
  <si>
    <t>Prepaids</t>
  </si>
  <si>
    <t>Operating Lease</t>
  </si>
  <si>
    <t>Energy Systems</t>
  </si>
  <si>
    <t>PP&amp;E</t>
  </si>
  <si>
    <t>Operating Lease ROU</t>
  </si>
  <si>
    <t>Goodwill</t>
  </si>
  <si>
    <t>ONCA</t>
  </si>
  <si>
    <t>Assets</t>
  </si>
  <si>
    <t>AP</t>
  </si>
  <si>
    <t>AL</t>
  </si>
  <si>
    <t>DR</t>
  </si>
  <si>
    <t>Customer Deposits</t>
  </si>
  <si>
    <t>OLTL</t>
  </si>
  <si>
    <t>SE</t>
  </si>
  <si>
    <t>L+SE</t>
  </si>
  <si>
    <t>California</t>
  </si>
  <si>
    <t>Model S/X</t>
  </si>
  <si>
    <t>Model 3/Y</t>
  </si>
  <si>
    <t>Shanghai</t>
  </si>
  <si>
    <t>Berlin</t>
  </si>
  <si>
    <t>Model Y</t>
  </si>
  <si>
    <t>Texas</t>
  </si>
  <si>
    <t>Cybertruck</t>
  </si>
  <si>
    <t>Nevada</t>
  </si>
  <si>
    <t>Semi</t>
  </si>
  <si>
    <t>Roadaster</t>
  </si>
  <si>
    <t>Robotaxi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</si>
</sst>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3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  <xf borderId="0" fillId="0" fontId="4" numFmtId="3" xfId="0" applyFont="1" applyNumberFormat="1"/>
    <xf borderId="0" fillId="0" fontId="4" numFmtId="3" xfId="0" applyAlignment="1" applyFont="1" applyNumberFormat="1">
      <alignment horizontal="right"/>
    </xf>
    <xf borderId="0" fillId="0" fontId="1" numFmtId="9" xfId="0" applyFont="1" applyNumberFormat="1"/>
    <xf borderId="0" fillId="0" fontId="1" numFmtId="3" xfId="0" applyAlignment="1" applyFont="1" applyNumberFormat="1">
      <alignment horizontal="right" readingOrder="0"/>
    </xf>
    <xf borderId="0" fillId="0" fontId="1" numFmtId="2" xfId="0" applyAlignment="1" applyFont="1" applyNumberFormat="1">
      <alignment horizontal="right"/>
    </xf>
    <xf borderId="0" fillId="0" fontId="1" numFmtId="4" xfId="0" applyFont="1" applyNumberFormat="1"/>
    <xf borderId="0" fillId="0" fontId="4" numFmtId="0" xfId="0" applyFont="1"/>
    <xf borderId="0" fillId="0" fontId="4" numFmtId="0" xfId="0" applyAlignment="1" applyFont="1">
      <alignment horizontal="right"/>
    </xf>
    <xf borderId="0" fillId="0" fontId="4" numFmtId="9" xfId="0" applyAlignment="1" applyFont="1" applyNumberFormat="1">
      <alignment horizontal="right"/>
    </xf>
    <xf borderId="0" fillId="0" fontId="4" numFmtId="9" xfId="0" applyFont="1" applyNumberFormat="1"/>
    <xf borderId="0" fillId="0" fontId="1" numFmtId="9" xfId="0" applyAlignment="1" applyFont="1" applyNumberFormat="1">
      <alignment horizontal="right"/>
    </xf>
    <xf borderId="0" fillId="0" fontId="1" numFmtId="10" xfId="0" applyFont="1" applyNumberFormat="1"/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609600</xdr:colOff>
      <xdr:row>1</xdr:row>
      <xdr:rowOff>57150</xdr:rowOff>
    </xdr:from>
    <xdr:ext cx="38100" cy="16583025"/>
    <xdr:grpSp>
      <xdr:nvGrpSpPr>
        <xdr:cNvPr id="2" name="Shape 2" title="Drawing"/>
        <xdr:cNvGrpSpPr/>
      </xdr:nvGrpSpPr>
      <xdr:grpSpPr>
        <a:xfrm>
          <a:off x="5341238" y="0"/>
          <a:ext cx="9525" cy="7560000"/>
          <a:chOff x="5341238" y="0"/>
          <a:chExt cx="9525" cy="7560000"/>
        </a:xfrm>
      </xdr:grpSpPr>
      <xdr:cxnSp>
        <xdr:nvCxnSpPr>
          <xdr:cNvPr id="3" name="Shape 3"/>
          <xdr:cNvCxnSpPr/>
        </xdr:nvCxnSpPr>
        <xdr:spPr>
          <a:xfrm>
            <a:off x="5341238" y="0"/>
            <a:ext cx="9525" cy="7560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590550</xdr:colOff>
      <xdr:row>0</xdr:row>
      <xdr:rowOff>9525</xdr:rowOff>
    </xdr:from>
    <xdr:ext cx="38100" cy="12030075"/>
    <xdr:grpSp>
      <xdr:nvGrpSpPr>
        <xdr:cNvPr id="2" name="Shape 2" title="Drawing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4" name="Shape 4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r.tesla.com/sec-filing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9.14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 t="s">
        <v>0</v>
      </c>
      <c r="K2" s="2">
        <v>247.0</v>
      </c>
      <c r="L2" s="3" t="s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 t="s">
        <v>2</v>
      </c>
      <c r="K3" s="4">
        <v>3173.994467</v>
      </c>
      <c r="L3" s="5" t="s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 t="s">
        <v>3</v>
      </c>
      <c r="K4" s="6">
        <f>K2*K3</f>
        <v>783976.6333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 t="s">
        <v>4</v>
      </c>
      <c r="K5" s="6">
        <f>15296+7779</f>
        <v>23075</v>
      </c>
      <c r="L5" s="5" t="s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 t="s">
        <v>5</v>
      </c>
      <c r="K6" s="4">
        <f>1459+872</f>
        <v>2331</v>
      </c>
      <c r="L6" s="5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 t="s">
        <v>6</v>
      </c>
      <c r="K7" s="6">
        <f>K4-K5+K6</f>
        <v>763232.6333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 t="s">
        <v>7</v>
      </c>
      <c r="C10" s="1"/>
      <c r="D10" s="1"/>
      <c r="E10" s="1"/>
      <c r="F10" s="1"/>
      <c r="G10" s="1"/>
      <c r="H10" s="1"/>
      <c r="I10" s="1"/>
      <c r="J10" s="1" t="s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7" t="s">
        <v>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J1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2.0" topLeftCell="C13" activePane="bottomRight" state="frozen"/>
      <selection activeCell="C1" sqref="C1" pane="topRight"/>
      <selection activeCell="A13" sqref="A13" pane="bottomLeft"/>
      <selection activeCell="C13" sqref="C13" pane="bottomRight"/>
    </sheetView>
  </sheetViews>
  <sheetFormatPr customHeight="1" defaultColWidth="14.43" defaultRowHeight="15.0"/>
  <cols>
    <col customWidth="1" min="1" max="1" width="5.14"/>
    <col customWidth="1" min="2" max="2" width="24.14"/>
    <col customWidth="1" min="3" max="18" width="9.14"/>
    <col customWidth="1" min="19" max="19" width="8.71"/>
    <col customWidth="1" min="20" max="33" width="9.14"/>
    <col customWidth="1" min="34" max="36" width="9.71"/>
    <col customWidth="1" min="37" max="37" width="10.86"/>
    <col customWidth="1" min="38" max="38" width="10.29"/>
    <col customWidth="1" min="39" max="39" width="10.86"/>
    <col customWidth="1" min="40" max="40" width="11.14"/>
    <col customWidth="1" min="41" max="44" width="10.86"/>
    <col customWidth="1" min="45" max="45" width="16.29"/>
    <col customWidth="1" min="46" max="46" width="12.29"/>
    <col customWidth="1" min="47" max="99" width="9.14"/>
  </cols>
  <sheetData>
    <row r="1" ht="12.75" customHeight="1">
      <c r="A1" s="8" t="s">
        <v>10</v>
      </c>
      <c r="B1" s="1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ht="12.75" customHeight="1">
      <c r="A2" s="6"/>
      <c r="B2" s="6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>
        <v>100000.0</v>
      </c>
      <c r="T2" s="10"/>
      <c r="U2" s="10"/>
      <c r="V2" s="10"/>
      <c r="W2" s="10"/>
      <c r="X2" s="10"/>
      <c r="Y2" s="10"/>
      <c r="Z2" s="10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</row>
    <row r="3" ht="12.75" customHeight="1">
      <c r="A3" s="6"/>
      <c r="B3" s="6" t="s">
        <v>12</v>
      </c>
      <c r="C3" s="10"/>
      <c r="D3" s="10"/>
      <c r="E3" s="10"/>
      <c r="F3" s="10"/>
      <c r="G3" s="10">
        <v>12091.0</v>
      </c>
      <c r="H3" s="10">
        <v>17722.0</v>
      </c>
      <c r="I3" s="10">
        <v>17483.0</v>
      </c>
      <c r="J3" s="10">
        <v>19475.0</v>
      </c>
      <c r="K3" s="10">
        <v>12230.0</v>
      </c>
      <c r="L3" s="10">
        <v>10600.0</v>
      </c>
      <c r="M3" s="10">
        <v>15200.0</v>
      </c>
      <c r="N3" s="10">
        <v>18920.0</v>
      </c>
      <c r="O3" s="10">
        <v>2020.0</v>
      </c>
      <c r="P3" s="10">
        <v>1890.0</v>
      </c>
      <c r="Q3" s="10">
        <v>9275.0</v>
      </c>
      <c r="R3" s="10">
        <v>11750.0</v>
      </c>
      <c r="S3" s="10">
        <v>14724.0</v>
      </c>
      <c r="T3" s="10">
        <v>16162.0</v>
      </c>
      <c r="U3" s="10">
        <v>18672.0</v>
      </c>
      <c r="V3" s="10">
        <v>17147.0</v>
      </c>
      <c r="W3" s="10">
        <v>10695.0</v>
      </c>
      <c r="X3" s="10"/>
      <c r="Y3" s="10"/>
      <c r="Z3" s="10"/>
      <c r="AA3" s="6"/>
      <c r="AB3" s="6"/>
      <c r="AC3" s="6"/>
      <c r="AD3" s="6"/>
      <c r="AE3" s="6"/>
      <c r="AF3" s="6">
        <f t="shared" ref="AF3:AF4" si="1">SUM(G3:J3)</f>
        <v>66771</v>
      </c>
      <c r="AG3" s="6">
        <f t="shared" ref="AG3:AG4" si="2">SUM(K3:N3)</f>
        <v>56950</v>
      </c>
      <c r="AH3" s="6">
        <f t="shared" ref="AH3:AH4" si="3">SUM(O3:R3)</f>
        <v>24935</v>
      </c>
      <c r="AI3" s="6">
        <f t="shared" ref="AI3:AI4" si="4">SUM(S3:V3)</f>
        <v>66705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r="4" ht="12.75" customHeight="1">
      <c r="A4" s="6"/>
      <c r="B4" s="6" t="s">
        <v>13</v>
      </c>
      <c r="C4" s="10"/>
      <c r="D4" s="10"/>
      <c r="E4" s="10"/>
      <c r="F4" s="10"/>
      <c r="G4" s="10">
        <v>50928.0</v>
      </c>
      <c r="H4" s="10">
        <v>77634.0</v>
      </c>
      <c r="I4" s="10">
        <v>79703.0</v>
      </c>
      <c r="J4" s="10">
        <v>92620.0</v>
      </c>
      <c r="K4" s="10">
        <v>76266.0</v>
      </c>
      <c r="L4" s="10">
        <v>80050.0</v>
      </c>
      <c r="M4" s="10">
        <v>124100.0</v>
      </c>
      <c r="N4" s="10">
        <v>161650.0</v>
      </c>
      <c r="O4" s="10">
        <v>182780.0</v>
      </c>
      <c r="P4" s="10">
        <v>199360.0</v>
      </c>
      <c r="Q4" s="10">
        <v>232025.0</v>
      </c>
      <c r="R4" s="10">
        <v>296850.0</v>
      </c>
      <c r="S4" s="10">
        <v>295324.0</v>
      </c>
      <c r="T4" s="10">
        <v>238533.0</v>
      </c>
      <c r="U4" s="10">
        <v>325158.0</v>
      </c>
      <c r="V4" s="10">
        <v>388131.0</v>
      </c>
      <c r="W4" s="10">
        <v>412180.0</v>
      </c>
      <c r="X4" s="10"/>
      <c r="Y4" s="10"/>
      <c r="Z4" s="10"/>
      <c r="AA4" s="6"/>
      <c r="AB4" s="6"/>
      <c r="AC4" s="6"/>
      <c r="AD4" s="6"/>
      <c r="AE4" s="6"/>
      <c r="AF4" s="6">
        <f t="shared" si="1"/>
        <v>300885</v>
      </c>
      <c r="AG4" s="6">
        <f t="shared" si="2"/>
        <v>442066</v>
      </c>
      <c r="AH4" s="6">
        <f t="shared" si="3"/>
        <v>911015</v>
      </c>
      <c r="AI4" s="6">
        <f t="shared" si="4"/>
        <v>1247146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</row>
    <row r="5" ht="12.75" customHeight="1">
      <c r="A5" s="11"/>
      <c r="B5" s="11" t="s">
        <v>14</v>
      </c>
      <c r="C5" s="12"/>
      <c r="D5" s="12"/>
      <c r="E5" s="12"/>
      <c r="F5" s="12"/>
      <c r="G5" s="12">
        <f t="shared" ref="G5:W5" si="5">G4+G3</f>
        <v>63019</v>
      </c>
      <c r="H5" s="12">
        <f t="shared" si="5"/>
        <v>95356</v>
      </c>
      <c r="I5" s="12">
        <f t="shared" si="5"/>
        <v>97186</v>
      </c>
      <c r="J5" s="12">
        <f t="shared" si="5"/>
        <v>112095</v>
      </c>
      <c r="K5" s="12">
        <f t="shared" si="5"/>
        <v>88496</v>
      </c>
      <c r="L5" s="12">
        <f t="shared" si="5"/>
        <v>90650</v>
      </c>
      <c r="M5" s="12">
        <f t="shared" si="5"/>
        <v>139300</v>
      </c>
      <c r="N5" s="12">
        <f t="shared" si="5"/>
        <v>180570</v>
      </c>
      <c r="O5" s="12">
        <f t="shared" si="5"/>
        <v>184800</v>
      </c>
      <c r="P5" s="12">
        <f t="shared" si="5"/>
        <v>201250</v>
      </c>
      <c r="Q5" s="12">
        <f t="shared" si="5"/>
        <v>241300</v>
      </c>
      <c r="R5" s="12">
        <f t="shared" si="5"/>
        <v>308600</v>
      </c>
      <c r="S5" s="12">
        <f t="shared" si="5"/>
        <v>310048</v>
      </c>
      <c r="T5" s="12">
        <f t="shared" si="5"/>
        <v>254695</v>
      </c>
      <c r="U5" s="12">
        <f t="shared" si="5"/>
        <v>343830</v>
      </c>
      <c r="V5" s="12">
        <f t="shared" si="5"/>
        <v>405278</v>
      </c>
      <c r="W5" s="12">
        <f t="shared" si="5"/>
        <v>422875</v>
      </c>
      <c r="X5" s="12"/>
      <c r="Y5" s="12"/>
      <c r="Z5" s="12"/>
      <c r="AA5" s="11"/>
      <c r="AB5" s="11"/>
      <c r="AC5" s="11"/>
      <c r="AD5" s="11"/>
      <c r="AE5" s="11"/>
      <c r="AF5" s="11">
        <f t="shared" ref="AF5:AI5" si="6">+AF3+AF4</f>
        <v>367656</v>
      </c>
      <c r="AG5" s="11">
        <f t="shared" si="6"/>
        <v>499016</v>
      </c>
      <c r="AH5" s="11">
        <f t="shared" si="6"/>
        <v>935950</v>
      </c>
      <c r="AI5" s="11">
        <f t="shared" si="6"/>
        <v>1313851</v>
      </c>
      <c r="AJ5" s="11">
        <f>+AI5*1.35</f>
        <v>1773698.85</v>
      </c>
      <c r="AK5" s="11">
        <f t="shared" ref="AK5:AQ5" si="7">AK10</f>
        <v>2403667.305</v>
      </c>
      <c r="AL5" s="11">
        <f t="shared" si="7"/>
        <v>3124767.497</v>
      </c>
      <c r="AM5" s="11">
        <f t="shared" si="7"/>
        <v>3905959.371</v>
      </c>
      <c r="AN5" s="11">
        <f t="shared" si="7"/>
        <v>4687151.245</v>
      </c>
      <c r="AO5" s="11">
        <f t="shared" si="7"/>
        <v>5624581.494</v>
      </c>
      <c r="AP5" s="11">
        <f t="shared" si="7"/>
        <v>6468268.718</v>
      </c>
      <c r="AQ5" s="11">
        <f t="shared" si="7"/>
        <v>7115095.59</v>
      </c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</row>
    <row r="6" ht="12.75" customHeight="1">
      <c r="A6" s="6"/>
      <c r="B6" s="6" t="s">
        <v>15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>
        <f t="shared" ref="S6:W6" si="8">S5/S14*1000</f>
        <v>19985.04577</v>
      </c>
      <c r="T6" s="10">
        <f t="shared" si="8"/>
        <v>18631.6752</v>
      </c>
      <c r="U6" s="10">
        <f t="shared" si="8"/>
        <v>19332.58364</v>
      </c>
      <c r="V6" s="10">
        <f t="shared" si="8"/>
        <v>19266.84098</v>
      </c>
      <c r="W6" s="10">
        <f t="shared" si="8"/>
        <v>22400.41318</v>
      </c>
      <c r="X6" s="10"/>
      <c r="Y6" s="10"/>
      <c r="Z6" s="10"/>
      <c r="AA6" s="6"/>
      <c r="AB6" s="6"/>
      <c r="AC6" s="6"/>
      <c r="AD6" s="6"/>
      <c r="AE6" s="6"/>
      <c r="AF6" s="10">
        <f t="shared" ref="AF6:AJ6" si="9">AF14/AF5*1000000</f>
        <v>54268.1202</v>
      </c>
      <c r="AG6" s="10">
        <f t="shared" si="9"/>
        <v>51667.682</v>
      </c>
      <c r="AH6" s="10">
        <f t="shared" si="9"/>
        <v>47144.61243</v>
      </c>
      <c r="AI6" s="10">
        <f t="shared" si="9"/>
        <v>51759.29386</v>
      </c>
      <c r="AJ6" s="10">
        <f t="shared" si="9"/>
        <v>52796.44851</v>
      </c>
      <c r="AK6" s="6">
        <f>AJ6*1.1</f>
        <v>58076.09336</v>
      </c>
      <c r="AL6" s="6">
        <f t="shared" ref="AL6:AQ6" si="10">AK6*1.03</f>
        <v>59818.37616</v>
      </c>
      <c r="AM6" s="6">
        <f t="shared" si="10"/>
        <v>61612.92744</v>
      </c>
      <c r="AN6" s="6">
        <f t="shared" si="10"/>
        <v>63461.31527</v>
      </c>
      <c r="AO6" s="6">
        <f t="shared" si="10"/>
        <v>65365.15472</v>
      </c>
      <c r="AP6" s="6">
        <f t="shared" si="10"/>
        <v>67326.10937</v>
      </c>
      <c r="AQ6" s="6">
        <f t="shared" si="10"/>
        <v>69345.89265</v>
      </c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ht="12.75" customHeight="1">
      <c r="A7" s="6"/>
      <c r="B7" s="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ht="12.75" customHeight="1">
      <c r="A8" s="6"/>
      <c r="B8" s="6" t="s">
        <v>16</v>
      </c>
      <c r="C8" s="10"/>
      <c r="D8" s="10"/>
      <c r="E8" s="10"/>
      <c r="F8" s="10"/>
      <c r="G8" s="10">
        <v>14163.0</v>
      </c>
      <c r="H8" s="10">
        <v>14517.0</v>
      </c>
      <c r="I8" s="10">
        <v>16318.0</v>
      </c>
      <c r="J8" s="10">
        <v>17933.0</v>
      </c>
      <c r="K8" s="10">
        <v>15390.0</v>
      </c>
      <c r="L8" s="10">
        <v>6326.0</v>
      </c>
      <c r="M8" s="10">
        <v>16992.0</v>
      </c>
      <c r="N8" s="10">
        <v>16097.0</v>
      </c>
      <c r="O8" s="10">
        <v>0.0</v>
      </c>
      <c r="P8" s="10">
        <v>2340.0</v>
      </c>
      <c r="Q8" s="10">
        <v>8941.0</v>
      </c>
      <c r="R8" s="10">
        <v>13109.0</v>
      </c>
      <c r="S8" s="10">
        <v>14218.0</v>
      </c>
      <c r="T8" s="10">
        <v>16411.0</v>
      </c>
      <c r="U8" s="10">
        <v>19935.0</v>
      </c>
      <c r="V8" s="10">
        <v>20613.0</v>
      </c>
      <c r="W8" s="10">
        <v>19437.0</v>
      </c>
      <c r="X8" s="10"/>
      <c r="Y8" s="10"/>
      <c r="Z8" s="10"/>
      <c r="AA8" s="6"/>
      <c r="AB8" s="6"/>
      <c r="AC8" s="6"/>
      <c r="AD8" s="6"/>
      <c r="AE8" s="6"/>
      <c r="AF8" s="6">
        <f t="shared" ref="AF8:AF9" si="11">SUM(G8:J8)</f>
        <v>62931</v>
      </c>
      <c r="AG8" s="6">
        <f t="shared" ref="AG8:AG9" si="12">SUM(K8:N8)</f>
        <v>54805</v>
      </c>
      <c r="AH8" s="6">
        <f t="shared" ref="AH8:AH9" si="13">SUM(O8:R8)</f>
        <v>24390</v>
      </c>
      <c r="AI8" s="6">
        <f t="shared" ref="AI8:AI9" si="14">SUM(S8:V8)</f>
        <v>71177</v>
      </c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</row>
    <row r="9" ht="12.75" customHeight="1">
      <c r="A9" s="6"/>
      <c r="B9" s="6" t="s">
        <v>17</v>
      </c>
      <c r="C9" s="10"/>
      <c r="D9" s="10"/>
      <c r="E9" s="10"/>
      <c r="F9" s="10"/>
      <c r="G9" s="10">
        <v>62975.0</v>
      </c>
      <c r="H9" s="10">
        <v>72531.0</v>
      </c>
      <c r="I9" s="10">
        <v>79837.0</v>
      </c>
      <c r="J9" s="10">
        <v>86958.0</v>
      </c>
      <c r="K9" s="10">
        <v>87282.0</v>
      </c>
      <c r="L9" s="10">
        <v>75946.0</v>
      </c>
      <c r="M9" s="10">
        <v>128044.0</v>
      </c>
      <c r="N9" s="10">
        <v>163660.0</v>
      </c>
      <c r="O9" s="10">
        <v>180338.0</v>
      </c>
      <c r="P9" s="10">
        <v>204081.0</v>
      </c>
      <c r="Q9" s="10">
        <v>228882.0</v>
      </c>
      <c r="R9" s="10">
        <v>292731.0</v>
      </c>
      <c r="S9" s="10">
        <v>291189.0</v>
      </c>
      <c r="T9" s="10">
        <v>242169.0</v>
      </c>
      <c r="U9" s="10">
        <v>345988.0</v>
      </c>
      <c r="V9" s="10">
        <v>419088.0</v>
      </c>
      <c r="W9" s="10">
        <v>421371.0</v>
      </c>
      <c r="X9" s="10"/>
      <c r="Y9" s="10"/>
      <c r="Z9" s="10"/>
      <c r="AA9" s="6"/>
      <c r="AB9" s="6"/>
      <c r="AC9" s="6"/>
      <c r="AD9" s="6"/>
      <c r="AE9" s="6"/>
      <c r="AF9" s="6">
        <f t="shared" si="11"/>
        <v>302301</v>
      </c>
      <c r="AG9" s="6">
        <f t="shared" si="12"/>
        <v>454932</v>
      </c>
      <c r="AH9" s="6">
        <f t="shared" si="13"/>
        <v>906032</v>
      </c>
      <c r="AI9" s="6">
        <f t="shared" si="14"/>
        <v>1298434</v>
      </c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</row>
    <row r="10" ht="12.75" customHeight="1">
      <c r="A10" s="11"/>
      <c r="B10" s="11" t="s">
        <v>18</v>
      </c>
      <c r="C10" s="12"/>
      <c r="D10" s="12"/>
      <c r="E10" s="12"/>
      <c r="F10" s="12"/>
      <c r="G10" s="12">
        <f t="shared" ref="G10:T10" si="15">G9+G8</f>
        <v>77138</v>
      </c>
      <c r="H10" s="12">
        <f t="shared" si="15"/>
        <v>87048</v>
      </c>
      <c r="I10" s="12">
        <f t="shared" si="15"/>
        <v>96155</v>
      </c>
      <c r="J10" s="12">
        <f t="shared" si="15"/>
        <v>104891</v>
      </c>
      <c r="K10" s="12">
        <f t="shared" si="15"/>
        <v>102672</v>
      </c>
      <c r="L10" s="12">
        <f t="shared" si="15"/>
        <v>82272</v>
      </c>
      <c r="M10" s="12">
        <f t="shared" si="15"/>
        <v>145036</v>
      </c>
      <c r="N10" s="12">
        <f t="shared" si="15"/>
        <v>179757</v>
      </c>
      <c r="O10" s="12">
        <f t="shared" si="15"/>
        <v>180338</v>
      </c>
      <c r="P10" s="12">
        <f t="shared" si="15"/>
        <v>206421</v>
      </c>
      <c r="Q10" s="12">
        <f t="shared" si="15"/>
        <v>237823</v>
      </c>
      <c r="R10" s="12">
        <f t="shared" si="15"/>
        <v>305840</v>
      </c>
      <c r="S10" s="12">
        <f t="shared" si="15"/>
        <v>305407</v>
      </c>
      <c r="T10" s="12">
        <f t="shared" si="15"/>
        <v>258580</v>
      </c>
      <c r="U10" s="12">
        <f t="shared" ref="U10:W10" si="16">+U8+U9</f>
        <v>365923</v>
      </c>
      <c r="V10" s="12">
        <f t="shared" si="16"/>
        <v>439701</v>
      </c>
      <c r="W10" s="12">
        <f t="shared" si="16"/>
        <v>440808</v>
      </c>
      <c r="X10" s="12"/>
      <c r="Y10" s="12"/>
      <c r="Z10" s="12"/>
      <c r="AA10" s="11"/>
      <c r="AB10" s="11"/>
      <c r="AC10" s="11"/>
      <c r="AD10" s="11"/>
      <c r="AE10" s="11"/>
      <c r="AF10" s="11">
        <f t="shared" ref="AF10:AI10" si="17">+AF8+AF9</f>
        <v>365232</v>
      </c>
      <c r="AG10" s="11">
        <f t="shared" si="17"/>
        <v>509737</v>
      </c>
      <c r="AH10" s="11">
        <f t="shared" si="17"/>
        <v>930422</v>
      </c>
      <c r="AI10" s="11">
        <f t="shared" si="17"/>
        <v>1369611</v>
      </c>
      <c r="AJ10" s="11">
        <f>+AI10*1.35</f>
        <v>1848974.85</v>
      </c>
      <c r="AK10" s="11">
        <f t="shared" ref="AK10:AL10" si="18">AJ10*1.3</f>
        <v>2403667.305</v>
      </c>
      <c r="AL10" s="11">
        <f t="shared" si="18"/>
        <v>3124767.497</v>
      </c>
      <c r="AM10" s="11">
        <f>AL10*1.25</f>
        <v>3905959.371</v>
      </c>
      <c r="AN10" s="11">
        <f t="shared" ref="AN10:AO10" si="19">AM10*1.2</f>
        <v>4687151.245</v>
      </c>
      <c r="AO10" s="11">
        <f t="shared" si="19"/>
        <v>5624581.494</v>
      </c>
      <c r="AP10" s="11">
        <f>AO10*1.15</f>
        <v>6468268.718</v>
      </c>
      <c r="AQ10" s="11">
        <f>AP10*1.1</f>
        <v>7115095.59</v>
      </c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</row>
    <row r="11" ht="12.75" customHeight="1">
      <c r="A11" s="6"/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6"/>
      <c r="AB11" s="6"/>
      <c r="AC11" s="6"/>
      <c r="AD11" s="6"/>
      <c r="AE11" s="6"/>
      <c r="AF11" s="6"/>
      <c r="AG11" s="6"/>
      <c r="AH11" s="6"/>
      <c r="AI11" s="6"/>
      <c r="AJ11" s="13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</row>
    <row r="12" ht="12.75" customHeight="1">
      <c r="A12" s="1"/>
      <c r="B12" s="1"/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9" t="s">
        <v>26</v>
      </c>
      <c r="K12" s="9" t="s">
        <v>27</v>
      </c>
      <c r="L12" s="9" t="s">
        <v>28</v>
      </c>
      <c r="M12" s="9" t="s">
        <v>29</v>
      </c>
      <c r="N12" s="9" t="s">
        <v>30</v>
      </c>
      <c r="O12" s="9" t="s">
        <v>31</v>
      </c>
      <c r="P12" s="9" t="s">
        <v>32</v>
      </c>
      <c r="Q12" s="9" t="s">
        <v>33</v>
      </c>
      <c r="R12" s="9" t="s">
        <v>34</v>
      </c>
      <c r="S12" s="9" t="s">
        <v>35</v>
      </c>
      <c r="T12" s="9" t="s">
        <v>36</v>
      </c>
      <c r="U12" s="9" t="s">
        <v>37</v>
      </c>
      <c r="V12" s="9" t="s">
        <v>38</v>
      </c>
      <c r="W12" s="9" t="s">
        <v>39</v>
      </c>
      <c r="X12" s="9" t="s">
        <v>40</v>
      </c>
      <c r="Y12" s="9" t="s">
        <v>1</v>
      </c>
      <c r="Z12" s="9" t="s">
        <v>41</v>
      </c>
      <c r="AA12" s="1"/>
      <c r="AB12" s="1"/>
      <c r="AC12" s="1"/>
      <c r="AD12" s="1">
        <v>2017.0</v>
      </c>
      <c r="AE12" s="1">
        <v>2018.0</v>
      </c>
      <c r="AF12" s="1">
        <v>2019.0</v>
      </c>
      <c r="AG12" s="1">
        <v>2020.0</v>
      </c>
      <c r="AH12" s="1">
        <f t="shared" ref="AH12:AQ12" si="20">+AG12+1</f>
        <v>2021</v>
      </c>
      <c r="AI12" s="1">
        <f t="shared" si="20"/>
        <v>2022</v>
      </c>
      <c r="AJ12" s="1">
        <f t="shared" si="20"/>
        <v>2023</v>
      </c>
      <c r="AK12" s="1">
        <f t="shared" si="20"/>
        <v>2024</v>
      </c>
      <c r="AL12" s="1">
        <f t="shared" si="20"/>
        <v>2025</v>
      </c>
      <c r="AM12" s="1">
        <f t="shared" si="20"/>
        <v>2026</v>
      </c>
      <c r="AN12" s="1">
        <f t="shared" si="20"/>
        <v>2027</v>
      </c>
      <c r="AO12" s="1">
        <f t="shared" si="20"/>
        <v>2028</v>
      </c>
      <c r="AP12" s="1">
        <f t="shared" si="20"/>
        <v>2029</v>
      </c>
      <c r="AQ12" s="1">
        <f t="shared" si="20"/>
        <v>2030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ht="12.75" customHeight="1">
      <c r="A13" s="1"/>
      <c r="B13" s="1" t="s">
        <v>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6">
        <f>15*AK5/1000*0.1</f>
        <v>3605.500958</v>
      </c>
      <c r="AL13" s="6">
        <f>15*AL5/1000*0.2</f>
        <v>9374.30249</v>
      </c>
      <c r="AM13" s="6">
        <f>15*AM5/1000*0.3</f>
        <v>17576.81717</v>
      </c>
      <c r="AN13" s="6">
        <f>15*AN5/1000*0.4</f>
        <v>28122.90747</v>
      </c>
      <c r="AO13" s="6">
        <f>15*AO5/1000*0.5</f>
        <v>42184.3612</v>
      </c>
      <c r="AP13" s="6">
        <f>15*AP5/1000*0.6</f>
        <v>58214.41846</v>
      </c>
      <c r="AQ13" s="6">
        <f>15*AQ5/1000*0.7</f>
        <v>74708.50369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ht="12.75" customHeight="1">
      <c r="A14" s="6"/>
      <c r="B14" s="6" t="s">
        <v>43</v>
      </c>
      <c r="C14" s="10"/>
      <c r="D14" s="10"/>
      <c r="E14" s="10"/>
      <c r="F14" s="10"/>
      <c r="G14" s="10">
        <v>3509.0</v>
      </c>
      <c r="H14" s="10">
        <v>5168.0</v>
      </c>
      <c r="I14" s="10">
        <v>5132.0</v>
      </c>
      <c r="J14" s="10">
        <v>6143.0</v>
      </c>
      <c r="K14" s="10">
        <v>4893.0</v>
      </c>
      <c r="L14" s="10">
        <v>4911.0</v>
      </c>
      <c r="M14" s="10">
        <v>7346.0</v>
      </c>
      <c r="N14" s="10">
        <f>9034-N15</f>
        <v>8633</v>
      </c>
      <c r="O14" s="10">
        <v>8187.0</v>
      </c>
      <c r="P14" s="10">
        <f>9874-354</f>
        <v>9520</v>
      </c>
      <c r="Q14" s="10">
        <f>11672-279</f>
        <v>11393</v>
      </c>
      <c r="R14" s="10">
        <f>15339-314</f>
        <v>15025</v>
      </c>
      <c r="S14" s="10">
        <v>15514.0</v>
      </c>
      <c r="T14" s="10">
        <v>13670.0</v>
      </c>
      <c r="U14" s="10">
        <v>17785.0</v>
      </c>
      <c r="V14" s="10">
        <f t="shared" ref="V14:V16" si="22">+R14*1.4</f>
        <v>21035</v>
      </c>
      <c r="W14" s="10">
        <v>18878.0</v>
      </c>
      <c r="X14" s="14">
        <v>20419.0</v>
      </c>
      <c r="Y14" s="10">
        <f t="shared" ref="Y14:Y16" si="23">+U14*(1+$AT$42)</f>
        <v>24899</v>
      </c>
      <c r="Z14" s="10">
        <f t="shared" ref="Z14:Z16" si="24">+V14*1.4</f>
        <v>29449</v>
      </c>
      <c r="AA14" s="6"/>
      <c r="AB14" s="6"/>
      <c r="AC14" s="6"/>
      <c r="AD14" s="6"/>
      <c r="AE14" s="6"/>
      <c r="AF14" s="6">
        <f t="shared" ref="AF14:AF16" si="25">SUM(G14:J14)</f>
        <v>19952</v>
      </c>
      <c r="AG14" s="6">
        <f t="shared" ref="AG14:AG16" si="26">SUM(K14:N14)</f>
        <v>25783</v>
      </c>
      <c r="AH14" s="6">
        <f t="shared" ref="AH14:AH16" si="27">SUM(O14:R14)</f>
        <v>44125</v>
      </c>
      <c r="AI14" s="6">
        <f t="shared" ref="AI14:AI16" si="28">SUM(S14:V14)</f>
        <v>68004</v>
      </c>
      <c r="AJ14" s="6">
        <f t="shared" ref="AJ14:AJ16" si="29">SUM(W14:Z14)</f>
        <v>93645</v>
      </c>
      <c r="AK14" s="6">
        <f t="shared" ref="AK14:AQ14" si="21">AK6*AK10/1000000</f>
        <v>139595.6068</v>
      </c>
      <c r="AL14" s="6">
        <f t="shared" si="21"/>
        <v>186918.5175</v>
      </c>
      <c r="AM14" s="6">
        <f t="shared" si="21"/>
        <v>240657.5913</v>
      </c>
      <c r="AN14" s="6">
        <f t="shared" si="21"/>
        <v>297452.7828</v>
      </c>
      <c r="AO14" s="6">
        <f t="shared" si="21"/>
        <v>367651.6396</v>
      </c>
      <c r="AP14" s="6">
        <f t="shared" si="21"/>
        <v>435483.3671</v>
      </c>
      <c r="AQ14" s="6">
        <f t="shared" si="21"/>
        <v>493402.6549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</row>
    <row r="15" ht="12.75" customHeight="1">
      <c r="A15" s="6"/>
      <c r="B15" s="6" t="s">
        <v>44</v>
      </c>
      <c r="C15" s="10"/>
      <c r="D15" s="10"/>
      <c r="E15" s="10"/>
      <c r="F15" s="10"/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401.0</v>
      </c>
      <c r="O15" s="10">
        <v>518.0</v>
      </c>
      <c r="P15" s="10">
        <v>354.0</v>
      </c>
      <c r="Q15" s="10">
        <v>279.0</v>
      </c>
      <c r="R15" s="10">
        <v>314.0</v>
      </c>
      <c r="S15" s="10">
        <v>679.0</v>
      </c>
      <c r="T15" s="10">
        <v>344.0</v>
      </c>
      <c r="U15" s="10">
        <v>286.0</v>
      </c>
      <c r="V15" s="10">
        <f t="shared" si="22"/>
        <v>439.6</v>
      </c>
      <c r="W15" s="10">
        <v>521.0</v>
      </c>
      <c r="X15" s="14">
        <v>282.0</v>
      </c>
      <c r="Y15" s="10">
        <f t="shared" si="23"/>
        <v>400.4</v>
      </c>
      <c r="Z15" s="10">
        <f t="shared" si="24"/>
        <v>615.44</v>
      </c>
      <c r="AA15" s="6"/>
      <c r="AB15" s="6"/>
      <c r="AC15" s="6"/>
      <c r="AD15" s="6"/>
      <c r="AE15" s="6"/>
      <c r="AF15" s="6">
        <f t="shared" si="25"/>
        <v>0</v>
      </c>
      <c r="AG15" s="6">
        <f t="shared" si="26"/>
        <v>401</v>
      </c>
      <c r="AH15" s="6">
        <f t="shared" si="27"/>
        <v>1465</v>
      </c>
      <c r="AI15" s="6">
        <f t="shared" si="28"/>
        <v>1748.6</v>
      </c>
      <c r="AJ15" s="6">
        <f t="shared" si="29"/>
        <v>1818.84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</row>
    <row r="16" ht="12.75" customHeight="1">
      <c r="A16" s="6"/>
      <c r="B16" s="6" t="s">
        <v>45</v>
      </c>
      <c r="C16" s="10"/>
      <c r="D16" s="10"/>
      <c r="E16" s="10"/>
      <c r="F16" s="10"/>
      <c r="G16" s="10">
        <v>215.0</v>
      </c>
      <c r="H16" s="10">
        <v>208.0</v>
      </c>
      <c r="I16" s="10">
        <v>221.0</v>
      </c>
      <c r="J16" s="10">
        <v>225.0</v>
      </c>
      <c r="K16" s="10">
        <v>239.0</v>
      </c>
      <c r="L16" s="10">
        <v>268.0</v>
      </c>
      <c r="M16" s="10">
        <v>265.0</v>
      </c>
      <c r="N16" s="10">
        <v>280.0</v>
      </c>
      <c r="O16" s="10">
        <v>297.0</v>
      </c>
      <c r="P16" s="10">
        <v>332.0</v>
      </c>
      <c r="Q16" s="10">
        <v>385.0</v>
      </c>
      <c r="R16" s="10">
        <v>628.0</v>
      </c>
      <c r="S16" s="10">
        <v>668.0</v>
      </c>
      <c r="T16" s="10">
        <v>588.0</v>
      </c>
      <c r="U16" s="10">
        <v>621.0</v>
      </c>
      <c r="V16" s="10">
        <f t="shared" si="22"/>
        <v>879.2</v>
      </c>
      <c r="W16" s="10">
        <v>564.0</v>
      </c>
      <c r="X16" s="14">
        <v>567.0</v>
      </c>
      <c r="Y16" s="10">
        <f t="shared" si="23"/>
        <v>869.4</v>
      </c>
      <c r="Z16" s="10">
        <f t="shared" si="24"/>
        <v>1230.88</v>
      </c>
      <c r="AA16" s="6"/>
      <c r="AB16" s="6"/>
      <c r="AC16" s="6"/>
      <c r="AD16" s="6"/>
      <c r="AE16" s="6"/>
      <c r="AF16" s="6">
        <f t="shared" si="25"/>
        <v>869</v>
      </c>
      <c r="AG16" s="6">
        <f t="shared" si="26"/>
        <v>1052</v>
      </c>
      <c r="AH16" s="6">
        <f t="shared" si="27"/>
        <v>1642</v>
      </c>
      <c r="AI16" s="6">
        <f t="shared" si="28"/>
        <v>2756.2</v>
      </c>
      <c r="AJ16" s="6">
        <f t="shared" si="29"/>
        <v>3231.28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</row>
    <row r="17" ht="12.75" customHeight="1">
      <c r="A17" s="11"/>
      <c r="B17" s="11" t="s">
        <v>46</v>
      </c>
      <c r="C17" s="12"/>
      <c r="D17" s="12"/>
      <c r="E17" s="12"/>
      <c r="F17" s="12"/>
      <c r="G17" s="12">
        <f t="shared" ref="G17:Z17" si="30">SUM(G14:G16)</f>
        <v>3724</v>
      </c>
      <c r="H17" s="12">
        <f t="shared" si="30"/>
        <v>5376</v>
      </c>
      <c r="I17" s="12">
        <f t="shared" si="30"/>
        <v>5353</v>
      </c>
      <c r="J17" s="12">
        <f t="shared" si="30"/>
        <v>6368</v>
      </c>
      <c r="K17" s="12">
        <f t="shared" si="30"/>
        <v>5132</v>
      </c>
      <c r="L17" s="12">
        <f t="shared" si="30"/>
        <v>5179</v>
      </c>
      <c r="M17" s="12">
        <f t="shared" si="30"/>
        <v>7611</v>
      </c>
      <c r="N17" s="12">
        <f t="shared" si="30"/>
        <v>9314</v>
      </c>
      <c r="O17" s="12">
        <f t="shared" si="30"/>
        <v>9002</v>
      </c>
      <c r="P17" s="12">
        <f t="shared" si="30"/>
        <v>10206</v>
      </c>
      <c r="Q17" s="12">
        <f t="shared" si="30"/>
        <v>12057</v>
      </c>
      <c r="R17" s="12">
        <f t="shared" si="30"/>
        <v>15967</v>
      </c>
      <c r="S17" s="12">
        <f t="shared" si="30"/>
        <v>16861</v>
      </c>
      <c r="T17" s="12">
        <f t="shared" si="30"/>
        <v>14602</v>
      </c>
      <c r="U17" s="12">
        <f t="shared" si="30"/>
        <v>18692</v>
      </c>
      <c r="V17" s="12">
        <f t="shared" si="30"/>
        <v>22353.8</v>
      </c>
      <c r="W17" s="12">
        <f t="shared" si="30"/>
        <v>19963</v>
      </c>
      <c r="X17" s="12">
        <f t="shared" si="30"/>
        <v>21268</v>
      </c>
      <c r="Y17" s="12">
        <f t="shared" si="30"/>
        <v>26168.8</v>
      </c>
      <c r="Z17" s="12">
        <f t="shared" si="30"/>
        <v>31295.32</v>
      </c>
      <c r="AA17" s="11"/>
      <c r="AB17" s="11"/>
      <c r="AC17" s="11"/>
      <c r="AD17" s="11"/>
      <c r="AE17" s="11"/>
      <c r="AF17" s="11">
        <f t="shared" ref="AF17:AJ17" si="31">SUM(AF14:AF16)</f>
        <v>20821</v>
      </c>
      <c r="AG17" s="11">
        <f t="shared" si="31"/>
        <v>27236</v>
      </c>
      <c r="AH17" s="11">
        <f t="shared" si="31"/>
        <v>47232</v>
      </c>
      <c r="AI17" s="11">
        <f t="shared" si="31"/>
        <v>72508.8</v>
      </c>
      <c r="AJ17" s="11">
        <f t="shared" si="31"/>
        <v>98695.12</v>
      </c>
      <c r="AK17" s="11">
        <f t="shared" ref="AK17:AQ17" si="32">AK14+AK15+AK16</f>
        <v>139595.6068</v>
      </c>
      <c r="AL17" s="11">
        <f t="shared" si="32"/>
        <v>186918.5175</v>
      </c>
      <c r="AM17" s="11">
        <f t="shared" si="32"/>
        <v>240657.5913</v>
      </c>
      <c r="AN17" s="11">
        <f t="shared" si="32"/>
        <v>297452.7828</v>
      </c>
      <c r="AO17" s="11">
        <f t="shared" si="32"/>
        <v>367651.6396</v>
      </c>
      <c r="AP17" s="11">
        <f t="shared" si="32"/>
        <v>435483.3671</v>
      </c>
      <c r="AQ17" s="11">
        <f t="shared" si="32"/>
        <v>493402.6549</v>
      </c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</row>
    <row r="18" ht="12.75" customHeight="1">
      <c r="A18" s="6"/>
      <c r="B18" s="6" t="s">
        <v>47</v>
      </c>
      <c r="C18" s="10"/>
      <c r="D18" s="10"/>
      <c r="E18" s="10"/>
      <c r="F18" s="10"/>
      <c r="G18" s="10">
        <v>324.0</v>
      </c>
      <c r="H18" s="10">
        <v>369.0</v>
      </c>
      <c r="I18" s="10">
        <v>402.0</v>
      </c>
      <c r="J18" s="10">
        <v>436.0</v>
      </c>
      <c r="K18" s="10">
        <v>293.0</v>
      </c>
      <c r="L18" s="10">
        <v>370.0</v>
      </c>
      <c r="M18" s="10">
        <v>579.0</v>
      </c>
      <c r="N18" s="10">
        <v>752.0</v>
      </c>
      <c r="O18" s="10">
        <v>494.0</v>
      </c>
      <c r="P18" s="10">
        <v>801.0</v>
      </c>
      <c r="Q18" s="10">
        <v>806.0</v>
      </c>
      <c r="R18" s="10">
        <v>688.0</v>
      </c>
      <c r="S18" s="10">
        <v>616.0</v>
      </c>
      <c r="T18" s="10">
        <v>866.0</v>
      </c>
      <c r="U18" s="10">
        <v>1117.0</v>
      </c>
      <c r="V18" s="10">
        <f t="shared" ref="V18:V19" si="33">+R18*1.4</f>
        <v>963.2</v>
      </c>
      <c r="W18" s="10">
        <v>1529.0</v>
      </c>
      <c r="X18" s="14">
        <v>1509.0</v>
      </c>
      <c r="Y18" s="10">
        <f t="shared" ref="Y18:Y19" si="34">+U18*(1+$AT$42)</f>
        <v>1563.8</v>
      </c>
      <c r="Z18" s="10">
        <f t="shared" ref="Z18:Z19" si="35">+V18*1.4</f>
        <v>1348.48</v>
      </c>
      <c r="AA18" s="6"/>
      <c r="AB18" s="6"/>
      <c r="AC18" s="6"/>
      <c r="AD18" s="6"/>
      <c r="AE18" s="6"/>
      <c r="AF18" s="6">
        <f t="shared" ref="AF18:AF19" si="36">SUM(G18:J18)</f>
        <v>1531</v>
      </c>
      <c r="AG18" s="6">
        <f t="shared" ref="AG18:AG19" si="37">SUM(K18:N18)</f>
        <v>1994</v>
      </c>
      <c r="AH18" s="6">
        <f t="shared" ref="AH18:AH19" si="38">SUM(O18:R18)</f>
        <v>2789</v>
      </c>
      <c r="AI18" s="6">
        <f t="shared" ref="AI18:AI19" si="39">SUM(S18:V18)</f>
        <v>3562.2</v>
      </c>
      <c r="AJ18" s="6">
        <f t="shared" ref="AJ18:AJ19" si="40">SUM(W18:Z18)</f>
        <v>5950.28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</row>
    <row r="19" ht="12.75" customHeight="1">
      <c r="A19" s="6"/>
      <c r="B19" s="6" t="s">
        <v>48</v>
      </c>
      <c r="C19" s="10"/>
      <c r="D19" s="10"/>
      <c r="E19" s="10"/>
      <c r="F19" s="10"/>
      <c r="G19" s="10">
        <v>493.0</v>
      </c>
      <c r="H19" s="10">
        <v>605.0</v>
      </c>
      <c r="I19" s="10">
        <v>548.0</v>
      </c>
      <c r="J19" s="10">
        <v>580.0</v>
      </c>
      <c r="K19" s="10">
        <v>560.0</v>
      </c>
      <c r="L19" s="10">
        <v>487.0</v>
      </c>
      <c r="M19" s="10">
        <v>581.0</v>
      </c>
      <c r="N19" s="10">
        <v>678.0</v>
      </c>
      <c r="O19" s="10">
        <v>893.0</v>
      </c>
      <c r="P19" s="10">
        <v>951.0</v>
      </c>
      <c r="Q19" s="10">
        <v>894.0</v>
      </c>
      <c r="R19" s="10">
        <v>1064.0</v>
      </c>
      <c r="S19" s="10">
        <v>1279.0</v>
      </c>
      <c r="T19" s="10">
        <v>1466.0</v>
      </c>
      <c r="U19" s="10">
        <v>1645.0</v>
      </c>
      <c r="V19" s="10">
        <f t="shared" si="33"/>
        <v>1489.6</v>
      </c>
      <c r="W19" s="10">
        <v>1837.0</v>
      </c>
      <c r="X19" s="14">
        <v>2150.0</v>
      </c>
      <c r="Y19" s="10">
        <f t="shared" si="34"/>
        <v>2303</v>
      </c>
      <c r="Z19" s="10">
        <f t="shared" si="35"/>
        <v>2085.44</v>
      </c>
      <c r="AA19" s="6"/>
      <c r="AB19" s="6"/>
      <c r="AC19" s="6"/>
      <c r="AD19" s="6"/>
      <c r="AE19" s="6"/>
      <c r="AF19" s="6">
        <f t="shared" si="36"/>
        <v>2226</v>
      </c>
      <c r="AG19" s="6">
        <f t="shared" si="37"/>
        <v>2306</v>
      </c>
      <c r="AH19" s="6">
        <f t="shared" si="38"/>
        <v>3802</v>
      </c>
      <c r="AI19" s="6">
        <f t="shared" si="39"/>
        <v>5879.6</v>
      </c>
      <c r="AJ19" s="6">
        <f t="shared" si="40"/>
        <v>8375.44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</row>
    <row r="20" ht="12.75" customHeight="1">
      <c r="A20" s="11"/>
      <c r="B20" s="11" t="s">
        <v>49</v>
      </c>
      <c r="C20" s="12"/>
      <c r="D20" s="12"/>
      <c r="E20" s="12"/>
      <c r="F20" s="12"/>
      <c r="G20" s="12">
        <f t="shared" ref="G20:Z20" si="41">SUM(G17:G19)</f>
        <v>4541</v>
      </c>
      <c r="H20" s="12">
        <f t="shared" si="41"/>
        <v>6350</v>
      </c>
      <c r="I20" s="12">
        <f t="shared" si="41"/>
        <v>6303</v>
      </c>
      <c r="J20" s="12">
        <f t="shared" si="41"/>
        <v>7384</v>
      </c>
      <c r="K20" s="12">
        <f t="shared" si="41"/>
        <v>5985</v>
      </c>
      <c r="L20" s="12">
        <f t="shared" si="41"/>
        <v>6036</v>
      </c>
      <c r="M20" s="12">
        <f t="shared" si="41"/>
        <v>8771</v>
      </c>
      <c r="N20" s="12">
        <f t="shared" si="41"/>
        <v>10744</v>
      </c>
      <c r="O20" s="12">
        <f t="shared" si="41"/>
        <v>10389</v>
      </c>
      <c r="P20" s="12">
        <f t="shared" si="41"/>
        <v>11958</v>
      </c>
      <c r="Q20" s="12">
        <f t="shared" si="41"/>
        <v>13757</v>
      </c>
      <c r="R20" s="12">
        <f t="shared" si="41"/>
        <v>17719</v>
      </c>
      <c r="S20" s="12">
        <f t="shared" si="41"/>
        <v>18756</v>
      </c>
      <c r="T20" s="12">
        <f t="shared" si="41"/>
        <v>16934</v>
      </c>
      <c r="U20" s="12">
        <f t="shared" si="41"/>
        <v>21454</v>
      </c>
      <c r="V20" s="12">
        <f t="shared" si="41"/>
        <v>24806.6</v>
      </c>
      <c r="W20" s="12">
        <f t="shared" si="41"/>
        <v>23329</v>
      </c>
      <c r="X20" s="12">
        <f t="shared" si="41"/>
        <v>24927</v>
      </c>
      <c r="Y20" s="12">
        <f t="shared" si="41"/>
        <v>30035.6</v>
      </c>
      <c r="Z20" s="12">
        <f t="shared" si="41"/>
        <v>34729.24</v>
      </c>
      <c r="AA20" s="11"/>
      <c r="AB20" s="11"/>
      <c r="AC20" s="11"/>
      <c r="AD20" s="11"/>
      <c r="AE20" s="11"/>
      <c r="AF20" s="11">
        <f t="shared" ref="AF20:AQ20" si="42">SUM(AF17:AF19)</f>
        <v>24578</v>
      </c>
      <c r="AG20" s="11">
        <f t="shared" si="42"/>
        <v>31536</v>
      </c>
      <c r="AH20" s="11">
        <f t="shared" si="42"/>
        <v>53823</v>
      </c>
      <c r="AI20" s="11">
        <f t="shared" si="42"/>
        <v>81950.6</v>
      </c>
      <c r="AJ20" s="11">
        <f t="shared" si="42"/>
        <v>113020.84</v>
      </c>
      <c r="AK20" s="11">
        <f t="shared" si="42"/>
        <v>139595.6068</v>
      </c>
      <c r="AL20" s="11">
        <f t="shared" si="42"/>
        <v>186918.5175</v>
      </c>
      <c r="AM20" s="11">
        <f t="shared" si="42"/>
        <v>240657.5913</v>
      </c>
      <c r="AN20" s="11">
        <f t="shared" si="42"/>
        <v>297452.7828</v>
      </c>
      <c r="AO20" s="11">
        <f t="shared" si="42"/>
        <v>367651.6396</v>
      </c>
      <c r="AP20" s="11">
        <f t="shared" si="42"/>
        <v>435483.3671</v>
      </c>
      <c r="AQ20" s="11">
        <f t="shared" si="42"/>
        <v>493402.6549</v>
      </c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</row>
    <row r="21" ht="12.75" customHeight="1">
      <c r="A21" s="6"/>
      <c r="B21" s="6" t="s">
        <v>50</v>
      </c>
      <c r="C21" s="10"/>
      <c r="D21" s="10"/>
      <c r="E21" s="10"/>
      <c r="F21" s="10"/>
      <c r="G21" s="10">
        <v>2856.0</v>
      </c>
      <c r="H21" s="10">
        <v>4254.0</v>
      </c>
      <c r="I21" s="10">
        <v>4014.0</v>
      </c>
      <c r="J21" s="10">
        <v>4815.0</v>
      </c>
      <c r="K21" s="10">
        <v>3699.0</v>
      </c>
      <c r="L21" s="10">
        <v>3714.0</v>
      </c>
      <c r="M21" s="10">
        <v>5361.0</v>
      </c>
      <c r="N21" s="10">
        <v>6922.0</v>
      </c>
      <c r="O21" s="10">
        <v>6457.0</v>
      </c>
      <c r="P21" s="10">
        <v>7119.0</v>
      </c>
      <c r="Q21" s="10">
        <v>8150.0</v>
      </c>
      <c r="R21" s="10">
        <v>10689.0</v>
      </c>
      <c r="S21" s="10">
        <v>10914.0</v>
      </c>
      <c r="T21" s="10">
        <v>10153.0</v>
      </c>
      <c r="U21" s="10">
        <v>13099.0</v>
      </c>
      <c r="V21" s="10">
        <v>15433.0</v>
      </c>
      <c r="W21" s="10">
        <v>15422.0</v>
      </c>
      <c r="X21" s="14">
        <v>16841.0</v>
      </c>
      <c r="Y21" s="10">
        <f t="shared" ref="Y21:Z21" si="43">+Y14*0.75</f>
        <v>18674.25</v>
      </c>
      <c r="Z21" s="10">
        <f t="shared" si="43"/>
        <v>22086.75</v>
      </c>
      <c r="AA21" s="6"/>
      <c r="AB21" s="6"/>
      <c r="AC21" s="6"/>
      <c r="AD21" s="6"/>
      <c r="AE21" s="6"/>
      <c r="AF21" s="6"/>
      <c r="AG21" s="6"/>
      <c r="AH21" s="6"/>
      <c r="AI21" s="6">
        <f t="shared" ref="AI21:AI22" si="46">SUM(S21:V21)</f>
        <v>49599</v>
      </c>
      <c r="AJ21" s="6">
        <f t="shared" ref="AJ21:AJ22" si="47">SUM(W21:Z21)</f>
        <v>73024</v>
      </c>
      <c r="AK21" s="6">
        <f>AK20*0.81</f>
        <v>113072.4415</v>
      </c>
      <c r="AL21" s="6">
        <f t="shared" ref="AL21:AQ21" si="44">AL20*0.8</f>
        <v>149534.814</v>
      </c>
      <c r="AM21" s="6">
        <f t="shared" si="44"/>
        <v>192526.073</v>
      </c>
      <c r="AN21" s="6">
        <f t="shared" si="44"/>
        <v>237962.2263</v>
      </c>
      <c r="AO21" s="6">
        <f t="shared" si="44"/>
        <v>294121.3117</v>
      </c>
      <c r="AP21" s="6">
        <f t="shared" si="44"/>
        <v>348386.6937</v>
      </c>
      <c r="AQ21" s="6">
        <f t="shared" si="44"/>
        <v>394722.1239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</row>
    <row r="22" ht="12.75" customHeight="1">
      <c r="A22" s="6"/>
      <c r="B22" s="6" t="s">
        <v>51</v>
      </c>
      <c r="C22" s="10"/>
      <c r="D22" s="10"/>
      <c r="E22" s="10"/>
      <c r="F22" s="10"/>
      <c r="G22" s="10">
        <f t="shared" ref="G22:Z22" si="45">G14-G21</f>
        <v>653</v>
      </c>
      <c r="H22" s="10">
        <f t="shared" si="45"/>
        <v>914</v>
      </c>
      <c r="I22" s="10">
        <f t="shared" si="45"/>
        <v>1118</v>
      </c>
      <c r="J22" s="10">
        <f t="shared" si="45"/>
        <v>1328</v>
      </c>
      <c r="K22" s="10">
        <f t="shared" si="45"/>
        <v>1194</v>
      </c>
      <c r="L22" s="10">
        <f t="shared" si="45"/>
        <v>1197</v>
      </c>
      <c r="M22" s="10">
        <f t="shared" si="45"/>
        <v>1985</v>
      </c>
      <c r="N22" s="10">
        <f t="shared" si="45"/>
        <v>1711</v>
      </c>
      <c r="O22" s="10">
        <f t="shared" si="45"/>
        <v>1730</v>
      </c>
      <c r="P22" s="10">
        <f t="shared" si="45"/>
        <v>2401</v>
      </c>
      <c r="Q22" s="10">
        <f t="shared" si="45"/>
        <v>3243</v>
      </c>
      <c r="R22" s="10">
        <f t="shared" si="45"/>
        <v>4336</v>
      </c>
      <c r="S22" s="10">
        <f t="shared" si="45"/>
        <v>4600</v>
      </c>
      <c r="T22" s="10">
        <f t="shared" si="45"/>
        <v>3517</v>
      </c>
      <c r="U22" s="10">
        <f t="shared" si="45"/>
        <v>4686</v>
      </c>
      <c r="V22" s="10">
        <f t="shared" si="45"/>
        <v>5602</v>
      </c>
      <c r="W22" s="10">
        <f t="shared" si="45"/>
        <v>3456</v>
      </c>
      <c r="X22" s="10">
        <f t="shared" si="45"/>
        <v>3578</v>
      </c>
      <c r="Y22" s="10">
        <f t="shared" si="45"/>
        <v>6224.75</v>
      </c>
      <c r="Z22" s="10">
        <f t="shared" si="45"/>
        <v>7362.25</v>
      </c>
      <c r="AA22" s="6"/>
      <c r="AB22" s="6"/>
      <c r="AC22" s="6"/>
      <c r="AD22" s="6"/>
      <c r="AE22" s="6"/>
      <c r="AF22" s="6"/>
      <c r="AG22" s="6"/>
      <c r="AH22" s="6"/>
      <c r="AI22" s="6">
        <f t="shared" si="46"/>
        <v>18405</v>
      </c>
      <c r="AJ22" s="6">
        <f t="shared" si="47"/>
        <v>20621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</row>
    <row r="23" ht="12.75" customHeight="1">
      <c r="A23" s="6"/>
      <c r="B23" s="6" t="s">
        <v>52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>
        <f t="shared" ref="AK23:AQ23" si="48">AK13*0.2</f>
        <v>721.1001915</v>
      </c>
      <c r="AL23" s="6">
        <f t="shared" si="48"/>
        <v>1874.860498</v>
      </c>
      <c r="AM23" s="6">
        <f t="shared" si="48"/>
        <v>3515.363434</v>
      </c>
      <c r="AN23" s="6">
        <f t="shared" si="48"/>
        <v>5624.581494</v>
      </c>
      <c r="AO23" s="6">
        <f t="shared" si="48"/>
        <v>8436.872241</v>
      </c>
      <c r="AP23" s="6">
        <f t="shared" si="48"/>
        <v>11642.88369</v>
      </c>
      <c r="AQ23" s="6">
        <f t="shared" si="48"/>
        <v>14941.70074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</row>
    <row r="24" ht="12.75" customHeight="1">
      <c r="A24" s="6"/>
      <c r="B24" s="6" t="s">
        <v>53</v>
      </c>
      <c r="C24" s="10"/>
      <c r="D24" s="10"/>
      <c r="E24" s="10"/>
      <c r="F24" s="10"/>
      <c r="G24" s="10">
        <v>117.0</v>
      </c>
      <c r="H24" s="10">
        <v>106.0</v>
      </c>
      <c r="I24" s="10">
        <v>117.0</v>
      </c>
      <c r="J24" s="10">
        <v>119.0</v>
      </c>
      <c r="K24" s="10">
        <v>122.0</v>
      </c>
      <c r="L24" s="10">
        <v>148.0</v>
      </c>
      <c r="M24" s="10">
        <v>145.0</v>
      </c>
      <c r="N24" s="10">
        <v>148.0</v>
      </c>
      <c r="O24" s="10">
        <v>160.0</v>
      </c>
      <c r="P24" s="10">
        <v>188.0</v>
      </c>
      <c r="Q24" s="10">
        <v>234.0</v>
      </c>
      <c r="R24" s="10">
        <v>396.0</v>
      </c>
      <c r="S24" s="10">
        <v>408.0</v>
      </c>
      <c r="T24" s="10">
        <v>369.0</v>
      </c>
      <c r="U24" s="10">
        <v>381.0</v>
      </c>
      <c r="V24" s="10">
        <v>352.0</v>
      </c>
      <c r="W24" s="10">
        <v>333.0</v>
      </c>
      <c r="X24" s="14">
        <v>338.0</v>
      </c>
      <c r="Y24" s="10">
        <f t="shared" ref="Y24:Z24" si="49">+U24*1.4</f>
        <v>533.4</v>
      </c>
      <c r="Z24" s="10">
        <f t="shared" si="49"/>
        <v>492.8</v>
      </c>
      <c r="AA24" s="6"/>
      <c r="AB24" s="6"/>
      <c r="AC24" s="6"/>
      <c r="AD24" s="6"/>
      <c r="AE24" s="6"/>
      <c r="AF24" s="6"/>
      <c r="AG24" s="6"/>
      <c r="AH24" s="6"/>
      <c r="AI24" s="6">
        <f t="shared" ref="AI24:AI27" si="51">SUM(S24:V24)</f>
        <v>1510</v>
      </c>
      <c r="AJ24" s="6">
        <f t="shared" ref="AJ24:AJ30" si="52">SUM(W24:Z24)</f>
        <v>1697.2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</row>
    <row r="25" ht="12.75" customHeight="1">
      <c r="A25" s="6"/>
      <c r="B25" s="6" t="s">
        <v>54</v>
      </c>
      <c r="C25" s="10"/>
      <c r="D25" s="10"/>
      <c r="E25" s="10"/>
      <c r="F25" s="10"/>
      <c r="G25" s="10">
        <f t="shared" ref="G25:Z25" si="50">G17-G24-G21</f>
        <v>751</v>
      </c>
      <c r="H25" s="10">
        <f t="shared" si="50"/>
        <v>1016</v>
      </c>
      <c r="I25" s="10">
        <f t="shared" si="50"/>
        <v>1222</v>
      </c>
      <c r="J25" s="10">
        <f t="shared" si="50"/>
        <v>1434</v>
      </c>
      <c r="K25" s="10">
        <f t="shared" si="50"/>
        <v>1311</v>
      </c>
      <c r="L25" s="10">
        <f t="shared" si="50"/>
        <v>1317</v>
      </c>
      <c r="M25" s="10">
        <f t="shared" si="50"/>
        <v>2105</v>
      </c>
      <c r="N25" s="10">
        <f t="shared" si="50"/>
        <v>2244</v>
      </c>
      <c r="O25" s="10">
        <f t="shared" si="50"/>
        <v>2385</v>
      </c>
      <c r="P25" s="10">
        <f t="shared" si="50"/>
        <v>2899</v>
      </c>
      <c r="Q25" s="10">
        <f t="shared" si="50"/>
        <v>3673</v>
      </c>
      <c r="R25" s="10">
        <f t="shared" si="50"/>
        <v>4882</v>
      </c>
      <c r="S25" s="10">
        <f t="shared" si="50"/>
        <v>5539</v>
      </c>
      <c r="T25" s="10">
        <f t="shared" si="50"/>
        <v>4080</v>
      </c>
      <c r="U25" s="10">
        <f t="shared" si="50"/>
        <v>5212</v>
      </c>
      <c r="V25" s="10">
        <f t="shared" si="50"/>
        <v>6568.8</v>
      </c>
      <c r="W25" s="10">
        <f t="shared" si="50"/>
        <v>4208</v>
      </c>
      <c r="X25" s="10">
        <f t="shared" si="50"/>
        <v>4089</v>
      </c>
      <c r="Y25" s="10">
        <f t="shared" si="50"/>
        <v>6961.15</v>
      </c>
      <c r="Z25" s="10">
        <f t="shared" si="50"/>
        <v>8715.77</v>
      </c>
      <c r="AA25" s="6"/>
      <c r="AB25" s="6"/>
      <c r="AC25" s="6"/>
      <c r="AD25" s="6"/>
      <c r="AE25" s="6"/>
      <c r="AF25" s="6"/>
      <c r="AG25" s="6"/>
      <c r="AH25" s="6"/>
      <c r="AI25" s="6">
        <f t="shared" si="51"/>
        <v>21399.8</v>
      </c>
      <c r="AJ25" s="6">
        <f t="shared" si="52"/>
        <v>23973.92</v>
      </c>
      <c r="AK25" s="6">
        <f t="shared" ref="AK25:AQ25" si="53">AK20-AK21</f>
        <v>26523.16529</v>
      </c>
      <c r="AL25" s="6">
        <f t="shared" si="53"/>
        <v>37383.7035</v>
      </c>
      <c r="AM25" s="6">
        <f t="shared" si="53"/>
        <v>48131.51826</v>
      </c>
      <c r="AN25" s="6">
        <f t="shared" si="53"/>
        <v>59490.55657</v>
      </c>
      <c r="AO25" s="6">
        <f t="shared" si="53"/>
        <v>73530.32792</v>
      </c>
      <c r="AP25" s="6">
        <f t="shared" si="53"/>
        <v>87096.67342</v>
      </c>
      <c r="AQ25" s="6">
        <f t="shared" si="53"/>
        <v>98680.53098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</row>
    <row r="26" ht="12.75" customHeight="1">
      <c r="A26" s="6"/>
      <c r="B26" s="6" t="s">
        <v>55</v>
      </c>
      <c r="C26" s="10"/>
      <c r="D26" s="10"/>
      <c r="E26" s="10"/>
      <c r="F26" s="10"/>
      <c r="G26" s="10">
        <v>316.0</v>
      </c>
      <c r="H26" s="10">
        <v>326.0</v>
      </c>
      <c r="I26" s="10">
        <v>314.0</v>
      </c>
      <c r="J26" s="10">
        <v>385.0</v>
      </c>
      <c r="K26" s="10">
        <v>282.0</v>
      </c>
      <c r="L26" s="10">
        <v>349.0</v>
      </c>
      <c r="M26" s="10">
        <v>558.0</v>
      </c>
      <c r="N26" s="10">
        <v>787.0</v>
      </c>
      <c r="O26" s="10">
        <v>595.0</v>
      </c>
      <c r="P26" s="10">
        <v>781.0</v>
      </c>
      <c r="Q26" s="10">
        <v>803.0</v>
      </c>
      <c r="R26" s="10">
        <v>739.0</v>
      </c>
      <c r="S26" s="10">
        <v>688.0</v>
      </c>
      <c r="T26" s="10">
        <v>769.0</v>
      </c>
      <c r="U26" s="10">
        <v>1013.0</v>
      </c>
      <c r="V26" s="10">
        <v>1151.0</v>
      </c>
      <c r="W26" s="10">
        <v>1361.0</v>
      </c>
      <c r="X26" s="14">
        <v>1231.0</v>
      </c>
      <c r="Y26" s="10">
        <f t="shared" ref="Y26:Z26" si="54">+U26*1.4</f>
        <v>1418.2</v>
      </c>
      <c r="Z26" s="10">
        <f t="shared" si="54"/>
        <v>1611.4</v>
      </c>
      <c r="AA26" s="6"/>
      <c r="AB26" s="6"/>
      <c r="AC26" s="6"/>
      <c r="AD26" s="6"/>
      <c r="AE26" s="6"/>
      <c r="AF26" s="6"/>
      <c r="AG26" s="6"/>
      <c r="AH26" s="6"/>
      <c r="AI26" s="6">
        <f t="shared" si="51"/>
        <v>3621</v>
      </c>
      <c r="AJ26" s="6">
        <f t="shared" si="52"/>
        <v>5621.6</v>
      </c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</row>
    <row r="27" ht="12.75" customHeight="1">
      <c r="A27" s="6"/>
      <c r="B27" s="6" t="s">
        <v>56</v>
      </c>
      <c r="C27" s="10"/>
      <c r="D27" s="10"/>
      <c r="E27" s="10"/>
      <c r="F27" s="10"/>
      <c r="G27" s="10">
        <v>686.0</v>
      </c>
      <c r="H27" s="10">
        <v>743.0</v>
      </c>
      <c r="I27" s="10">
        <v>667.0</v>
      </c>
      <c r="J27" s="10">
        <v>674.0</v>
      </c>
      <c r="K27" s="10">
        <v>648.0</v>
      </c>
      <c r="L27" s="10">
        <v>558.0</v>
      </c>
      <c r="M27" s="10">
        <v>644.0</v>
      </c>
      <c r="N27" s="10">
        <v>821.0</v>
      </c>
      <c r="O27" s="10">
        <v>962.0</v>
      </c>
      <c r="P27" s="10">
        <v>986.0</v>
      </c>
      <c r="Q27" s="10">
        <v>910.0</v>
      </c>
      <c r="R27" s="10">
        <v>1048.0</v>
      </c>
      <c r="S27" s="10">
        <v>1286.0</v>
      </c>
      <c r="T27" s="10">
        <v>1410.0</v>
      </c>
      <c r="U27" s="10">
        <v>1579.0</v>
      </c>
      <c r="V27" s="10">
        <v>1605.0</v>
      </c>
      <c r="W27" s="10">
        <v>1702.0</v>
      </c>
      <c r="X27" s="14">
        <v>1984.0</v>
      </c>
      <c r="Y27" s="10">
        <f t="shared" ref="Y27:Z27" si="55">+U27*1.4</f>
        <v>2210.6</v>
      </c>
      <c r="Z27" s="10">
        <f t="shared" si="55"/>
        <v>2247</v>
      </c>
      <c r="AA27" s="6"/>
      <c r="AB27" s="6"/>
      <c r="AC27" s="6"/>
      <c r="AD27" s="6"/>
      <c r="AE27" s="6"/>
      <c r="AF27" s="6"/>
      <c r="AG27" s="6"/>
      <c r="AH27" s="6"/>
      <c r="AI27" s="6">
        <f t="shared" si="51"/>
        <v>5880</v>
      </c>
      <c r="AJ27" s="6">
        <f t="shared" si="52"/>
        <v>8143.6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</row>
    <row r="28" ht="12.75" customHeight="1">
      <c r="A28" s="6"/>
      <c r="B28" s="6" t="s">
        <v>57</v>
      </c>
      <c r="C28" s="10"/>
      <c r="D28" s="10"/>
      <c r="E28" s="10"/>
      <c r="F28" s="10"/>
      <c r="G28" s="10">
        <f t="shared" ref="G28:X28" si="56">G25+G18+G19-G26-G27</f>
        <v>566</v>
      </c>
      <c r="H28" s="10">
        <f t="shared" si="56"/>
        <v>921</v>
      </c>
      <c r="I28" s="10">
        <f t="shared" si="56"/>
        <v>1191</v>
      </c>
      <c r="J28" s="10">
        <f t="shared" si="56"/>
        <v>1391</v>
      </c>
      <c r="K28" s="10">
        <f t="shared" si="56"/>
        <v>1234</v>
      </c>
      <c r="L28" s="10">
        <f t="shared" si="56"/>
        <v>1267</v>
      </c>
      <c r="M28" s="10">
        <f t="shared" si="56"/>
        <v>2063</v>
      </c>
      <c r="N28" s="10">
        <f t="shared" si="56"/>
        <v>2066</v>
      </c>
      <c r="O28" s="10">
        <f t="shared" si="56"/>
        <v>2215</v>
      </c>
      <c r="P28" s="10">
        <f t="shared" si="56"/>
        <v>2884</v>
      </c>
      <c r="Q28" s="10">
        <f t="shared" si="56"/>
        <v>3660</v>
      </c>
      <c r="R28" s="10">
        <f t="shared" si="56"/>
        <v>4847</v>
      </c>
      <c r="S28" s="10">
        <f t="shared" si="56"/>
        <v>5460</v>
      </c>
      <c r="T28" s="10">
        <f t="shared" si="56"/>
        <v>4233</v>
      </c>
      <c r="U28" s="10">
        <f t="shared" si="56"/>
        <v>5382</v>
      </c>
      <c r="V28" s="10">
        <f t="shared" si="56"/>
        <v>6265.6</v>
      </c>
      <c r="W28" s="10">
        <f t="shared" si="56"/>
        <v>4511</v>
      </c>
      <c r="X28" s="10">
        <f t="shared" si="56"/>
        <v>4533</v>
      </c>
      <c r="Y28" s="10">
        <f t="shared" ref="Y28:Z28" si="57">+Y20*0.25</f>
        <v>7508.9</v>
      </c>
      <c r="Z28" s="10">
        <f t="shared" si="57"/>
        <v>8682.31</v>
      </c>
      <c r="AA28" s="6"/>
      <c r="AB28" s="6"/>
      <c r="AC28" s="6"/>
      <c r="AD28" s="6"/>
      <c r="AE28" s="6"/>
      <c r="AF28" s="6"/>
      <c r="AG28" s="6"/>
      <c r="AH28" s="6"/>
      <c r="AI28" s="10">
        <f>+AI20*0.25</f>
        <v>20487.65</v>
      </c>
      <c r="AJ28" s="6">
        <f t="shared" si="52"/>
        <v>25235.21</v>
      </c>
      <c r="AK28" s="6">
        <f t="shared" ref="AK28:AQ28" si="58">AK25+AK13-AK23</f>
        <v>29407.56606</v>
      </c>
      <c r="AL28" s="6">
        <f t="shared" si="58"/>
        <v>44883.14549</v>
      </c>
      <c r="AM28" s="6">
        <f t="shared" si="58"/>
        <v>62192.97199</v>
      </c>
      <c r="AN28" s="6">
        <f t="shared" si="58"/>
        <v>81988.88254</v>
      </c>
      <c r="AO28" s="6">
        <f t="shared" si="58"/>
        <v>107277.8169</v>
      </c>
      <c r="AP28" s="6">
        <f t="shared" si="58"/>
        <v>133668.2082</v>
      </c>
      <c r="AQ28" s="6">
        <f t="shared" si="58"/>
        <v>158447.3339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</row>
    <row r="29" ht="12.75" customHeight="1">
      <c r="A29" s="6"/>
      <c r="B29" s="6" t="s">
        <v>58</v>
      </c>
      <c r="C29" s="10"/>
      <c r="D29" s="10"/>
      <c r="E29" s="10"/>
      <c r="F29" s="10"/>
      <c r="G29" s="10">
        <v>340.0</v>
      </c>
      <c r="H29" s="10">
        <v>324.0</v>
      </c>
      <c r="I29" s="10">
        <v>334.0</v>
      </c>
      <c r="J29" s="10">
        <v>345.0</v>
      </c>
      <c r="K29" s="10">
        <v>324.0</v>
      </c>
      <c r="L29" s="10">
        <v>279.0</v>
      </c>
      <c r="M29" s="10">
        <v>366.0</v>
      </c>
      <c r="N29" s="10">
        <v>522.0</v>
      </c>
      <c r="O29" s="10">
        <v>666.0</v>
      </c>
      <c r="P29" s="10">
        <v>576.0</v>
      </c>
      <c r="Q29" s="10">
        <v>611.0</v>
      </c>
      <c r="R29" s="10">
        <v>740.0</v>
      </c>
      <c r="S29" s="10">
        <v>865.0</v>
      </c>
      <c r="T29" s="10">
        <v>667.0</v>
      </c>
      <c r="U29" s="10">
        <v>733.0</v>
      </c>
      <c r="V29" s="10">
        <v>810.0</v>
      </c>
      <c r="W29" s="10">
        <v>771.0</v>
      </c>
      <c r="X29" s="14">
        <v>943.0</v>
      </c>
      <c r="Y29" s="10">
        <f t="shared" ref="Y29:Z29" si="59">+U29*1.3</f>
        <v>952.9</v>
      </c>
      <c r="Z29" s="10">
        <f t="shared" si="59"/>
        <v>1053</v>
      </c>
      <c r="AA29" s="6"/>
      <c r="AB29" s="6"/>
      <c r="AC29" s="6"/>
      <c r="AD29" s="6"/>
      <c r="AE29" s="6"/>
      <c r="AF29" s="6"/>
      <c r="AG29" s="6"/>
      <c r="AH29" s="6"/>
      <c r="AI29" s="6">
        <f t="shared" ref="AI29:AI30" si="62">SUM(S29:V29)</f>
        <v>3075</v>
      </c>
      <c r="AJ29" s="6">
        <f t="shared" si="52"/>
        <v>3719.9</v>
      </c>
      <c r="AK29" s="6">
        <f t="shared" ref="AK29:AQ29" si="60">AJ29*1.02</f>
        <v>3794.298</v>
      </c>
      <c r="AL29" s="6">
        <f t="shared" si="60"/>
        <v>3870.18396</v>
      </c>
      <c r="AM29" s="6">
        <f t="shared" si="60"/>
        <v>3947.587639</v>
      </c>
      <c r="AN29" s="6">
        <f t="shared" si="60"/>
        <v>4026.539392</v>
      </c>
      <c r="AO29" s="6">
        <f t="shared" si="60"/>
        <v>4107.07018</v>
      </c>
      <c r="AP29" s="6">
        <f t="shared" si="60"/>
        <v>4189.211583</v>
      </c>
      <c r="AQ29" s="6">
        <f t="shared" si="60"/>
        <v>4272.995815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</row>
    <row r="30" ht="12.75" customHeight="1">
      <c r="A30" s="6"/>
      <c r="B30" s="6" t="s">
        <v>59</v>
      </c>
      <c r="C30" s="10"/>
      <c r="D30" s="10"/>
      <c r="E30" s="10"/>
      <c r="F30" s="10"/>
      <c r="G30" s="10">
        <v>704.0</v>
      </c>
      <c r="H30" s="10">
        <v>647.0</v>
      </c>
      <c r="I30" s="10">
        <v>596.0</v>
      </c>
      <c r="J30" s="10">
        <v>699.0</v>
      </c>
      <c r="K30" s="10">
        <v>627.0</v>
      </c>
      <c r="L30" s="10">
        <v>661.0</v>
      </c>
      <c r="M30" s="10">
        <v>888.0</v>
      </c>
      <c r="N30" s="10">
        <v>969.0</v>
      </c>
      <c r="O30" s="10">
        <v>1056.0</v>
      </c>
      <c r="P30" s="10">
        <v>973.0</v>
      </c>
      <c r="Q30" s="10">
        <v>994.0</v>
      </c>
      <c r="R30" s="10">
        <v>1494.0</v>
      </c>
      <c r="S30" s="10">
        <v>992.0</v>
      </c>
      <c r="T30" s="10">
        <v>961.0</v>
      </c>
      <c r="U30" s="10">
        <v>961.0</v>
      </c>
      <c r="V30" s="10">
        <f>+R30*1.2</f>
        <v>1792.8</v>
      </c>
      <c r="W30" s="10">
        <v>1076.0</v>
      </c>
      <c r="X30" s="14">
        <v>1191.0</v>
      </c>
      <c r="Y30" s="10">
        <f t="shared" ref="Y30:Z30" si="61">+U30*1.2</f>
        <v>1153.2</v>
      </c>
      <c r="Z30" s="10">
        <f t="shared" si="61"/>
        <v>2151.36</v>
      </c>
      <c r="AA30" s="6"/>
      <c r="AB30" s="6"/>
      <c r="AC30" s="6"/>
      <c r="AD30" s="6"/>
      <c r="AE30" s="6"/>
      <c r="AF30" s="6"/>
      <c r="AG30" s="6"/>
      <c r="AH30" s="6"/>
      <c r="AI30" s="6">
        <f t="shared" si="62"/>
        <v>4706.8</v>
      </c>
      <c r="AJ30" s="6">
        <f t="shared" si="52"/>
        <v>5571.56</v>
      </c>
      <c r="AK30" s="6">
        <f t="shared" ref="AK30:AQ30" si="63">AJ30*1.02</f>
        <v>5682.9912</v>
      </c>
      <c r="AL30" s="6">
        <f t="shared" si="63"/>
        <v>5796.651024</v>
      </c>
      <c r="AM30" s="6">
        <f t="shared" si="63"/>
        <v>5912.584044</v>
      </c>
      <c r="AN30" s="6">
        <f t="shared" si="63"/>
        <v>6030.835725</v>
      </c>
      <c r="AO30" s="6">
        <f t="shared" si="63"/>
        <v>6151.45244</v>
      </c>
      <c r="AP30" s="6">
        <f t="shared" si="63"/>
        <v>6274.481489</v>
      </c>
      <c r="AQ30" s="6">
        <f t="shared" si="63"/>
        <v>6399.971118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</row>
    <row r="31" ht="12.75" customHeight="1">
      <c r="A31" s="6"/>
      <c r="B31" s="6" t="s">
        <v>60</v>
      </c>
      <c r="C31" s="10"/>
      <c r="D31" s="10"/>
      <c r="E31" s="10"/>
      <c r="F31" s="10"/>
      <c r="G31" s="10">
        <f t="shared" ref="G31:Z31" si="64">G29+G30</f>
        <v>1044</v>
      </c>
      <c r="H31" s="10">
        <f t="shared" si="64"/>
        <v>971</v>
      </c>
      <c r="I31" s="10">
        <f t="shared" si="64"/>
        <v>930</v>
      </c>
      <c r="J31" s="10">
        <f t="shared" si="64"/>
        <v>1044</v>
      </c>
      <c r="K31" s="10">
        <f t="shared" si="64"/>
        <v>951</v>
      </c>
      <c r="L31" s="10">
        <f t="shared" si="64"/>
        <v>940</v>
      </c>
      <c r="M31" s="10">
        <f t="shared" si="64"/>
        <v>1254</v>
      </c>
      <c r="N31" s="10">
        <f t="shared" si="64"/>
        <v>1491</v>
      </c>
      <c r="O31" s="10">
        <f t="shared" si="64"/>
        <v>1722</v>
      </c>
      <c r="P31" s="10">
        <f t="shared" si="64"/>
        <v>1549</v>
      </c>
      <c r="Q31" s="10">
        <f t="shared" si="64"/>
        <v>1605</v>
      </c>
      <c r="R31" s="10">
        <f t="shared" si="64"/>
        <v>2234</v>
      </c>
      <c r="S31" s="10">
        <f t="shared" si="64"/>
        <v>1857</v>
      </c>
      <c r="T31" s="10">
        <f t="shared" si="64"/>
        <v>1628</v>
      </c>
      <c r="U31" s="10">
        <f t="shared" si="64"/>
        <v>1694</v>
      </c>
      <c r="V31" s="10">
        <f t="shared" si="64"/>
        <v>2602.8</v>
      </c>
      <c r="W31" s="10">
        <f t="shared" si="64"/>
        <v>1847</v>
      </c>
      <c r="X31" s="10">
        <f t="shared" si="64"/>
        <v>2134</v>
      </c>
      <c r="Y31" s="10">
        <f t="shared" si="64"/>
        <v>2106.1</v>
      </c>
      <c r="Z31" s="10">
        <f t="shared" si="64"/>
        <v>3204.36</v>
      </c>
      <c r="AA31" s="6"/>
      <c r="AB31" s="6"/>
      <c r="AC31" s="6"/>
      <c r="AD31" s="6"/>
      <c r="AE31" s="6"/>
      <c r="AF31" s="6"/>
      <c r="AG31" s="6"/>
      <c r="AH31" s="6"/>
      <c r="AI31" s="6">
        <f t="shared" ref="AI31:AQ31" si="65">+AI29+AI30</f>
        <v>7781.8</v>
      </c>
      <c r="AJ31" s="6">
        <f t="shared" si="65"/>
        <v>9291.46</v>
      </c>
      <c r="AK31" s="6">
        <f t="shared" si="65"/>
        <v>9477.2892</v>
      </c>
      <c r="AL31" s="6">
        <f t="shared" si="65"/>
        <v>9666.834984</v>
      </c>
      <c r="AM31" s="6">
        <f t="shared" si="65"/>
        <v>9860.171684</v>
      </c>
      <c r="AN31" s="6">
        <f t="shared" si="65"/>
        <v>10057.37512</v>
      </c>
      <c r="AO31" s="6">
        <f t="shared" si="65"/>
        <v>10258.52262</v>
      </c>
      <c r="AP31" s="6">
        <f t="shared" si="65"/>
        <v>10463.69307</v>
      </c>
      <c r="AQ31" s="6">
        <f t="shared" si="65"/>
        <v>10672.96693</v>
      </c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</row>
    <row r="32" ht="12.75" customHeight="1">
      <c r="A32" s="6"/>
      <c r="B32" s="6" t="s">
        <v>61</v>
      </c>
      <c r="C32" s="10"/>
      <c r="D32" s="10"/>
      <c r="E32" s="10"/>
      <c r="F32" s="10"/>
      <c r="G32" s="10">
        <f t="shared" ref="G32:Z32" si="66">G28-G31</f>
        <v>-478</v>
      </c>
      <c r="H32" s="10">
        <f t="shared" si="66"/>
        <v>-50</v>
      </c>
      <c r="I32" s="10">
        <f t="shared" si="66"/>
        <v>261</v>
      </c>
      <c r="J32" s="10">
        <f t="shared" si="66"/>
        <v>347</v>
      </c>
      <c r="K32" s="10">
        <f t="shared" si="66"/>
        <v>283</v>
      </c>
      <c r="L32" s="10">
        <f t="shared" si="66"/>
        <v>327</v>
      </c>
      <c r="M32" s="10">
        <f t="shared" si="66"/>
        <v>809</v>
      </c>
      <c r="N32" s="10">
        <f t="shared" si="66"/>
        <v>575</v>
      </c>
      <c r="O32" s="10">
        <f t="shared" si="66"/>
        <v>493</v>
      </c>
      <c r="P32" s="10">
        <f t="shared" si="66"/>
        <v>1335</v>
      </c>
      <c r="Q32" s="10">
        <f t="shared" si="66"/>
        <v>2055</v>
      </c>
      <c r="R32" s="10">
        <f t="shared" si="66"/>
        <v>2613</v>
      </c>
      <c r="S32" s="10">
        <f t="shared" si="66"/>
        <v>3603</v>
      </c>
      <c r="T32" s="10">
        <f t="shared" si="66"/>
        <v>2605</v>
      </c>
      <c r="U32" s="10">
        <f t="shared" si="66"/>
        <v>3688</v>
      </c>
      <c r="V32" s="10">
        <f t="shared" si="66"/>
        <v>3662.8</v>
      </c>
      <c r="W32" s="10">
        <f t="shared" si="66"/>
        <v>2664</v>
      </c>
      <c r="X32" s="10">
        <f t="shared" si="66"/>
        <v>2399</v>
      </c>
      <c r="Y32" s="10">
        <f t="shared" si="66"/>
        <v>5402.8</v>
      </c>
      <c r="Z32" s="10">
        <f t="shared" si="66"/>
        <v>5477.95</v>
      </c>
      <c r="AA32" s="6"/>
      <c r="AB32" s="6"/>
      <c r="AC32" s="6"/>
      <c r="AD32" s="6"/>
      <c r="AE32" s="6"/>
      <c r="AF32" s="6"/>
      <c r="AG32" s="6"/>
      <c r="AH32" s="6"/>
      <c r="AI32" s="10">
        <f t="shared" ref="AI32:AQ32" si="67">AI28-AI31</f>
        <v>12705.85</v>
      </c>
      <c r="AJ32" s="10">
        <f t="shared" si="67"/>
        <v>15943.75</v>
      </c>
      <c r="AK32" s="10">
        <f t="shared" si="67"/>
        <v>19930.27686</v>
      </c>
      <c r="AL32" s="10">
        <f t="shared" si="67"/>
        <v>35216.31051</v>
      </c>
      <c r="AM32" s="10">
        <f t="shared" si="67"/>
        <v>52332.80031</v>
      </c>
      <c r="AN32" s="10">
        <f t="shared" si="67"/>
        <v>71931.50743</v>
      </c>
      <c r="AO32" s="10">
        <f t="shared" si="67"/>
        <v>97019.29426</v>
      </c>
      <c r="AP32" s="10">
        <f t="shared" si="67"/>
        <v>123204.5151</v>
      </c>
      <c r="AQ32" s="10">
        <f t="shared" si="67"/>
        <v>147774.367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</row>
    <row r="33" ht="12.75" customHeight="1">
      <c r="A33" s="6"/>
      <c r="B33" s="6" t="s">
        <v>62</v>
      </c>
      <c r="C33" s="10"/>
      <c r="D33" s="10"/>
      <c r="E33" s="10"/>
      <c r="F33" s="10"/>
      <c r="G33" s="10">
        <f>9-158+26</f>
        <v>-123</v>
      </c>
      <c r="H33" s="10">
        <f>10-172-41</f>
        <v>-203</v>
      </c>
      <c r="I33" s="10">
        <f>15-185+85</f>
        <v>-85</v>
      </c>
      <c r="J33" s="10">
        <f>10-172-25</f>
        <v>-187</v>
      </c>
      <c r="K33" s="10">
        <f>10-169-54</f>
        <v>-213</v>
      </c>
      <c r="L33" s="10">
        <f>8-170-15</f>
        <v>-177</v>
      </c>
      <c r="M33" s="10">
        <f>6-163-97</f>
        <v>-254</v>
      </c>
      <c r="N33" s="10">
        <f>6-246+44</f>
        <v>-196</v>
      </c>
      <c r="O33" s="10">
        <f>10-99+28</f>
        <v>-61</v>
      </c>
      <c r="P33" s="10">
        <f>11-75+45</f>
        <v>-19</v>
      </c>
      <c r="Q33" s="10">
        <f>10-126-6</f>
        <v>-122</v>
      </c>
      <c r="R33" s="10">
        <f>25-71+68</f>
        <v>22</v>
      </c>
      <c r="S33" s="10">
        <f>28-61+56</f>
        <v>23</v>
      </c>
      <c r="T33" s="10">
        <f>-26-44+28</f>
        <v>-42</v>
      </c>
      <c r="U33" s="10">
        <f>86-53-85</f>
        <v>-52</v>
      </c>
      <c r="V33" s="10">
        <f>157-33-42</f>
        <v>82</v>
      </c>
      <c r="W33" s="10">
        <f>213-29-48</f>
        <v>136</v>
      </c>
      <c r="X33" s="14">
        <f>238-28+328</f>
        <v>538</v>
      </c>
      <c r="Y33" s="10"/>
      <c r="Z33" s="10"/>
      <c r="AA33" s="6"/>
      <c r="AB33" s="6"/>
      <c r="AC33" s="6"/>
      <c r="AD33" s="6"/>
      <c r="AE33" s="6"/>
      <c r="AF33" s="6"/>
      <c r="AG33" s="6"/>
      <c r="AH33" s="6"/>
      <c r="AI33" s="6"/>
      <c r="AJ33" s="6">
        <f>SUM(W33:Z33)</f>
        <v>674</v>
      </c>
      <c r="AK33" s="6">
        <f t="shared" ref="AK33:AQ33" si="68">AJ63*$AT$46</f>
        <v>642.6535</v>
      </c>
      <c r="AL33" s="6">
        <f t="shared" si="68"/>
        <v>992.3933161</v>
      </c>
      <c r="AM33" s="6">
        <f t="shared" si="68"/>
        <v>1607.941281</v>
      </c>
      <c r="AN33" s="6">
        <f t="shared" si="68"/>
        <v>2524.933888</v>
      </c>
      <c r="AO33" s="6">
        <f t="shared" si="68"/>
        <v>3790.693391</v>
      </c>
      <c r="AP33" s="6">
        <f t="shared" si="68"/>
        <v>5504.463181</v>
      </c>
      <c r="AQ33" s="6">
        <f t="shared" si="68"/>
        <v>7692.515812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</row>
    <row r="34" ht="12.75" customHeight="1">
      <c r="A34" s="6"/>
      <c r="B34" s="6" t="s">
        <v>63</v>
      </c>
      <c r="C34" s="10"/>
      <c r="D34" s="10"/>
      <c r="E34" s="10"/>
      <c r="F34" s="10"/>
      <c r="G34" s="10">
        <f t="shared" ref="G34:Z34" si="69">G32+G33</f>
        <v>-601</v>
      </c>
      <c r="H34" s="10">
        <f t="shared" si="69"/>
        <v>-253</v>
      </c>
      <c r="I34" s="10">
        <f t="shared" si="69"/>
        <v>176</v>
      </c>
      <c r="J34" s="10">
        <f t="shared" si="69"/>
        <v>160</v>
      </c>
      <c r="K34" s="10">
        <f t="shared" si="69"/>
        <v>70</v>
      </c>
      <c r="L34" s="10">
        <f t="shared" si="69"/>
        <v>150</v>
      </c>
      <c r="M34" s="10">
        <f t="shared" si="69"/>
        <v>555</v>
      </c>
      <c r="N34" s="10">
        <f t="shared" si="69"/>
        <v>379</v>
      </c>
      <c r="O34" s="10">
        <f t="shared" si="69"/>
        <v>432</v>
      </c>
      <c r="P34" s="10">
        <f t="shared" si="69"/>
        <v>1316</v>
      </c>
      <c r="Q34" s="10">
        <f t="shared" si="69"/>
        <v>1933</v>
      </c>
      <c r="R34" s="10">
        <f t="shared" si="69"/>
        <v>2635</v>
      </c>
      <c r="S34" s="10">
        <f t="shared" si="69"/>
        <v>3626</v>
      </c>
      <c r="T34" s="10">
        <f t="shared" si="69"/>
        <v>2563</v>
      </c>
      <c r="U34" s="10">
        <f t="shared" si="69"/>
        <v>3636</v>
      </c>
      <c r="V34" s="10">
        <f t="shared" si="69"/>
        <v>3744.8</v>
      </c>
      <c r="W34" s="10">
        <f t="shared" si="69"/>
        <v>2800</v>
      </c>
      <c r="X34" s="10">
        <f t="shared" si="69"/>
        <v>2937</v>
      </c>
      <c r="Y34" s="10">
        <f t="shared" si="69"/>
        <v>5402.8</v>
      </c>
      <c r="Z34" s="10">
        <f t="shared" si="69"/>
        <v>5477.95</v>
      </c>
      <c r="AA34" s="6"/>
      <c r="AB34" s="6"/>
      <c r="AC34" s="6"/>
      <c r="AD34" s="6"/>
      <c r="AE34" s="6"/>
      <c r="AF34" s="6"/>
      <c r="AG34" s="6"/>
      <c r="AH34" s="6"/>
      <c r="AI34" s="6"/>
      <c r="AJ34" s="6">
        <f t="shared" ref="AJ34:AQ34" si="70">+AJ32+AJ33</f>
        <v>16617.75</v>
      </c>
      <c r="AK34" s="6">
        <f t="shared" si="70"/>
        <v>20572.93036</v>
      </c>
      <c r="AL34" s="6">
        <f t="shared" si="70"/>
        <v>36208.70383</v>
      </c>
      <c r="AM34" s="6">
        <f t="shared" si="70"/>
        <v>53940.74159</v>
      </c>
      <c r="AN34" s="6">
        <f t="shared" si="70"/>
        <v>74456.44131</v>
      </c>
      <c r="AO34" s="6">
        <f t="shared" si="70"/>
        <v>100809.9877</v>
      </c>
      <c r="AP34" s="6">
        <f t="shared" si="70"/>
        <v>128708.9783</v>
      </c>
      <c r="AQ34" s="6">
        <f t="shared" si="70"/>
        <v>155466.8828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</row>
    <row r="35" ht="12.75" customHeight="1">
      <c r="A35" s="6"/>
      <c r="B35" s="6" t="s">
        <v>64</v>
      </c>
      <c r="C35" s="10"/>
      <c r="D35" s="10"/>
      <c r="E35" s="10"/>
      <c r="F35" s="10"/>
      <c r="G35" s="10">
        <f>23+34</f>
        <v>57</v>
      </c>
      <c r="H35" s="10">
        <f>19+19</f>
        <v>38</v>
      </c>
      <c r="I35" s="10">
        <f>26+7</f>
        <v>33</v>
      </c>
      <c r="J35" s="10">
        <f>42+27</f>
        <v>69</v>
      </c>
      <c r="K35" s="10">
        <f>2+52</f>
        <v>54</v>
      </c>
      <c r="L35" s="10">
        <f>21+25</f>
        <v>46</v>
      </c>
      <c r="M35" s="10">
        <f>186+38+31</f>
        <v>255</v>
      </c>
      <c r="N35" s="10">
        <f>83+26</f>
        <v>109</v>
      </c>
      <c r="O35" s="10">
        <f>69+26</f>
        <v>95</v>
      </c>
      <c r="P35" s="10">
        <f>115+36</f>
        <v>151</v>
      </c>
      <c r="Q35" s="10">
        <f>223+41</f>
        <v>264</v>
      </c>
      <c r="R35" s="10">
        <f>292+22</f>
        <v>314</v>
      </c>
      <c r="S35" s="10">
        <f>346-38</f>
        <v>308</v>
      </c>
      <c r="T35" s="10">
        <f>205+10</f>
        <v>215</v>
      </c>
      <c r="U35" s="10">
        <v>305.0</v>
      </c>
      <c r="V35" s="10">
        <v>276.0</v>
      </c>
      <c r="W35" s="10">
        <v>261.0</v>
      </c>
      <c r="X35" s="14">
        <v>323.0</v>
      </c>
      <c r="Y35" s="10">
        <f t="shared" ref="Y35:Z35" si="71">+Y34*0.1</f>
        <v>540.28</v>
      </c>
      <c r="Z35" s="10">
        <f t="shared" si="71"/>
        <v>547.795</v>
      </c>
      <c r="AA35" s="6"/>
      <c r="AB35" s="6"/>
      <c r="AC35" s="6"/>
      <c r="AD35" s="6"/>
      <c r="AE35" s="6"/>
      <c r="AF35" s="6"/>
      <c r="AG35" s="6"/>
      <c r="AH35" s="6"/>
      <c r="AI35" s="6"/>
      <c r="AJ35" s="6">
        <f>SUM(W35:Z35)</f>
        <v>1672.075</v>
      </c>
      <c r="AK35" s="6">
        <f t="shared" ref="AK35:AQ35" si="72">AK34*0.15</f>
        <v>3085.939554</v>
      </c>
      <c r="AL35" s="6">
        <f t="shared" si="72"/>
        <v>5431.305574</v>
      </c>
      <c r="AM35" s="6">
        <f t="shared" si="72"/>
        <v>8091.111239</v>
      </c>
      <c r="AN35" s="6">
        <f t="shared" si="72"/>
        <v>11168.4662</v>
      </c>
      <c r="AO35" s="6">
        <f t="shared" si="72"/>
        <v>15121.49815</v>
      </c>
      <c r="AP35" s="6">
        <f t="shared" si="72"/>
        <v>19306.34674</v>
      </c>
      <c r="AQ35" s="6">
        <f t="shared" si="72"/>
        <v>23320.03242</v>
      </c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</row>
    <row r="36" ht="12.75" customHeight="1">
      <c r="A36" s="6"/>
      <c r="B36" s="6" t="s">
        <v>65</v>
      </c>
      <c r="C36" s="10"/>
      <c r="D36" s="10"/>
      <c r="E36" s="10"/>
      <c r="F36" s="10"/>
      <c r="G36" s="10">
        <f t="shared" ref="G36:Z36" si="73">G34-G35</f>
        <v>-658</v>
      </c>
      <c r="H36" s="10">
        <f t="shared" si="73"/>
        <v>-291</v>
      </c>
      <c r="I36" s="10">
        <f t="shared" si="73"/>
        <v>143</v>
      </c>
      <c r="J36" s="10">
        <f t="shared" si="73"/>
        <v>91</v>
      </c>
      <c r="K36" s="10">
        <f t="shared" si="73"/>
        <v>16</v>
      </c>
      <c r="L36" s="10">
        <f t="shared" si="73"/>
        <v>104</v>
      </c>
      <c r="M36" s="10">
        <f t="shared" si="73"/>
        <v>300</v>
      </c>
      <c r="N36" s="10">
        <f t="shared" si="73"/>
        <v>270</v>
      </c>
      <c r="O36" s="10">
        <f t="shared" si="73"/>
        <v>337</v>
      </c>
      <c r="P36" s="10">
        <f t="shared" si="73"/>
        <v>1165</v>
      </c>
      <c r="Q36" s="10">
        <f t="shared" si="73"/>
        <v>1669</v>
      </c>
      <c r="R36" s="10">
        <f t="shared" si="73"/>
        <v>2321</v>
      </c>
      <c r="S36" s="10">
        <f t="shared" si="73"/>
        <v>3318</v>
      </c>
      <c r="T36" s="10">
        <f t="shared" si="73"/>
        <v>2348</v>
      </c>
      <c r="U36" s="10">
        <f t="shared" si="73"/>
        <v>3331</v>
      </c>
      <c r="V36" s="10">
        <f t="shared" si="73"/>
        <v>3468.8</v>
      </c>
      <c r="W36" s="10">
        <f t="shared" si="73"/>
        <v>2539</v>
      </c>
      <c r="X36" s="10">
        <f t="shared" si="73"/>
        <v>2614</v>
      </c>
      <c r="Y36" s="10">
        <f t="shared" si="73"/>
        <v>4862.52</v>
      </c>
      <c r="Z36" s="10">
        <f t="shared" si="73"/>
        <v>4930.155</v>
      </c>
      <c r="AA36" s="6"/>
      <c r="AB36" s="6"/>
      <c r="AC36" s="6"/>
      <c r="AD36" s="6"/>
      <c r="AE36" s="6"/>
      <c r="AF36" s="6"/>
      <c r="AG36" s="6"/>
      <c r="AH36" s="6"/>
      <c r="AI36" s="6"/>
      <c r="AJ36" s="6">
        <f t="shared" ref="AJ36:AQ36" si="74">+AJ34-AJ35</f>
        <v>14945.675</v>
      </c>
      <c r="AK36" s="6">
        <f t="shared" si="74"/>
        <v>17486.99081</v>
      </c>
      <c r="AL36" s="6">
        <f t="shared" si="74"/>
        <v>30777.39825</v>
      </c>
      <c r="AM36" s="6">
        <f t="shared" si="74"/>
        <v>45849.63035</v>
      </c>
      <c r="AN36" s="6">
        <f t="shared" si="74"/>
        <v>63287.97512</v>
      </c>
      <c r="AO36" s="6">
        <f t="shared" si="74"/>
        <v>85688.4895</v>
      </c>
      <c r="AP36" s="6">
        <f t="shared" si="74"/>
        <v>109402.6316</v>
      </c>
      <c r="AQ36" s="6">
        <f t="shared" si="74"/>
        <v>132146.8504</v>
      </c>
      <c r="AR36" s="6">
        <f t="shared" ref="AR36:CU36" si="75">AQ36*(1+$AT$43)</f>
        <v>130825.3819</v>
      </c>
      <c r="AS36" s="6">
        <f t="shared" si="75"/>
        <v>129517.1281</v>
      </c>
      <c r="AT36" s="6">
        <f t="shared" si="75"/>
        <v>128221.9568</v>
      </c>
      <c r="AU36" s="6">
        <f t="shared" si="75"/>
        <v>126939.7372</v>
      </c>
      <c r="AV36" s="6">
        <f t="shared" si="75"/>
        <v>125670.3398</v>
      </c>
      <c r="AW36" s="6">
        <f t="shared" si="75"/>
        <v>124413.6365</v>
      </c>
      <c r="AX36" s="6">
        <f t="shared" si="75"/>
        <v>123169.5001</v>
      </c>
      <c r="AY36" s="6">
        <f t="shared" si="75"/>
        <v>121937.8051</v>
      </c>
      <c r="AZ36" s="6">
        <f t="shared" si="75"/>
        <v>120718.427</v>
      </c>
      <c r="BA36" s="6">
        <f t="shared" si="75"/>
        <v>119511.2428</v>
      </c>
      <c r="BB36" s="6">
        <f t="shared" si="75"/>
        <v>118316.1303</v>
      </c>
      <c r="BC36" s="6">
        <f t="shared" si="75"/>
        <v>117132.969</v>
      </c>
      <c r="BD36" s="6">
        <f t="shared" si="75"/>
        <v>115961.6393</v>
      </c>
      <c r="BE36" s="6">
        <f t="shared" si="75"/>
        <v>114802.0229</v>
      </c>
      <c r="BF36" s="6">
        <f t="shared" si="75"/>
        <v>113654.0027</v>
      </c>
      <c r="BG36" s="6">
        <f t="shared" si="75"/>
        <v>112517.4627</v>
      </c>
      <c r="BH36" s="6">
        <f t="shared" si="75"/>
        <v>111392.2881</v>
      </c>
      <c r="BI36" s="6">
        <f t="shared" si="75"/>
        <v>110278.3652</v>
      </c>
      <c r="BJ36" s="6">
        <f t="shared" si="75"/>
        <v>109175.5815</v>
      </c>
      <c r="BK36" s="6">
        <f t="shared" si="75"/>
        <v>108083.8257</v>
      </c>
      <c r="BL36" s="6">
        <f t="shared" si="75"/>
        <v>107002.9875</v>
      </c>
      <c r="BM36" s="6">
        <f t="shared" si="75"/>
        <v>105932.9576</v>
      </c>
      <c r="BN36" s="6">
        <f t="shared" si="75"/>
        <v>104873.628</v>
      </c>
      <c r="BO36" s="6">
        <f t="shared" si="75"/>
        <v>103824.8917</v>
      </c>
      <c r="BP36" s="6">
        <f t="shared" si="75"/>
        <v>102786.6428</v>
      </c>
      <c r="BQ36" s="6">
        <f t="shared" si="75"/>
        <v>101758.7764</v>
      </c>
      <c r="BR36" s="6">
        <f t="shared" si="75"/>
        <v>100741.1886</v>
      </c>
      <c r="BS36" s="6">
        <f t="shared" si="75"/>
        <v>99733.77673</v>
      </c>
      <c r="BT36" s="6">
        <f t="shared" si="75"/>
        <v>98736.43897</v>
      </c>
      <c r="BU36" s="6">
        <f t="shared" si="75"/>
        <v>97749.07458</v>
      </c>
      <c r="BV36" s="6">
        <f t="shared" si="75"/>
        <v>96771.58383</v>
      </c>
      <c r="BW36" s="6">
        <f t="shared" si="75"/>
        <v>95803.86799</v>
      </c>
      <c r="BX36" s="6">
        <f t="shared" si="75"/>
        <v>94845.82931</v>
      </c>
      <c r="BY36" s="6">
        <f t="shared" si="75"/>
        <v>93897.37102</v>
      </c>
      <c r="BZ36" s="6">
        <f t="shared" si="75"/>
        <v>92958.39731</v>
      </c>
      <c r="CA36" s="6">
        <f t="shared" si="75"/>
        <v>92028.81334</v>
      </c>
      <c r="CB36" s="6">
        <f t="shared" si="75"/>
        <v>91108.5252</v>
      </c>
      <c r="CC36" s="6">
        <f t="shared" si="75"/>
        <v>90197.43995</v>
      </c>
      <c r="CD36" s="6">
        <f t="shared" si="75"/>
        <v>89295.46555</v>
      </c>
      <c r="CE36" s="6">
        <f t="shared" si="75"/>
        <v>88402.5109</v>
      </c>
      <c r="CF36" s="6">
        <f t="shared" si="75"/>
        <v>87518.48579</v>
      </c>
      <c r="CG36" s="6">
        <f t="shared" si="75"/>
        <v>86643.30093</v>
      </c>
      <c r="CH36" s="6">
        <f t="shared" si="75"/>
        <v>85776.86792</v>
      </c>
      <c r="CI36" s="6">
        <f t="shared" si="75"/>
        <v>84919.09924</v>
      </c>
      <c r="CJ36" s="6">
        <f t="shared" si="75"/>
        <v>84069.90825</v>
      </c>
      <c r="CK36" s="6">
        <f t="shared" si="75"/>
        <v>83229.20917</v>
      </c>
      <c r="CL36" s="6">
        <f t="shared" si="75"/>
        <v>82396.91707</v>
      </c>
      <c r="CM36" s="6">
        <f t="shared" si="75"/>
        <v>81572.9479</v>
      </c>
      <c r="CN36" s="6">
        <f t="shared" si="75"/>
        <v>80757.21842</v>
      </c>
      <c r="CO36" s="6">
        <f t="shared" si="75"/>
        <v>79949.64624</v>
      </c>
      <c r="CP36" s="6">
        <f t="shared" si="75"/>
        <v>79150.14978</v>
      </c>
      <c r="CQ36" s="6">
        <f t="shared" si="75"/>
        <v>78358.64828</v>
      </c>
      <c r="CR36" s="6">
        <f t="shared" si="75"/>
        <v>77575.0618</v>
      </c>
      <c r="CS36" s="6">
        <f t="shared" si="75"/>
        <v>76799.31118</v>
      </c>
      <c r="CT36" s="6">
        <f t="shared" si="75"/>
        <v>76031.31807</v>
      </c>
      <c r="CU36" s="6">
        <f t="shared" si="75"/>
        <v>75271.00489</v>
      </c>
    </row>
    <row r="37" ht="12.75" customHeight="1">
      <c r="A37" s="1"/>
      <c r="B37" s="1" t="s">
        <v>66</v>
      </c>
      <c r="C37" s="15"/>
      <c r="D37" s="15"/>
      <c r="E37" s="15"/>
      <c r="F37" s="15"/>
      <c r="G37" s="15">
        <f t="shared" ref="G37:Z37" si="76">G36/G38</f>
        <v>-0.7606936416</v>
      </c>
      <c r="H37" s="15">
        <f t="shared" si="76"/>
        <v>-0.3288135593</v>
      </c>
      <c r="I37" s="15">
        <f t="shared" si="76"/>
        <v>0.1550976139</v>
      </c>
      <c r="J37" s="15">
        <f t="shared" si="76"/>
        <v>0.09891304348</v>
      </c>
      <c r="K37" s="15">
        <f t="shared" si="76"/>
        <v>0.01711229947</v>
      </c>
      <c r="L37" s="15">
        <f t="shared" si="76"/>
        <v>0.1004830918</v>
      </c>
      <c r="M37" s="15">
        <f t="shared" si="76"/>
        <v>0.2714932127</v>
      </c>
      <c r="N37" s="15">
        <f t="shared" si="76"/>
        <v>0.2402135231</v>
      </c>
      <c r="O37" s="15">
        <f t="shared" si="76"/>
        <v>0.2974404237</v>
      </c>
      <c r="P37" s="15">
        <f t="shared" si="76"/>
        <v>1.041108132</v>
      </c>
      <c r="Q37" s="15">
        <f t="shared" si="76"/>
        <v>1.486197685</v>
      </c>
      <c r="R37" s="15">
        <f t="shared" si="76"/>
        <v>2.044933921</v>
      </c>
      <c r="S37" s="15">
        <f t="shared" si="76"/>
        <v>2.867761452</v>
      </c>
      <c r="T37" s="15">
        <f t="shared" si="76"/>
        <v>2.032900433</v>
      </c>
      <c r="U37" s="15">
        <f t="shared" si="76"/>
        <v>0.9604959631</v>
      </c>
      <c r="V37" s="15">
        <f t="shared" si="76"/>
        <v>0.9993661769</v>
      </c>
      <c r="W37" s="15">
        <f t="shared" si="76"/>
        <v>0.7321222607</v>
      </c>
      <c r="X37" s="15">
        <f t="shared" si="76"/>
        <v>0.8235664776</v>
      </c>
      <c r="Y37" s="15">
        <f t="shared" si="76"/>
        <v>1.531984877</v>
      </c>
      <c r="Z37" s="15">
        <f t="shared" si="76"/>
        <v>1.553293951</v>
      </c>
      <c r="AA37" s="1"/>
      <c r="AB37" s="1"/>
      <c r="AC37" s="1"/>
      <c r="AD37" s="1"/>
      <c r="AE37" s="1"/>
      <c r="AF37" s="1"/>
      <c r="AG37" s="1"/>
      <c r="AH37" s="1"/>
      <c r="AI37" s="1"/>
      <c r="AJ37" s="16">
        <f t="shared" ref="AJ37:AQ37" si="77">+AJ36/AJ38</f>
        <v>4.602209392</v>
      </c>
      <c r="AK37" s="16">
        <f t="shared" si="77"/>
        <v>5.384754674</v>
      </c>
      <c r="AL37" s="16">
        <f t="shared" si="77"/>
        <v>9.477258892</v>
      </c>
      <c r="AM37" s="16">
        <f t="shared" si="77"/>
        <v>14.11843891</v>
      </c>
      <c r="AN37" s="16">
        <f t="shared" si="77"/>
        <v>19.48821405</v>
      </c>
      <c r="AO37" s="16">
        <f t="shared" si="77"/>
        <v>26.38598599</v>
      </c>
      <c r="AP37" s="16">
        <f t="shared" si="77"/>
        <v>33.68826222</v>
      </c>
      <c r="AQ37" s="16">
        <f t="shared" si="77"/>
        <v>40.69187079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ht="12.75" customHeight="1">
      <c r="A38" s="6"/>
      <c r="B38" s="6" t="s">
        <v>2</v>
      </c>
      <c r="C38" s="10"/>
      <c r="D38" s="10"/>
      <c r="E38" s="10"/>
      <c r="F38" s="10"/>
      <c r="G38" s="10">
        <f>173*5</f>
        <v>865</v>
      </c>
      <c r="H38" s="10">
        <f>177*5</f>
        <v>885</v>
      </c>
      <c r="I38" s="10">
        <v>922.0</v>
      </c>
      <c r="J38" s="10">
        <f>184*5</f>
        <v>920</v>
      </c>
      <c r="K38" s="10">
        <f>187*5</f>
        <v>935</v>
      </c>
      <c r="L38" s="10">
        <f>207*5</f>
        <v>1035</v>
      </c>
      <c r="M38" s="10">
        <v>1105.0</v>
      </c>
      <c r="N38" s="10">
        <v>1124.0</v>
      </c>
      <c r="O38" s="10">
        <v>1133.0</v>
      </c>
      <c r="P38" s="10">
        <v>1119.0</v>
      </c>
      <c r="Q38" s="10">
        <v>1123.0</v>
      </c>
      <c r="R38" s="10">
        <v>1135.0</v>
      </c>
      <c r="S38" s="10">
        <v>1157.0</v>
      </c>
      <c r="T38" s="10">
        <v>1155.0</v>
      </c>
      <c r="U38" s="10">
        <v>3468.0</v>
      </c>
      <c r="V38" s="10">
        <v>3471.0</v>
      </c>
      <c r="W38" s="10">
        <v>3468.0</v>
      </c>
      <c r="X38" s="10">
        <f>3174</f>
        <v>3174</v>
      </c>
      <c r="Y38" s="10">
        <f t="shared" ref="Y38:Z38" si="78">+X38</f>
        <v>3174</v>
      </c>
      <c r="Z38" s="10">
        <f t="shared" si="78"/>
        <v>3174</v>
      </c>
      <c r="AA38" s="6"/>
      <c r="AB38" s="6"/>
      <c r="AC38" s="6"/>
      <c r="AD38" s="6"/>
      <c r="AE38" s="6"/>
      <c r="AF38" s="6"/>
      <c r="AG38" s="6"/>
      <c r="AH38" s="6"/>
      <c r="AI38" s="6"/>
      <c r="AJ38" s="6">
        <f>AVERAGE(W38:Z38)</f>
        <v>3247.5</v>
      </c>
      <c r="AK38" s="6">
        <f t="shared" ref="AK38:AQ38" si="79">AJ38</f>
        <v>3247.5</v>
      </c>
      <c r="AL38" s="6">
        <f t="shared" si="79"/>
        <v>3247.5</v>
      </c>
      <c r="AM38" s="6">
        <f t="shared" si="79"/>
        <v>3247.5</v>
      </c>
      <c r="AN38" s="6">
        <f t="shared" si="79"/>
        <v>3247.5</v>
      </c>
      <c r="AO38" s="6">
        <f t="shared" si="79"/>
        <v>3247.5</v>
      </c>
      <c r="AP38" s="6">
        <f t="shared" si="79"/>
        <v>3247.5</v>
      </c>
      <c r="AQ38" s="6">
        <f t="shared" si="79"/>
        <v>3247.5</v>
      </c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</row>
    <row r="39" ht="12.75" customHeight="1">
      <c r="A39" s="1"/>
      <c r="B39" s="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ht="12.75" customHeight="1">
      <c r="A40" s="17"/>
      <c r="B40" s="17" t="s">
        <v>67</v>
      </c>
      <c r="C40" s="18"/>
      <c r="D40" s="18"/>
      <c r="E40" s="18"/>
      <c r="F40" s="18"/>
      <c r="G40" s="18"/>
      <c r="H40" s="18"/>
      <c r="I40" s="18"/>
      <c r="J40" s="18"/>
      <c r="K40" s="19">
        <f t="shared" ref="K40:Z40" si="80">K20/G20-1</f>
        <v>0.3179916318</v>
      </c>
      <c r="L40" s="19">
        <f t="shared" si="80"/>
        <v>-0.0494488189</v>
      </c>
      <c r="M40" s="19">
        <f t="shared" si="80"/>
        <v>0.3915595748</v>
      </c>
      <c r="N40" s="19">
        <f t="shared" si="80"/>
        <v>0.4550379198</v>
      </c>
      <c r="O40" s="19">
        <f t="shared" si="80"/>
        <v>0.735839599</v>
      </c>
      <c r="P40" s="19">
        <f t="shared" si="80"/>
        <v>0.9811133201</v>
      </c>
      <c r="Q40" s="19">
        <f t="shared" si="80"/>
        <v>0.5684642572</v>
      </c>
      <c r="R40" s="19">
        <f t="shared" si="80"/>
        <v>0.6491995532</v>
      </c>
      <c r="S40" s="19">
        <f t="shared" si="80"/>
        <v>0.8053710656</v>
      </c>
      <c r="T40" s="19">
        <f t="shared" si="80"/>
        <v>0.4161230975</v>
      </c>
      <c r="U40" s="19">
        <f t="shared" si="80"/>
        <v>0.5594969834</v>
      </c>
      <c r="V40" s="19">
        <f t="shared" si="80"/>
        <v>0.4</v>
      </c>
      <c r="W40" s="19">
        <f t="shared" si="80"/>
        <v>0.2438153124</v>
      </c>
      <c r="X40" s="19">
        <f t="shared" si="80"/>
        <v>0.472008976</v>
      </c>
      <c r="Y40" s="19">
        <f t="shared" si="80"/>
        <v>0.4</v>
      </c>
      <c r="Z40" s="19">
        <f t="shared" si="80"/>
        <v>0.4</v>
      </c>
      <c r="AA40" s="17"/>
      <c r="AB40" s="17"/>
      <c r="AC40" s="17"/>
      <c r="AD40" s="17"/>
      <c r="AE40" s="17"/>
      <c r="AF40" s="17"/>
      <c r="AG40" s="20">
        <f t="shared" ref="AG40:AQ40" si="81">+AG20/AF20-1</f>
        <v>0.2830987062</v>
      </c>
      <c r="AH40" s="20">
        <f t="shared" si="81"/>
        <v>0.7067161339</v>
      </c>
      <c r="AI40" s="20">
        <f t="shared" si="81"/>
        <v>0.5225944299</v>
      </c>
      <c r="AJ40" s="20">
        <f t="shared" si="81"/>
        <v>0.3791337708</v>
      </c>
      <c r="AK40" s="20">
        <f t="shared" si="81"/>
        <v>0.2351315634</v>
      </c>
      <c r="AL40" s="20">
        <f t="shared" si="81"/>
        <v>0.339</v>
      </c>
      <c r="AM40" s="20">
        <f t="shared" si="81"/>
        <v>0.2875</v>
      </c>
      <c r="AN40" s="20">
        <f t="shared" si="81"/>
        <v>0.236</v>
      </c>
      <c r="AO40" s="20">
        <f t="shared" si="81"/>
        <v>0.236</v>
      </c>
      <c r="AP40" s="20">
        <f t="shared" si="81"/>
        <v>0.1845</v>
      </c>
      <c r="AQ40" s="20">
        <f t="shared" si="81"/>
        <v>0.133</v>
      </c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</row>
    <row r="41" ht="12.75" customHeight="1">
      <c r="A41" s="1"/>
      <c r="B41" s="1" t="s">
        <v>68</v>
      </c>
      <c r="C41" s="9"/>
      <c r="D41" s="9"/>
      <c r="E41" s="9"/>
      <c r="F41" s="9"/>
      <c r="G41" s="9"/>
      <c r="H41" s="9"/>
      <c r="I41" s="9"/>
      <c r="J41" s="9"/>
      <c r="K41" s="21">
        <f t="shared" ref="K41:W41" si="82">+K5/G5-1</f>
        <v>0.4042749012</v>
      </c>
      <c r="L41" s="21">
        <f t="shared" si="82"/>
        <v>-0.04935190234</v>
      </c>
      <c r="M41" s="21">
        <f t="shared" si="82"/>
        <v>0.4333340193</v>
      </c>
      <c r="N41" s="21">
        <f t="shared" si="82"/>
        <v>0.6108657835</v>
      </c>
      <c r="O41" s="21">
        <f t="shared" si="82"/>
        <v>1.088229976</v>
      </c>
      <c r="P41" s="21">
        <f t="shared" si="82"/>
        <v>1.22007722</v>
      </c>
      <c r="Q41" s="21">
        <f t="shared" si="82"/>
        <v>0.7322325915</v>
      </c>
      <c r="R41" s="21">
        <f t="shared" si="82"/>
        <v>0.7090325082</v>
      </c>
      <c r="S41" s="21">
        <f t="shared" si="82"/>
        <v>0.6777489177</v>
      </c>
      <c r="T41" s="21">
        <f t="shared" si="82"/>
        <v>0.2655652174</v>
      </c>
      <c r="U41" s="21">
        <f t="shared" si="82"/>
        <v>0.4249067551</v>
      </c>
      <c r="V41" s="21">
        <f t="shared" si="82"/>
        <v>0.313279326</v>
      </c>
      <c r="W41" s="21">
        <f t="shared" si="82"/>
        <v>0.3639017184</v>
      </c>
      <c r="X41" s="21"/>
      <c r="Y41" s="21"/>
      <c r="Z41" s="21"/>
      <c r="AA41" s="1"/>
      <c r="AB41" s="1"/>
      <c r="AC41" s="1"/>
      <c r="AD41" s="1"/>
      <c r="AE41" s="1"/>
      <c r="AF41" s="1"/>
      <c r="AG41" s="13">
        <f t="shared" ref="AG41:AQ41" si="83">+AG5/AF5-1</f>
        <v>0.3572905107</v>
      </c>
      <c r="AH41" s="13">
        <f t="shared" si="83"/>
        <v>0.8755911634</v>
      </c>
      <c r="AI41" s="13">
        <f t="shared" si="83"/>
        <v>0.4037619531</v>
      </c>
      <c r="AJ41" s="13">
        <f t="shared" si="83"/>
        <v>0.35</v>
      </c>
      <c r="AK41" s="13">
        <f t="shared" si="83"/>
        <v>0.3551721618</v>
      </c>
      <c r="AL41" s="13">
        <f t="shared" si="83"/>
        <v>0.3</v>
      </c>
      <c r="AM41" s="13">
        <f t="shared" si="83"/>
        <v>0.25</v>
      </c>
      <c r="AN41" s="13">
        <f t="shared" si="83"/>
        <v>0.2</v>
      </c>
      <c r="AO41" s="13">
        <f t="shared" si="83"/>
        <v>0.2</v>
      </c>
      <c r="AP41" s="13">
        <f t="shared" si="83"/>
        <v>0.15</v>
      </c>
      <c r="AQ41" s="13">
        <f t="shared" si="83"/>
        <v>0.1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ht="12.75" customHeight="1">
      <c r="A42" s="1"/>
      <c r="B42" s="1" t="s">
        <v>69</v>
      </c>
      <c r="C42" s="9"/>
      <c r="D42" s="9"/>
      <c r="E42" s="9"/>
      <c r="F42" s="9"/>
      <c r="G42" s="9"/>
      <c r="H42" s="9"/>
      <c r="I42" s="9"/>
      <c r="J42" s="9"/>
      <c r="K42" s="21">
        <f t="shared" ref="K42:W42" si="84">+K10/G10-1</f>
        <v>0.3310171381</v>
      </c>
      <c r="L42" s="21">
        <f t="shared" si="84"/>
        <v>-0.05486628067</v>
      </c>
      <c r="M42" s="21">
        <f t="shared" si="84"/>
        <v>0.5083562997</v>
      </c>
      <c r="N42" s="21">
        <f t="shared" si="84"/>
        <v>0.7137504648</v>
      </c>
      <c r="O42" s="21">
        <f t="shared" si="84"/>
        <v>0.756447717</v>
      </c>
      <c r="P42" s="21">
        <f t="shared" si="84"/>
        <v>1.509006709</v>
      </c>
      <c r="Q42" s="21">
        <f t="shared" si="84"/>
        <v>0.63975151</v>
      </c>
      <c r="R42" s="21">
        <f t="shared" si="84"/>
        <v>0.7014080119</v>
      </c>
      <c r="S42" s="21">
        <f t="shared" si="84"/>
        <v>0.693525491</v>
      </c>
      <c r="T42" s="21">
        <f t="shared" si="84"/>
        <v>0.2526826243</v>
      </c>
      <c r="U42" s="21">
        <f t="shared" si="84"/>
        <v>0.5386358763</v>
      </c>
      <c r="V42" s="21">
        <f t="shared" si="84"/>
        <v>0.4376831023</v>
      </c>
      <c r="W42" s="21">
        <f t="shared" si="84"/>
        <v>0.4433460923</v>
      </c>
      <c r="X42" s="21"/>
      <c r="Y42" s="21"/>
      <c r="Z42" s="21"/>
      <c r="AA42" s="1"/>
      <c r="AB42" s="1"/>
      <c r="AC42" s="1"/>
      <c r="AD42" s="1"/>
      <c r="AE42" s="1"/>
      <c r="AF42" s="1"/>
      <c r="AG42" s="13">
        <f t="shared" ref="AG42:AQ42" si="85">+AG10/AF10-1</f>
        <v>0.3956526263</v>
      </c>
      <c r="AH42" s="13">
        <f t="shared" si="85"/>
        <v>0.8252981439</v>
      </c>
      <c r="AI42" s="13">
        <f t="shared" si="85"/>
        <v>0.4720320457</v>
      </c>
      <c r="AJ42" s="13">
        <f t="shared" si="85"/>
        <v>0.35</v>
      </c>
      <c r="AK42" s="13">
        <f t="shared" si="85"/>
        <v>0.3</v>
      </c>
      <c r="AL42" s="13">
        <f t="shared" si="85"/>
        <v>0.3</v>
      </c>
      <c r="AM42" s="13">
        <f t="shared" si="85"/>
        <v>0.25</v>
      </c>
      <c r="AN42" s="13">
        <f t="shared" si="85"/>
        <v>0.2</v>
      </c>
      <c r="AO42" s="13">
        <f t="shared" si="85"/>
        <v>0.2</v>
      </c>
      <c r="AP42" s="13">
        <f t="shared" si="85"/>
        <v>0.15</v>
      </c>
      <c r="AQ42" s="13">
        <f t="shared" si="85"/>
        <v>0.1</v>
      </c>
      <c r="AR42" s="1"/>
      <c r="AS42" s="3" t="s">
        <v>70</v>
      </c>
      <c r="AT42" s="22">
        <f>0.4</f>
        <v>0.4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ht="12.75" customHeight="1">
      <c r="A43" s="1"/>
      <c r="B43" s="1" t="s">
        <v>71</v>
      </c>
      <c r="C43" s="9"/>
      <c r="D43" s="9"/>
      <c r="E43" s="9"/>
      <c r="F43" s="9"/>
      <c r="G43" s="9"/>
      <c r="H43" s="9"/>
      <c r="I43" s="9"/>
      <c r="J43" s="9"/>
      <c r="K43" s="21">
        <f t="shared" ref="K43:Z43" si="86">K14/G14-1</f>
        <v>0.3944143631</v>
      </c>
      <c r="L43" s="21">
        <f t="shared" si="86"/>
        <v>-0.04972910217</v>
      </c>
      <c r="M43" s="21">
        <f t="shared" si="86"/>
        <v>0.431410756</v>
      </c>
      <c r="N43" s="21">
        <f t="shared" si="86"/>
        <v>0.4053394107</v>
      </c>
      <c r="O43" s="21">
        <f t="shared" si="86"/>
        <v>0.6732066217</v>
      </c>
      <c r="P43" s="21">
        <f t="shared" si="86"/>
        <v>0.938505396</v>
      </c>
      <c r="Q43" s="21">
        <f t="shared" si="86"/>
        <v>0.550912061</v>
      </c>
      <c r="R43" s="21">
        <f t="shared" si="86"/>
        <v>0.7404146878</v>
      </c>
      <c r="S43" s="21">
        <f t="shared" si="86"/>
        <v>0.8949554171</v>
      </c>
      <c r="T43" s="21">
        <f t="shared" si="86"/>
        <v>0.4359243697</v>
      </c>
      <c r="U43" s="21">
        <f t="shared" si="86"/>
        <v>0.5610462565</v>
      </c>
      <c r="V43" s="21">
        <f t="shared" si="86"/>
        <v>0.4</v>
      </c>
      <c r="W43" s="21">
        <f t="shared" si="86"/>
        <v>0.2168364058</v>
      </c>
      <c r="X43" s="21">
        <f t="shared" si="86"/>
        <v>0.4937088515</v>
      </c>
      <c r="Y43" s="21">
        <f t="shared" si="86"/>
        <v>0.4</v>
      </c>
      <c r="Z43" s="21">
        <f t="shared" si="86"/>
        <v>0.4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72</v>
      </c>
      <c r="AT43" s="13">
        <v>-0.01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ht="12.75" customHeight="1">
      <c r="A44" s="1"/>
      <c r="B44" s="1" t="s">
        <v>73</v>
      </c>
      <c r="C44" s="21"/>
      <c r="D44" s="21"/>
      <c r="E44" s="21"/>
      <c r="F44" s="21"/>
      <c r="G44" s="21">
        <f t="shared" ref="G44:Z44" si="87">G22/G14</f>
        <v>0.186092904</v>
      </c>
      <c r="H44" s="21">
        <f t="shared" si="87"/>
        <v>0.1768575851</v>
      </c>
      <c r="I44" s="21">
        <f t="shared" si="87"/>
        <v>0.2178487919</v>
      </c>
      <c r="J44" s="21">
        <f t="shared" si="87"/>
        <v>0.216181019</v>
      </c>
      <c r="K44" s="21">
        <f t="shared" si="87"/>
        <v>0.2440220723</v>
      </c>
      <c r="L44" s="21">
        <f t="shared" si="87"/>
        <v>0.2437385461</v>
      </c>
      <c r="M44" s="21">
        <f t="shared" si="87"/>
        <v>0.270215083</v>
      </c>
      <c r="N44" s="21">
        <f t="shared" si="87"/>
        <v>0.1981929804</v>
      </c>
      <c r="O44" s="21">
        <f t="shared" si="87"/>
        <v>0.2113106144</v>
      </c>
      <c r="P44" s="21">
        <f t="shared" si="87"/>
        <v>0.2522058824</v>
      </c>
      <c r="Q44" s="21">
        <f t="shared" si="87"/>
        <v>0.2846484684</v>
      </c>
      <c r="R44" s="21">
        <f t="shared" si="87"/>
        <v>0.2885856905</v>
      </c>
      <c r="S44" s="21">
        <f t="shared" si="87"/>
        <v>0.2965063813</v>
      </c>
      <c r="T44" s="21">
        <f t="shared" si="87"/>
        <v>0.2572787125</v>
      </c>
      <c r="U44" s="21">
        <f t="shared" si="87"/>
        <v>0.2634804611</v>
      </c>
      <c r="V44" s="21">
        <f t="shared" si="87"/>
        <v>0.2663180414</v>
      </c>
      <c r="W44" s="21">
        <f t="shared" si="87"/>
        <v>0.1830702405</v>
      </c>
      <c r="X44" s="21">
        <f t="shared" si="87"/>
        <v>0.1752289534</v>
      </c>
      <c r="Y44" s="21">
        <f t="shared" si="87"/>
        <v>0.25</v>
      </c>
      <c r="Z44" s="21">
        <f t="shared" si="87"/>
        <v>0.25</v>
      </c>
      <c r="AA44" s="1"/>
      <c r="AB44" s="1"/>
      <c r="AC44" s="1"/>
      <c r="AD44" s="1"/>
      <c r="AE44" s="1"/>
      <c r="AF44" s="1"/>
      <c r="AG44" s="21">
        <f t="shared" ref="AG44:AK44" si="88">AG22/AG14</f>
        <v>0</v>
      </c>
      <c r="AH44" s="21">
        <f t="shared" si="88"/>
        <v>0</v>
      </c>
      <c r="AI44" s="21">
        <f t="shared" si="88"/>
        <v>0.2706458444</v>
      </c>
      <c r="AJ44" s="21">
        <f t="shared" si="88"/>
        <v>0.2202039618</v>
      </c>
      <c r="AK44" s="21">
        <f t="shared" si="88"/>
        <v>0</v>
      </c>
      <c r="AL44" s="1"/>
      <c r="AM44" s="1"/>
      <c r="AN44" s="1"/>
      <c r="AO44" s="1"/>
      <c r="AP44" s="1"/>
      <c r="AQ44" s="1"/>
      <c r="AR44" s="1"/>
      <c r="AS44" s="1" t="s">
        <v>74</v>
      </c>
      <c r="AT44" s="23">
        <v>0.06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ht="12.75" customHeight="1">
      <c r="A45" s="1"/>
      <c r="B45" s="1" t="s">
        <v>57</v>
      </c>
      <c r="C45" s="21"/>
      <c r="D45" s="21"/>
      <c r="E45" s="21"/>
      <c r="F45" s="21"/>
      <c r="G45" s="21">
        <f t="shared" ref="G45:Z45" si="89">+G28/G20</f>
        <v>0.1246421493</v>
      </c>
      <c r="H45" s="21">
        <f t="shared" si="89"/>
        <v>0.1450393701</v>
      </c>
      <c r="I45" s="21">
        <f t="shared" si="89"/>
        <v>0.1889576392</v>
      </c>
      <c r="J45" s="21">
        <f t="shared" si="89"/>
        <v>0.1883802817</v>
      </c>
      <c r="K45" s="21">
        <f t="shared" si="89"/>
        <v>0.206182122</v>
      </c>
      <c r="L45" s="21">
        <f t="shared" si="89"/>
        <v>0.2099072233</v>
      </c>
      <c r="M45" s="21">
        <f t="shared" si="89"/>
        <v>0.2352069319</v>
      </c>
      <c r="N45" s="21">
        <f t="shared" si="89"/>
        <v>0.192293373</v>
      </c>
      <c r="O45" s="21">
        <f t="shared" si="89"/>
        <v>0.2132062759</v>
      </c>
      <c r="P45" s="21">
        <f t="shared" si="89"/>
        <v>0.2411774544</v>
      </c>
      <c r="Q45" s="21">
        <f t="shared" si="89"/>
        <v>0.2660463764</v>
      </c>
      <c r="R45" s="21">
        <f t="shared" si="89"/>
        <v>0.2735481686</v>
      </c>
      <c r="S45" s="21">
        <f t="shared" si="89"/>
        <v>0.2911068458</v>
      </c>
      <c r="T45" s="21">
        <f t="shared" si="89"/>
        <v>0.2499704736</v>
      </c>
      <c r="U45" s="21">
        <f t="shared" si="89"/>
        <v>0.2508623101</v>
      </c>
      <c r="V45" s="21">
        <f t="shared" si="89"/>
        <v>0.252577943</v>
      </c>
      <c r="W45" s="21">
        <f t="shared" si="89"/>
        <v>0.193364482</v>
      </c>
      <c r="X45" s="21">
        <f t="shared" si="89"/>
        <v>0.1818510049</v>
      </c>
      <c r="Y45" s="21">
        <f t="shared" si="89"/>
        <v>0.25</v>
      </c>
      <c r="Z45" s="21">
        <f t="shared" si="89"/>
        <v>0.25</v>
      </c>
      <c r="AA45" s="1"/>
      <c r="AB45" s="1"/>
      <c r="AC45" s="1"/>
      <c r="AD45" s="1"/>
      <c r="AE45" s="1"/>
      <c r="AF45" s="1"/>
      <c r="AG45" s="21">
        <f t="shared" ref="AG45:AK45" si="90">+AG28/AG20</f>
        <v>0</v>
      </c>
      <c r="AH45" s="21">
        <f t="shared" si="90"/>
        <v>0</v>
      </c>
      <c r="AI45" s="21">
        <f t="shared" si="90"/>
        <v>0.25</v>
      </c>
      <c r="AJ45" s="21">
        <f t="shared" si="90"/>
        <v>0.2232792642</v>
      </c>
      <c r="AK45" s="21">
        <f t="shared" si="90"/>
        <v>0.2106625469</v>
      </c>
      <c r="AL45" s="1"/>
      <c r="AM45" s="1"/>
      <c r="AN45" s="1"/>
      <c r="AO45" s="1"/>
      <c r="AP45" s="1"/>
      <c r="AQ45" s="1"/>
      <c r="AR45" s="1"/>
      <c r="AS45" s="1" t="s">
        <v>75</v>
      </c>
      <c r="AT45" s="6">
        <f t="array" ref="AT45">NPV(AT44,AK36:CU36)+Main!K5-Main!K6</f>
        <v>1598152.822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ht="12.75" customHeight="1">
      <c r="A46" s="1"/>
      <c r="B46" s="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76</v>
      </c>
      <c r="AT46" s="24">
        <v>0.02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ht="12.75" customHeight="1">
      <c r="A47" s="1"/>
      <c r="B47" s="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 t="s">
        <v>77</v>
      </c>
      <c r="AT47" s="16">
        <f>AT45/Main!K3</f>
        <v>503.5146842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ht="12.75" customHeight="1">
      <c r="A48" s="6"/>
      <c r="B48" s="6" t="s">
        <v>78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>
        <f t="shared" ref="M48:Z48" si="91">M36</f>
        <v>300</v>
      </c>
      <c r="N48" s="10">
        <f t="shared" si="91"/>
        <v>270</v>
      </c>
      <c r="O48" s="10">
        <f t="shared" si="91"/>
        <v>337</v>
      </c>
      <c r="P48" s="10">
        <f t="shared" si="91"/>
        <v>1165</v>
      </c>
      <c r="Q48" s="10">
        <f t="shared" si="91"/>
        <v>1669</v>
      </c>
      <c r="R48" s="10">
        <f t="shared" si="91"/>
        <v>2321</v>
      </c>
      <c r="S48" s="10">
        <f t="shared" si="91"/>
        <v>3318</v>
      </c>
      <c r="T48" s="10">
        <f t="shared" si="91"/>
        <v>2348</v>
      </c>
      <c r="U48" s="10">
        <f t="shared" si="91"/>
        <v>3331</v>
      </c>
      <c r="V48" s="10">
        <f t="shared" si="91"/>
        <v>3468.8</v>
      </c>
      <c r="W48" s="10">
        <f t="shared" si="91"/>
        <v>2539</v>
      </c>
      <c r="X48" s="10">
        <f t="shared" si="91"/>
        <v>2614</v>
      </c>
      <c r="Y48" s="10">
        <f t="shared" si="91"/>
        <v>4862.52</v>
      </c>
      <c r="Z48" s="10">
        <f t="shared" si="91"/>
        <v>4930.155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4" t="s">
        <v>79</v>
      </c>
      <c r="AT48" s="13">
        <f>AT47/Main!K2-1</f>
        <v>1.038520989</v>
      </c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</row>
    <row r="49" ht="12.75" customHeight="1">
      <c r="A49" s="6"/>
      <c r="B49" s="6" t="s">
        <v>80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>
        <v>296.0</v>
      </c>
      <c r="O49" s="10">
        <v>464.0</v>
      </c>
      <c r="P49" s="10">
        <v>1178.0</v>
      </c>
      <c r="Q49" s="10">
        <v>1659.0</v>
      </c>
      <c r="R49" s="10">
        <v>2343.0</v>
      </c>
      <c r="S49" s="10">
        <v>3280.0</v>
      </c>
      <c r="T49" s="10">
        <v>2269.0</v>
      </c>
      <c r="U49" s="10">
        <f>8880-T49-S49</f>
        <v>3331</v>
      </c>
      <c r="V49" s="10">
        <v>3707.0</v>
      </c>
      <c r="W49" s="10">
        <v>2539.0</v>
      </c>
      <c r="X49" s="10"/>
      <c r="Y49" s="10"/>
      <c r="Z49" s="10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</row>
    <row r="50" ht="12.75" customHeight="1">
      <c r="A50" s="6"/>
      <c r="B50" s="6" t="s">
        <v>81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>
        <v>618.0</v>
      </c>
      <c r="O50" s="10">
        <v>621.0</v>
      </c>
      <c r="P50" s="10">
        <v>681.0</v>
      </c>
      <c r="Q50" s="10">
        <v>761.0</v>
      </c>
      <c r="R50" s="10">
        <v>848.0</v>
      </c>
      <c r="S50" s="10">
        <v>880.0</v>
      </c>
      <c r="T50" s="10">
        <v>922.0</v>
      </c>
      <c r="U50" s="10">
        <f>2758-T50-S50</f>
        <v>956</v>
      </c>
      <c r="V50" s="10">
        <v>989.0</v>
      </c>
      <c r="W50" s="10">
        <v>1046.0</v>
      </c>
      <c r="X50" s="10"/>
      <c r="Y50" s="10"/>
      <c r="Z50" s="10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</row>
    <row r="51" ht="12.75" customHeight="1">
      <c r="A51" s="6"/>
      <c r="B51" s="6" t="s">
        <v>82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>
        <v>633.0</v>
      </c>
      <c r="O51" s="10">
        <v>614.0</v>
      </c>
      <c r="P51" s="10">
        <v>474.0</v>
      </c>
      <c r="Q51" s="10">
        <v>475.0</v>
      </c>
      <c r="R51" s="10">
        <v>558.0</v>
      </c>
      <c r="S51" s="10">
        <v>418.0</v>
      </c>
      <c r="T51" s="10">
        <v>361.0</v>
      </c>
      <c r="U51" s="10">
        <f>1141-T51-S51</f>
        <v>362</v>
      </c>
      <c r="V51" s="10">
        <v>419.0</v>
      </c>
      <c r="W51" s="10">
        <v>418.0</v>
      </c>
      <c r="X51" s="10"/>
      <c r="Y51" s="10"/>
      <c r="Z51" s="10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</row>
    <row r="52" ht="12.75" customHeight="1">
      <c r="A52" s="6"/>
      <c r="B52" s="6" t="s">
        <v>83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>
        <v>33.0</v>
      </c>
      <c r="T52" s="10"/>
      <c r="U52" s="10">
        <f>118-T52-S52</f>
        <v>85</v>
      </c>
      <c r="V52" s="10"/>
      <c r="W52" s="10"/>
      <c r="X52" s="10"/>
      <c r="Y52" s="10"/>
      <c r="Z52" s="10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</row>
    <row r="53" ht="12.75" customHeight="1">
      <c r="A53" s="6"/>
      <c r="B53" s="6" t="s">
        <v>84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>
        <v>230.0</v>
      </c>
      <c r="O53" s="10">
        <v>-46.0</v>
      </c>
      <c r="P53" s="10">
        <v>115.0</v>
      </c>
      <c r="Q53" s="10">
        <v>253.0</v>
      </c>
      <c r="R53" s="10">
        <v>-19.0</v>
      </c>
      <c r="S53" s="10">
        <v>-30.0</v>
      </c>
      <c r="T53" s="10">
        <v>145.0</v>
      </c>
      <c r="U53" s="10">
        <f>1-T53-S53</f>
        <v>-114</v>
      </c>
      <c r="V53" s="10">
        <v>354.0</v>
      </c>
      <c r="W53" s="10">
        <v>40.0</v>
      </c>
      <c r="X53" s="10">
        <v>0.0</v>
      </c>
      <c r="Y53" s="10"/>
      <c r="Z53" s="10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</row>
    <row r="54" ht="12.75" customHeight="1">
      <c r="A54" s="6"/>
      <c r="B54" s="6" t="s">
        <v>85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>
        <v>16.0</v>
      </c>
      <c r="T54" s="10"/>
      <c r="U54" s="10">
        <f>159-T54-S54</f>
        <v>143</v>
      </c>
      <c r="V54" s="10"/>
      <c r="W54" s="10"/>
      <c r="X54" s="10"/>
      <c r="Y54" s="10"/>
      <c r="Z54" s="10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</row>
    <row r="55" ht="12.75" customHeight="1">
      <c r="A55" s="6"/>
      <c r="B55" s="6" t="s">
        <v>86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>
        <f>106-T55-S55</f>
        <v>106</v>
      </c>
      <c r="V55" s="10"/>
      <c r="W55" s="10"/>
      <c r="X55" s="10"/>
      <c r="Y55" s="10"/>
      <c r="Z55" s="10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</row>
    <row r="56" ht="12.75" customHeight="1">
      <c r="A56" s="6"/>
      <c r="B56" s="6" t="s">
        <v>87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>
        <v>1242.0</v>
      </c>
      <c r="O56" s="10">
        <v>-12.0</v>
      </c>
      <c r="P56" s="10">
        <v>-324.0</v>
      </c>
      <c r="Q56" s="10">
        <v>-1.0</v>
      </c>
      <c r="R56" s="10">
        <v>855.0</v>
      </c>
      <c r="S56" s="10">
        <f>-409-633-462-289-611+997+287+204+314</f>
        <v>-602</v>
      </c>
      <c r="T56" s="10">
        <v>-1346.0</v>
      </c>
      <c r="U56" s="10">
        <f>-426-4492-1136-865-1580+4659+856+251+1016-T56-S56</f>
        <v>231</v>
      </c>
      <c r="V56" s="10">
        <v>-2191.0</v>
      </c>
      <c r="W56" s="10">
        <v>-1530.0</v>
      </c>
      <c r="X56" s="10"/>
      <c r="Y56" s="10"/>
      <c r="Z56" s="10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</row>
    <row r="57" ht="12.75" customHeight="1">
      <c r="A57" s="6"/>
      <c r="B57" s="6" t="s">
        <v>88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>
        <f t="shared" ref="N57:W57" si="92">SUM(N49:N56)</f>
        <v>3019</v>
      </c>
      <c r="O57" s="10">
        <f t="shared" si="92"/>
        <v>1641</v>
      </c>
      <c r="P57" s="10">
        <f t="shared" si="92"/>
        <v>2124</v>
      </c>
      <c r="Q57" s="10">
        <f t="shared" si="92"/>
        <v>3147</v>
      </c>
      <c r="R57" s="10">
        <f t="shared" si="92"/>
        <v>4585</v>
      </c>
      <c r="S57" s="10">
        <f t="shared" si="92"/>
        <v>3995</v>
      </c>
      <c r="T57" s="10">
        <f t="shared" si="92"/>
        <v>2351</v>
      </c>
      <c r="U57" s="10">
        <f t="shared" si="92"/>
        <v>5100</v>
      </c>
      <c r="V57" s="10">
        <f t="shared" si="92"/>
        <v>3278</v>
      </c>
      <c r="W57" s="10">
        <f t="shared" si="92"/>
        <v>2513</v>
      </c>
      <c r="X57" s="10"/>
      <c r="Y57" s="10"/>
      <c r="Z57" s="10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</row>
    <row r="58" ht="12.75" customHeight="1">
      <c r="A58" s="6"/>
      <c r="B58" s="6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</row>
    <row r="59" ht="12.75" customHeight="1">
      <c r="A59" s="6"/>
      <c r="B59" s="6" t="s">
        <v>89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>
        <v>1151.0</v>
      </c>
      <c r="O59" s="10">
        <v>1348.0</v>
      </c>
      <c r="P59" s="10">
        <v>1505.0</v>
      </c>
      <c r="Q59" s="10">
        <v>1819.0</v>
      </c>
      <c r="R59" s="10">
        <v>1810.0</v>
      </c>
      <c r="S59" s="10">
        <v>1767.0</v>
      </c>
      <c r="T59" s="10">
        <f>3497-S59</f>
        <v>1730</v>
      </c>
      <c r="U59" s="10">
        <f>5300-T59-S59</f>
        <v>1803</v>
      </c>
      <c r="V59" s="10">
        <v>1858.0</v>
      </c>
      <c r="W59" s="10">
        <v>2072.0</v>
      </c>
      <c r="X59" s="10"/>
      <c r="Y59" s="10"/>
      <c r="Z59" s="10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</row>
    <row r="60" ht="12.75" customHeight="1">
      <c r="A60" s="6"/>
      <c r="B60" s="6" t="s">
        <v>90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>
        <f t="shared" ref="N60:W60" si="93">N57-N59</f>
        <v>1868</v>
      </c>
      <c r="O60" s="10">
        <f t="shared" si="93"/>
        <v>293</v>
      </c>
      <c r="P60" s="10">
        <f t="shared" si="93"/>
        <v>619</v>
      </c>
      <c r="Q60" s="10">
        <f t="shared" si="93"/>
        <v>1328</v>
      </c>
      <c r="R60" s="10">
        <f t="shared" si="93"/>
        <v>2775</v>
      </c>
      <c r="S60" s="10">
        <f t="shared" si="93"/>
        <v>2228</v>
      </c>
      <c r="T60" s="10">
        <f t="shared" si="93"/>
        <v>621</v>
      </c>
      <c r="U60" s="10">
        <f t="shared" si="93"/>
        <v>3297</v>
      </c>
      <c r="V60" s="10">
        <f t="shared" si="93"/>
        <v>1420</v>
      </c>
      <c r="W60" s="10">
        <f t="shared" si="93"/>
        <v>441</v>
      </c>
      <c r="X60" s="10"/>
      <c r="Y60" s="10"/>
      <c r="Z60" s="10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</row>
    <row r="61" ht="12.75" customHeight="1">
      <c r="A61" s="6"/>
      <c r="B61" s="6" t="s">
        <v>91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>
        <f t="shared" ref="Q61:W61" si="94">SUM(N60:Q60)</f>
        <v>4108</v>
      </c>
      <c r="R61" s="10">
        <f t="shared" si="94"/>
        <v>5015</v>
      </c>
      <c r="S61" s="10">
        <f t="shared" si="94"/>
        <v>6950</v>
      </c>
      <c r="T61" s="10">
        <f t="shared" si="94"/>
        <v>6952</v>
      </c>
      <c r="U61" s="10">
        <f t="shared" si="94"/>
        <v>8921</v>
      </c>
      <c r="V61" s="10">
        <f t="shared" si="94"/>
        <v>7566</v>
      </c>
      <c r="W61" s="10">
        <f t="shared" si="94"/>
        <v>5779</v>
      </c>
      <c r="X61" s="10"/>
      <c r="Y61" s="10"/>
      <c r="Z61" s="10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</row>
    <row r="62" ht="12.75" customHeight="1">
      <c r="A62" s="6"/>
      <c r="B62" s="6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</row>
    <row r="63" ht="12.75" customHeight="1">
      <c r="A63" s="6"/>
      <c r="B63" s="6" t="s">
        <v>92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>
        <f t="shared" ref="W63:Z63" si="95">W64-W81</f>
        <v>19726</v>
      </c>
      <c r="X63" s="10">
        <f t="shared" si="95"/>
        <v>22340</v>
      </c>
      <c r="Y63" s="10">
        <f t="shared" si="95"/>
        <v>27202.52</v>
      </c>
      <c r="Z63" s="10">
        <f t="shared" si="95"/>
        <v>32132.675</v>
      </c>
      <c r="AA63" s="6"/>
      <c r="AB63" s="6"/>
      <c r="AC63" s="6"/>
      <c r="AD63" s="6"/>
      <c r="AE63" s="6"/>
      <c r="AF63" s="6"/>
      <c r="AG63" s="6"/>
      <c r="AH63" s="6"/>
      <c r="AI63" s="6"/>
      <c r="AJ63" s="6">
        <f>Z63</f>
        <v>32132.675</v>
      </c>
      <c r="AK63" s="6">
        <f t="shared" ref="AK63:AQ63" si="96">AJ63+AK36</f>
        <v>49619.66581</v>
      </c>
      <c r="AL63" s="6">
        <f t="shared" si="96"/>
        <v>80397.06406</v>
      </c>
      <c r="AM63" s="6">
        <f t="shared" si="96"/>
        <v>126246.6944</v>
      </c>
      <c r="AN63" s="6">
        <f t="shared" si="96"/>
        <v>189534.6695</v>
      </c>
      <c r="AO63" s="6">
        <f t="shared" si="96"/>
        <v>275223.159</v>
      </c>
      <c r="AP63" s="6">
        <f t="shared" si="96"/>
        <v>384625.7906</v>
      </c>
      <c r="AQ63" s="6">
        <f t="shared" si="96"/>
        <v>516772.641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</row>
    <row r="64" ht="12.75" customHeight="1">
      <c r="A64" s="6"/>
      <c r="B64" s="6" t="s">
        <v>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>
        <f>17576+131</f>
        <v>17707</v>
      </c>
      <c r="T64" s="10">
        <f>18324+591</f>
        <v>18915</v>
      </c>
      <c r="U64" s="10">
        <f>19532+1575</f>
        <v>21107</v>
      </c>
      <c r="V64" s="10"/>
      <c r="W64" s="10">
        <f>22402</f>
        <v>22402</v>
      </c>
      <c r="X64" s="10">
        <f t="shared" ref="X64:Z64" si="97">W64+X36</f>
        <v>25016</v>
      </c>
      <c r="Y64" s="10">
        <f t="shared" si="97"/>
        <v>29878.52</v>
      </c>
      <c r="Z64" s="10">
        <f t="shared" si="97"/>
        <v>34808.675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</row>
    <row r="65" ht="12.75" customHeight="1">
      <c r="A65" s="6"/>
      <c r="B65" s="6" t="s">
        <v>93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>
        <v>1913.0</v>
      </c>
      <c r="T65" s="10">
        <v>2081.0</v>
      </c>
      <c r="U65" s="10">
        <v>2192.0</v>
      </c>
      <c r="V65" s="10"/>
      <c r="W65" s="10">
        <v>2993.0</v>
      </c>
      <c r="X65" s="10"/>
      <c r="Y65" s="10"/>
      <c r="Z65" s="10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</row>
    <row r="66" ht="12.75" customHeight="1">
      <c r="A66" s="6"/>
      <c r="B66" s="6" t="s">
        <v>83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>
        <v>5757.0</v>
      </c>
      <c r="T66" s="10">
        <v>8108.0</v>
      </c>
      <c r="U66" s="10">
        <v>10327.0</v>
      </c>
      <c r="V66" s="10"/>
      <c r="W66" s="10">
        <v>14375.0</v>
      </c>
      <c r="X66" s="10"/>
      <c r="Y66" s="10"/>
      <c r="Z66" s="10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</row>
    <row r="67" ht="12.75" customHeight="1">
      <c r="A67" s="6"/>
      <c r="B67" s="6" t="s">
        <v>94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>
        <v>1723.0</v>
      </c>
      <c r="T67" s="10">
        <v>2118.0</v>
      </c>
      <c r="U67" s="10">
        <v>2364.0</v>
      </c>
      <c r="V67" s="10"/>
      <c r="W67" s="10">
        <v>3227.0</v>
      </c>
      <c r="X67" s="10"/>
      <c r="Y67" s="10"/>
      <c r="Z67" s="10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</row>
    <row r="68" ht="12.75" customHeight="1">
      <c r="A68" s="6"/>
      <c r="B68" s="6" t="s">
        <v>95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>
        <v>4511.0</v>
      </c>
      <c r="T68" s="10">
        <v>4782.0</v>
      </c>
      <c r="U68" s="10">
        <v>4824.0</v>
      </c>
      <c r="V68" s="10"/>
      <c r="W68" s="10">
        <v>5473.0</v>
      </c>
      <c r="X68" s="10"/>
      <c r="Y68" s="10"/>
      <c r="Z68" s="10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</row>
    <row r="69" ht="12.75" customHeight="1">
      <c r="A69" s="6"/>
      <c r="B69" s="6" t="s">
        <v>96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>
        <v>5765.0</v>
      </c>
      <c r="T69" s="10">
        <v>5624.0</v>
      </c>
      <c r="U69" s="10">
        <v>5562.0</v>
      </c>
      <c r="V69" s="10"/>
      <c r="W69" s="10">
        <v>5427.0</v>
      </c>
      <c r="X69" s="10"/>
      <c r="Y69" s="10"/>
      <c r="Z69" s="10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</row>
    <row r="70" ht="12.75" customHeight="1">
      <c r="A70" s="6"/>
      <c r="B70" s="6" t="s">
        <v>97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>
        <v>18884.0</v>
      </c>
      <c r="T70" s="10">
        <v>21093.0</v>
      </c>
      <c r="U70" s="10">
        <v>21926.0</v>
      </c>
      <c r="V70" s="10"/>
      <c r="W70" s="10">
        <v>24969.0</v>
      </c>
      <c r="X70" s="10"/>
      <c r="Y70" s="10"/>
      <c r="Z70" s="10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</row>
    <row r="71" ht="12.75" customHeight="1">
      <c r="A71" s="6"/>
      <c r="B71" s="6" t="s">
        <v>98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>
        <v>2016.0</v>
      </c>
      <c r="T71" s="10">
        <v>2185.0</v>
      </c>
      <c r="U71" s="10">
        <v>2251.0</v>
      </c>
      <c r="V71" s="10"/>
      <c r="W71" s="10">
        <v>2800.0</v>
      </c>
      <c r="X71" s="10"/>
      <c r="Y71" s="10"/>
      <c r="Z71" s="10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</row>
    <row r="72" ht="12.75" customHeight="1">
      <c r="A72" s="6"/>
      <c r="B72" s="6" t="s">
        <v>86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>
        <v>1260.0</v>
      </c>
      <c r="T72" s="10">
        <v>218.0</v>
      </c>
      <c r="U72" s="10">
        <v>218.0</v>
      </c>
      <c r="V72" s="10"/>
      <c r="W72" s="10">
        <v>184.0</v>
      </c>
      <c r="X72" s="10"/>
      <c r="Y72" s="10"/>
      <c r="Z72" s="10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</row>
    <row r="73" ht="12.75" customHeight="1">
      <c r="A73" s="6"/>
      <c r="B73" s="6" t="s">
        <v>99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>
        <v>457.0</v>
      </c>
      <c r="T73" s="10">
        <f>241+196</f>
        <v>437</v>
      </c>
      <c r="U73" s="10">
        <f>228+191</f>
        <v>419</v>
      </c>
      <c r="V73" s="10"/>
      <c r="W73" s="10">
        <v>399.0</v>
      </c>
      <c r="X73" s="10"/>
      <c r="Y73" s="10"/>
      <c r="Z73" s="10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</row>
    <row r="74" ht="12.75" customHeight="1">
      <c r="A74" s="6"/>
      <c r="B74" s="6" t="s">
        <v>100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>
        <v>2138.0</v>
      </c>
      <c r="T74" s="10">
        <v>2952.0</v>
      </c>
      <c r="U74" s="10">
        <v>3236.0</v>
      </c>
      <c r="V74" s="10"/>
      <c r="W74" s="10">
        <v>4584.0</v>
      </c>
      <c r="X74" s="10"/>
      <c r="Y74" s="10"/>
      <c r="Z74" s="10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</row>
    <row r="75" ht="12.75" customHeight="1">
      <c r="A75" s="6"/>
      <c r="B75" s="6" t="s">
        <v>101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>
        <f t="shared" ref="S75:W75" si="98">SUM(S64:S74)</f>
        <v>62131</v>
      </c>
      <c r="T75" s="10">
        <f t="shared" si="98"/>
        <v>68513</v>
      </c>
      <c r="U75" s="10">
        <f t="shared" si="98"/>
        <v>74426</v>
      </c>
      <c r="V75" s="10">
        <f t="shared" si="98"/>
        <v>0</v>
      </c>
      <c r="W75" s="10">
        <f t="shared" si="98"/>
        <v>86833</v>
      </c>
      <c r="X75" s="10"/>
      <c r="Y75" s="10"/>
      <c r="Z75" s="10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</row>
    <row r="76" ht="12.75" customHeight="1">
      <c r="A76" s="1"/>
      <c r="B76" s="1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/>
      <c r="T76" s="10"/>
      <c r="U76" s="10"/>
      <c r="V76" s="9"/>
      <c r="W76" s="9"/>
      <c r="X76" s="9"/>
      <c r="Y76" s="9"/>
      <c r="Z76" s="9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ht="12.75" customHeight="1">
      <c r="A77" s="1"/>
      <c r="B77" s="1" t="s">
        <v>102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0">
        <v>10025.0</v>
      </c>
      <c r="T77" s="10">
        <v>11212.0</v>
      </c>
      <c r="U77" s="10">
        <v>13897.0</v>
      </c>
      <c r="V77" s="9"/>
      <c r="W77" s="10">
        <v>15904.0</v>
      </c>
      <c r="X77" s="9"/>
      <c r="Y77" s="9"/>
      <c r="Z77" s="9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ht="12.75" customHeight="1">
      <c r="A78" s="1"/>
      <c r="B78" s="1" t="s">
        <v>103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0">
        <v>5719.0</v>
      </c>
      <c r="T78" s="10">
        <v>6037.0</v>
      </c>
      <c r="U78" s="10">
        <v>6246.0</v>
      </c>
      <c r="V78" s="9"/>
      <c r="W78" s="10">
        <v>7321.0</v>
      </c>
      <c r="X78" s="9"/>
      <c r="Y78" s="9"/>
      <c r="Z78" s="9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ht="12.75" customHeight="1">
      <c r="A79" s="1"/>
      <c r="B79" s="1" t="s">
        <v>104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>
        <v>1447.0</v>
      </c>
      <c r="T79" s="10">
        <v>1858.0</v>
      </c>
      <c r="U79" s="10">
        <v>1928.0</v>
      </c>
      <c r="V79" s="9"/>
      <c r="W79" s="10">
        <v>1750.0</v>
      </c>
      <c r="X79" s="9"/>
      <c r="Y79" s="9"/>
      <c r="Z79" s="9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ht="12.75" customHeight="1">
      <c r="A80" s="1"/>
      <c r="B80" s="1" t="s">
        <v>105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>
        <v>925.0</v>
      </c>
      <c r="T80" s="10">
        <v>1182.0</v>
      </c>
      <c r="U80" s="10">
        <v>1083.0</v>
      </c>
      <c r="V80" s="9"/>
      <c r="W80" s="10">
        <v>1057.0</v>
      </c>
      <c r="X80" s="9"/>
      <c r="Y80" s="9"/>
      <c r="Z80" s="9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ht="12.75" customHeight="1">
      <c r="A81" s="1"/>
      <c r="B81" s="1" t="s">
        <v>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10">
        <f>1589+5245</f>
        <v>6834</v>
      </c>
      <c r="T81" s="10">
        <f>2898+1532</f>
        <v>4430</v>
      </c>
      <c r="U81" s="10">
        <f>2096+1457</f>
        <v>3553</v>
      </c>
      <c r="V81" s="9"/>
      <c r="W81" s="10">
        <f>1404+1272</f>
        <v>2676</v>
      </c>
      <c r="X81" s="10">
        <f t="shared" ref="X81:Z81" si="99">W81</f>
        <v>2676</v>
      </c>
      <c r="Y81" s="10">
        <f t="shared" si="99"/>
        <v>2676</v>
      </c>
      <c r="Z81" s="10">
        <f t="shared" si="99"/>
        <v>2676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ht="12.75" customHeight="1">
      <c r="A82" s="1"/>
      <c r="B82" s="1" t="s">
        <v>104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>
        <v>2052.0</v>
      </c>
      <c r="T82" s="10">
        <v>2210.0</v>
      </c>
      <c r="U82" s="10">
        <v>2265.0</v>
      </c>
      <c r="V82" s="9"/>
      <c r="W82" s="10">
        <v>2911.0</v>
      </c>
      <c r="X82" s="9"/>
      <c r="Y82" s="9"/>
      <c r="Z82" s="9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ht="12.75" customHeight="1">
      <c r="A83" s="1"/>
      <c r="B83" s="1" t="s">
        <v>106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0">
        <v>3546.0</v>
      </c>
      <c r="T83" s="10">
        <v>3926.0</v>
      </c>
      <c r="U83" s="10">
        <v>4330.0</v>
      </c>
      <c r="V83" s="9"/>
      <c r="W83" s="10">
        <v>5979.0</v>
      </c>
      <c r="X83" s="9"/>
      <c r="Y83" s="9"/>
      <c r="Z83" s="9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ht="12.75" customHeight="1">
      <c r="A84" s="1"/>
      <c r="B84" s="1" t="s">
        <v>107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0">
        <f>30189+826+568</f>
        <v>31583</v>
      </c>
      <c r="T84" s="10">
        <f>36376+421+861</f>
        <v>37658</v>
      </c>
      <c r="U84" s="10">
        <f>39851+852+421</f>
        <v>41124</v>
      </c>
      <c r="V84" s="9"/>
      <c r="W84" s="10">
        <f>48054+407+774</f>
        <v>49235</v>
      </c>
      <c r="X84" s="9"/>
      <c r="Y84" s="9"/>
      <c r="Z84" s="9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ht="12.75" customHeight="1">
      <c r="A85" s="1"/>
      <c r="B85" s="1" t="s">
        <v>108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0">
        <f t="shared" ref="S85:W85" si="100">SUM(S77:S84)</f>
        <v>62131</v>
      </c>
      <c r="T85" s="10">
        <f t="shared" si="100"/>
        <v>68513</v>
      </c>
      <c r="U85" s="10">
        <f t="shared" si="100"/>
        <v>74426</v>
      </c>
      <c r="V85" s="10">
        <f t="shared" si="100"/>
        <v>0</v>
      </c>
      <c r="W85" s="10">
        <f t="shared" si="100"/>
        <v>86833</v>
      </c>
      <c r="X85" s="9"/>
      <c r="Y85" s="9"/>
      <c r="Z85" s="9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ht="12.75" customHeight="1">
      <c r="A86" s="1"/>
      <c r="B86" s="1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0"/>
      <c r="T86" s="9"/>
      <c r="U86" s="9"/>
      <c r="V86" s="9"/>
      <c r="W86" s="9"/>
      <c r="X86" s="9"/>
      <c r="Y86" s="9"/>
      <c r="Z86" s="9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ht="12.75" customHeight="1">
      <c r="A87" s="1"/>
      <c r="B87" s="1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10"/>
      <c r="T87" s="9"/>
      <c r="U87" s="9"/>
      <c r="V87" s="9"/>
      <c r="W87" s="9"/>
      <c r="X87" s="9"/>
      <c r="Y87" s="9"/>
      <c r="Z87" s="9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ht="12.75" customHeight="1">
      <c r="A88" s="1"/>
      <c r="B88" s="1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0"/>
      <c r="T88" s="9"/>
      <c r="U88" s="9"/>
      <c r="V88" s="9"/>
      <c r="W88" s="9"/>
      <c r="X88" s="9"/>
      <c r="Y88" s="9"/>
      <c r="Z88" s="9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ht="12.75" customHeight="1">
      <c r="A89" s="1"/>
      <c r="B89" s="1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  <c r="T89" s="9"/>
      <c r="U89" s="9"/>
      <c r="V89" s="9"/>
      <c r="W89" s="9"/>
      <c r="X89" s="9"/>
      <c r="Y89" s="9"/>
      <c r="Z89" s="9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ht="12.75" customHeight="1">
      <c r="A90" s="1"/>
      <c r="B90" s="1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ht="12.75" customHeight="1">
      <c r="A91" s="1"/>
      <c r="B91" s="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ht="12.75" customHeight="1">
      <c r="A92" s="1"/>
      <c r="B92" s="1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ht="12.75" customHeight="1">
      <c r="A93" s="1"/>
      <c r="B93" s="1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ht="12.75" customHeight="1">
      <c r="A94" s="1"/>
      <c r="B94" s="1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ht="12.75" customHeight="1">
      <c r="A95" s="1"/>
      <c r="B95" s="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ht="12.75" customHeight="1">
      <c r="A96" s="1"/>
      <c r="B96" s="1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ht="12.75" customHeight="1">
      <c r="A97" s="1"/>
      <c r="B97" s="1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ht="12.75" customHeight="1">
      <c r="A98" s="1"/>
      <c r="B98" s="1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ht="12.75" customHeight="1">
      <c r="A99" s="1"/>
      <c r="B99" s="1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ht="12.75" customHeight="1">
      <c r="A100" s="1"/>
      <c r="B100" s="1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ht="12.75" customHeight="1">
      <c r="A101" s="1"/>
      <c r="B101" s="1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ht="12.75" customHeight="1">
      <c r="A102" s="1"/>
      <c r="B102" s="1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ht="12.75" customHeight="1">
      <c r="A103" s="1"/>
      <c r="B103" s="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ht="12.75" customHeight="1">
      <c r="A104" s="1"/>
      <c r="B104" s="1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ht="12.75" customHeight="1">
      <c r="A105" s="1"/>
      <c r="B105" s="1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ht="12.75" customHeight="1">
      <c r="A106" s="1"/>
      <c r="B106" s="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ht="12.75" customHeight="1">
      <c r="A107" s="1"/>
      <c r="B107" s="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ht="12.75" customHeight="1">
      <c r="A108" s="1"/>
      <c r="B108" s="1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ht="12.75" customHeight="1">
      <c r="A109" s="1"/>
      <c r="B109" s="1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ht="12.75" customHeight="1">
      <c r="A110" s="1"/>
      <c r="B110" s="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ht="12.75" customHeight="1">
      <c r="A111" s="1"/>
      <c r="B111" s="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ht="12.75" customHeight="1">
      <c r="A112" s="1"/>
      <c r="B112" s="1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ht="12.75" customHeight="1">
      <c r="A113" s="1"/>
      <c r="B113" s="1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ht="12.75" customHeight="1">
      <c r="A114" s="1"/>
      <c r="B114" s="1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ht="12.75" customHeight="1">
      <c r="A115" s="1"/>
      <c r="B115" s="1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ht="12.75" customHeight="1">
      <c r="A116" s="1"/>
      <c r="B116" s="1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ht="12.75" customHeight="1">
      <c r="A117" s="1"/>
      <c r="B117" s="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ht="12.75" customHeight="1">
      <c r="A118" s="1"/>
      <c r="B118" s="1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ht="12.75" customHeight="1">
      <c r="A119" s="1"/>
      <c r="B119" s="1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ht="12.75" customHeight="1">
      <c r="A120" s="1"/>
      <c r="B120" s="1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ht="12.75" customHeight="1">
      <c r="A121" s="1"/>
      <c r="B121" s="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ht="12.75" customHeight="1">
      <c r="A122" s="1"/>
      <c r="B122" s="1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ht="12.75" customHeight="1">
      <c r="A123" s="1"/>
      <c r="B123" s="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ht="12.75" customHeight="1">
      <c r="A124" s="1"/>
      <c r="B124" s="1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ht="12.75" customHeight="1">
      <c r="A125" s="1"/>
      <c r="B125" s="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ht="12.75" customHeight="1">
      <c r="A126" s="1"/>
      <c r="B126" s="1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ht="12.75" customHeight="1">
      <c r="A127" s="1"/>
      <c r="B127" s="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ht="12.75" customHeight="1">
      <c r="A128" s="1"/>
      <c r="B128" s="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ht="12.75" customHeight="1">
      <c r="A129" s="1"/>
      <c r="B129" s="1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ht="12.75" customHeight="1">
      <c r="A130" s="1"/>
      <c r="B130" s="1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ht="12.75" customHeight="1">
      <c r="A131" s="1"/>
      <c r="B131" s="1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ht="12.75" customHeight="1">
      <c r="A132" s="1"/>
      <c r="B132" s="1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ht="12.75" customHeight="1">
      <c r="A133" s="1"/>
      <c r="B133" s="1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ht="12.75" customHeight="1">
      <c r="A134" s="1"/>
      <c r="B134" s="1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ht="12.75" customHeight="1">
      <c r="A135" s="1"/>
      <c r="B135" s="1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ht="12.75" customHeight="1">
      <c r="A136" s="1"/>
      <c r="B136" s="1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ht="12.75" customHeight="1">
      <c r="A137" s="1"/>
      <c r="B137" s="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ht="12.75" customHeight="1">
      <c r="A138" s="1"/>
      <c r="B138" s="1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ht="12.75" customHeight="1">
      <c r="A139" s="1"/>
      <c r="B139" s="1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ht="12.75" customHeight="1">
      <c r="A140" s="1"/>
      <c r="B140" s="1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ht="12.75" customHeight="1">
      <c r="A141" s="1"/>
      <c r="B141" s="1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ht="12.75" customHeight="1">
      <c r="A142" s="1"/>
      <c r="B142" s="1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ht="12.75" customHeight="1">
      <c r="A143" s="1"/>
      <c r="B143" s="1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ht="12.75" customHeight="1">
      <c r="A144" s="1"/>
      <c r="B144" s="1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ht="12.75" customHeight="1">
      <c r="A145" s="1"/>
      <c r="B145" s="1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ht="12.75" customHeight="1">
      <c r="A146" s="1"/>
      <c r="B146" s="1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ht="12.75" customHeight="1">
      <c r="A147" s="1"/>
      <c r="B147" s="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ht="12.75" customHeight="1">
      <c r="A148" s="1"/>
      <c r="B148" s="1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ht="12.75" customHeight="1">
      <c r="A149" s="1"/>
      <c r="B149" s="1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ht="12.75" customHeight="1">
      <c r="A150" s="1"/>
      <c r="B150" s="1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ht="12.75" customHeight="1">
      <c r="A151" s="1"/>
      <c r="B151" s="1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ht="12.75" customHeight="1">
      <c r="A152" s="1"/>
      <c r="B152" s="1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ht="12.75" customHeight="1">
      <c r="A153" s="1"/>
      <c r="B153" s="1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ht="12.75" customHeight="1">
      <c r="A154" s="1"/>
      <c r="B154" s="1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ht="12.75" customHeight="1">
      <c r="A155" s="1"/>
      <c r="B155" s="1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ht="12.75" customHeight="1">
      <c r="A156" s="1"/>
      <c r="B156" s="1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ht="12.75" customHeight="1">
      <c r="A157" s="1"/>
      <c r="B157" s="1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ht="12.75" customHeight="1">
      <c r="A158" s="1"/>
      <c r="B158" s="1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ht="12.75" customHeight="1">
      <c r="A159" s="1"/>
      <c r="B159" s="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ht="12.75" customHeight="1">
      <c r="A160" s="1"/>
      <c r="B160" s="1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ht="12.75" customHeight="1">
      <c r="A161" s="1"/>
      <c r="B161" s="1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ht="12.75" customHeight="1">
      <c r="A162" s="1"/>
      <c r="B162" s="1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ht="12.75" customHeight="1">
      <c r="A163" s="1"/>
      <c r="B163" s="1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ht="12.75" customHeight="1">
      <c r="A164" s="1"/>
      <c r="B164" s="1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ht="12.75" customHeight="1">
      <c r="A165" s="1"/>
      <c r="B165" s="1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ht="12.75" customHeight="1">
      <c r="A166" s="1"/>
      <c r="B166" s="1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ht="12.75" customHeight="1">
      <c r="A167" s="1"/>
      <c r="B167" s="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ht="12.75" customHeight="1">
      <c r="A168" s="1"/>
      <c r="B168" s="1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ht="12.75" customHeight="1">
      <c r="A169" s="1"/>
      <c r="B169" s="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ht="12.75" customHeight="1">
      <c r="A170" s="1"/>
      <c r="B170" s="1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ht="12.75" customHeight="1">
      <c r="A171" s="1"/>
      <c r="B171" s="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ht="12.75" customHeight="1">
      <c r="A172" s="1"/>
      <c r="B172" s="1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ht="12.75" customHeight="1">
      <c r="A173" s="1"/>
      <c r="B173" s="1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ht="12.75" customHeight="1">
      <c r="A174" s="1"/>
      <c r="B174" s="1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ht="12.75" customHeight="1">
      <c r="A175" s="1"/>
      <c r="B175" s="1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ht="12.75" customHeight="1">
      <c r="A176" s="1"/>
      <c r="B176" s="1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ht="12.75" customHeight="1">
      <c r="A177" s="1"/>
      <c r="B177" s="1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ht="12.75" customHeight="1">
      <c r="A178" s="1"/>
      <c r="B178" s="1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ht="12.75" customHeight="1">
      <c r="A179" s="1"/>
      <c r="B179" s="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ht="12.75" customHeight="1">
      <c r="A180" s="1"/>
      <c r="B180" s="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ht="12.75" customHeight="1">
      <c r="A181" s="1"/>
      <c r="B181" s="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ht="12.75" customHeight="1">
      <c r="A182" s="1"/>
      <c r="B182" s="1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ht="12.75" customHeight="1">
      <c r="A183" s="1"/>
      <c r="B183" s="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ht="12.75" customHeight="1">
      <c r="A184" s="1"/>
      <c r="B184" s="1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ht="12.75" customHeight="1">
      <c r="A185" s="1"/>
      <c r="B185" s="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ht="12.75" customHeight="1">
      <c r="A186" s="1"/>
      <c r="B186" s="1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ht="12.75" customHeight="1">
      <c r="A187" s="1"/>
      <c r="B187" s="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ht="12.75" customHeight="1">
      <c r="A188" s="1"/>
      <c r="B188" s="1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ht="12.75" customHeight="1">
      <c r="A189" s="1"/>
      <c r="B189" s="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ht="12.75" customHeight="1">
      <c r="A190" s="1"/>
      <c r="B190" s="1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ht="12.75" customHeight="1">
      <c r="A191" s="1"/>
      <c r="B191" s="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ht="12.75" customHeight="1">
      <c r="A192" s="1"/>
      <c r="B192" s="1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ht="12.75" customHeight="1">
      <c r="A193" s="1"/>
      <c r="B193" s="1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ht="12.75" customHeight="1">
      <c r="A194" s="1"/>
      <c r="B194" s="1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ht="12.75" customHeight="1">
      <c r="A195" s="1"/>
      <c r="B195" s="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ht="12.75" customHeight="1">
      <c r="A196" s="1"/>
      <c r="B196" s="1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ht="12.75" customHeight="1">
      <c r="A197" s="1"/>
      <c r="B197" s="1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ht="12.75" customHeight="1">
      <c r="A198" s="1"/>
      <c r="B198" s="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ht="12.75" customHeight="1">
      <c r="A199" s="1"/>
      <c r="B199" s="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ht="12.75" customHeight="1">
      <c r="A200" s="1"/>
      <c r="B200" s="1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ht="12.75" customHeight="1">
      <c r="A201" s="1"/>
      <c r="B201" s="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ht="12.75" customHeight="1">
      <c r="A202" s="1"/>
      <c r="B202" s="1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ht="12.75" customHeight="1">
      <c r="A203" s="1"/>
      <c r="B203" s="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ht="12.75" customHeight="1">
      <c r="A204" s="1"/>
      <c r="B204" s="1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ht="12.75" customHeight="1">
      <c r="A205" s="1"/>
      <c r="B205" s="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ht="12.75" customHeight="1">
      <c r="A206" s="1"/>
      <c r="B206" s="1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ht="12.75" customHeight="1">
      <c r="A207" s="1"/>
      <c r="B207" s="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ht="12.75" customHeight="1">
      <c r="A208" s="1"/>
      <c r="B208" s="1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ht="12.75" customHeight="1">
      <c r="A209" s="1"/>
      <c r="B209" s="1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ht="12.75" customHeight="1">
      <c r="A210" s="1"/>
      <c r="B210" s="1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ht="12.75" customHeight="1">
      <c r="A211" s="1"/>
      <c r="B211" s="1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ht="12.75" customHeight="1">
      <c r="A212" s="1"/>
      <c r="B212" s="1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ht="12.75" customHeight="1">
      <c r="A213" s="1"/>
      <c r="B213" s="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ht="12.75" customHeight="1">
      <c r="A214" s="1"/>
      <c r="B214" s="1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ht="12.75" customHeight="1">
      <c r="A215" s="1"/>
      <c r="B215" s="1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ht="12.75" customHeight="1">
      <c r="A216" s="1"/>
      <c r="B216" s="1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ht="12.75" customHeight="1">
      <c r="A217" s="1"/>
      <c r="B217" s="1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ht="12.75" customHeight="1">
      <c r="A218" s="1"/>
      <c r="B218" s="1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ht="12.75" customHeight="1">
      <c r="A219" s="1"/>
      <c r="B219" s="1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ht="12.75" customHeight="1">
      <c r="A220" s="1"/>
      <c r="B220" s="1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ht="12.75" customHeight="1">
      <c r="A221" s="1"/>
      <c r="B221" s="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ht="12.75" customHeight="1">
      <c r="A222" s="1"/>
      <c r="B222" s="1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ht="12.75" customHeight="1">
      <c r="A223" s="1"/>
      <c r="B223" s="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ht="12.75" customHeight="1">
      <c r="A224" s="1"/>
      <c r="B224" s="1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ht="12.75" customHeight="1">
      <c r="A225" s="1"/>
      <c r="B225" s="1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ht="12.75" customHeight="1">
      <c r="A226" s="1"/>
      <c r="B226" s="1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ht="12.75" customHeight="1">
      <c r="A227" s="1"/>
      <c r="B227" s="1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ht="12.75" customHeight="1">
      <c r="A228" s="1"/>
      <c r="B228" s="1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ht="12.75" customHeight="1">
      <c r="A229" s="1"/>
      <c r="B229" s="1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ht="12.75" customHeight="1">
      <c r="A230" s="1"/>
      <c r="B230" s="1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ht="12.75" customHeight="1">
      <c r="A231" s="1"/>
      <c r="B231" s="1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ht="12.75" customHeight="1">
      <c r="A232" s="1"/>
      <c r="B232" s="1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ht="12.75" customHeight="1">
      <c r="A233" s="1"/>
      <c r="B233" s="1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ht="12.75" customHeight="1">
      <c r="A234" s="1"/>
      <c r="B234" s="1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ht="12.75" customHeight="1">
      <c r="A235" s="1"/>
      <c r="B235" s="1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ht="12.75" customHeight="1">
      <c r="A236" s="1"/>
      <c r="B236" s="1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ht="12.75" customHeight="1">
      <c r="A237" s="1"/>
      <c r="B237" s="1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ht="12.75" customHeight="1">
      <c r="A238" s="1"/>
      <c r="B238" s="1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ht="12.75" customHeight="1">
      <c r="A239" s="1"/>
      <c r="B239" s="1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ht="12.75" customHeight="1">
      <c r="A240" s="1"/>
      <c r="B240" s="1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ht="12.75" customHeight="1">
      <c r="A241" s="1"/>
      <c r="B241" s="1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ht="12.75" customHeight="1">
      <c r="A242" s="1"/>
      <c r="B242" s="1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ht="12.75" customHeight="1">
      <c r="A243" s="1"/>
      <c r="B243" s="1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ht="12.75" customHeight="1">
      <c r="A244" s="1"/>
      <c r="B244" s="1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ht="12.75" customHeight="1">
      <c r="A245" s="1"/>
      <c r="B245" s="1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ht="12.75" customHeight="1">
      <c r="A246" s="1"/>
      <c r="B246" s="1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ht="12.75" customHeight="1">
      <c r="A247" s="1"/>
      <c r="B247" s="1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ht="12.75" customHeight="1">
      <c r="A248" s="1"/>
      <c r="B248" s="1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ht="12.75" customHeight="1">
      <c r="A249" s="1"/>
      <c r="B249" s="1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ht="12.75" customHeight="1">
      <c r="A250" s="1"/>
      <c r="B250" s="1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ht="12.75" customHeight="1">
      <c r="A251" s="1"/>
      <c r="B251" s="1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ht="12.75" customHeight="1">
      <c r="A252" s="1"/>
      <c r="B252" s="1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ht="12.75" customHeight="1">
      <c r="A253" s="1"/>
      <c r="B253" s="1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ht="12.75" customHeight="1">
      <c r="A254" s="1"/>
      <c r="B254" s="1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ht="12.75" customHeight="1">
      <c r="A255" s="1"/>
      <c r="B255" s="1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ht="12.75" customHeight="1">
      <c r="A256" s="1"/>
      <c r="B256" s="1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ht="12.75" customHeight="1">
      <c r="A257" s="1"/>
      <c r="B257" s="1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ht="12.75" customHeight="1">
      <c r="A258" s="1"/>
      <c r="B258" s="1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ht="12.75" customHeight="1">
      <c r="A259" s="1"/>
      <c r="B259" s="1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ht="12.75" customHeight="1">
      <c r="A260" s="1"/>
      <c r="B260" s="1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ht="12.75" customHeight="1">
      <c r="A261" s="1"/>
      <c r="B261" s="1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ht="12.75" customHeight="1">
      <c r="A262" s="1"/>
      <c r="B262" s="1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ht="12.75" customHeight="1">
      <c r="A263" s="1"/>
      <c r="B263" s="1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ht="12.75" customHeight="1">
      <c r="A264" s="1"/>
      <c r="B264" s="1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ht="12.75" customHeight="1">
      <c r="A265" s="1"/>
      <c r="B265" s="1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ht="12.75" customHeight="1">
      <c r="A266" s="1"/>
      <c r="B266" s="1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ht="12.75" customHeight="1">
      <c r="A267" s="1"/>
      <c r="B267" s="1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ht="12.75" customHeight="1">
      <c r="A268" s="1"/>
      <c r="B268" s="1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ht="12.75" customHeight="1">
      <c r="A269" s="1"/>
      <c r="B269" s="1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ht="12.75" customHeight="1">
      <c r="A270" s="1"/>
      <c r="B270" s="1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ht="12.75" customHeight="1">
      <c r="A271" s="1"/>
      <c r="B271" s="1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ht="12.75" customHeight="1">
      <c r="A272" s="1"/>
      <c r="B272" s="1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ht="12.75" customHeight="1">
      <c r="A273" s="1"/>
      <c r="B273" s="1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ht="12.75" customHeight="1">
      <c r="A274" s="1"/>
      <c r="B274" s="1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ht="12.75" customHeight="1">
      <c r="A275" s="1"/>
      <c r="B275" s="1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ht="12.75" customHeight="1">
      <c r="A276" s="1"/>
      <c r="B276" s="1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ht="12.75" customHeight="1">
      <c r="A277" s="1"/>
      <c r="B277" s="1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ht="12.75" customHeight="1">
      <c r="A278" s="1"/>
      <c r="B278" s="1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ht="12.75" customHeight="1">
      <c r="A279" s="1"/>
      <c r="B279" s="1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ht="12.75" customHeight="1">
      <c r="A280" s="1"/>
      <c r="B280" s="1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ht="12.75" customHeight="1">
      <c r="A281" s="1"/>
      <c r="B281" s="1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ht="12.75" customHeight="1">
      <c r="A282" s="1"/>
      <c r="B282" s="1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ht="12.75" customHeight="1">
      <c r="A283" s="1"/>
      <c r="B283" s="1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ht="12.75" customHeight="1">
      <c r="A284" s="1"/>
      <c r="B284" s="1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ht="12.75" customHeight="1">
      <c r="A285" s="1"/>
      <c r="B285" s="1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ht="12.75" customHeight="1">
      <c r="A286" s="1"/>
      <c r="B286" s="1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ht="12.75" customHeight="1">
      <c r="A287" s="1"/>
      <c r="B287" s="1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ht="12.75" customHeight="1">
      <c r="A288" s="1"/>
      <c r="B288" s="1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ht="12.75" customHeight="1">
      <c r="A289" s="1"/>
      <c r="B289" s="1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ht="12.75" customHeight="1">
      <c r="A290" s="1"/>
      <c r="B290" s="1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ht="12.75" customHeight="1">
      <c r="A291" s="1"/>
      <c r="B291" s="1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ht="12.75" customHeight="1">
      <c r="A292" s="1"/>
      <c r="B292" s="1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ht="12.75" customHeight="1">
      <c r="A293" s="1"/>
      <c r="B293" s="1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ht="12.75" customHeight="1">
      <c r="A294" s="1"/>
      <c r="B294" s="1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ht="12.75" customHeight="1">
      <c r="A295" s="1"/>
      <c r="B295" s="1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ht="12.75" customHeight="1">
      <c r="A296" s="1"/>
      <c r="B296" s="1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ht="12.75" customHeight="1">
      <c r="A297" s="1"/>
      <c r="B297" s="1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ht="12.75" customHeight="1">
      <c r="A298" s="1"/>
      <c r="B298" s="1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ht="12.75" customHeight="1">
      <c r="A299" s="1"/>
      <c r="B299" s="1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ht="12.75" customHeight="1">
      <c r="A300" s="1"/>
      <c r="B300" s="1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ht="12.75" customHeight="1">
      <c r="A301" s="1"/>
      <c r="B301" s="1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ht="12.75" customHeight="1">
      <c r="A302" s="1"/>
      <c r="B302" s="1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ht="12.75" customHeight="1">
      <c r="A303" s="1"/>
      <c r="B303" s="1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ht="12.75" customHeight="1">
      <c r="A304" s="1"/>
      <c r="B304" s="1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ht="12.75" customHeight="1">
      <c r="A305" s="1"/>
      <c r="B305" s="1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ht="12.75" customHeight="1">
      <c r="A306" s="1"/>
      <c r="B306" s="1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ht="12.75" customHeight="1">
      <c r="A307" s="1"/>
      <c r="B307" s="1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ht="12.75" customHeight="1">
      <c r="A308" s="1"/>
      <c r="B308" s="1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ht="12.75" customHeight="1">
      <c r="A309" s="1"/>
      <c r="B309" s="1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ht="12.75" customHeight="1">
      <c r="A310" s="1"/>
      <c r="B310" s="1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ht="12.75" customHeight="1">
      <c r="A311" s="1"/>
      <c r="B311" s="1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ht="12.75" customHeight="1">
      <c r="A312" s="1"/>
      <c r="B312" s="1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ht="12.75" customHeight="1">
      <c r="A313" s="1"/>
      <c r="B313" s="1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ht="12.75" customHeight="1">
      <c r="A314" s="1"/>
      <c r="B314" s="1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ht="12.75" customHeight="1">
      <c r="A315" s="1"/>
      <c r="B315" s="1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ht="12.75" customHeight="1">
      <c r="A316" s="1"/>
      <c r="B316" s="1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ht="12.75" customHeight="1">
      <c r="A317" s="1"/>
      <c r="B317" s="1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ht="12.75" customHeight="1">
      <c r="A318" s="1"/>
      <c r="B318" s="1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ht="12.75" customHeight="1">
      <c r="A319" s="1"/>
      <c r="B319" s="1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ht="12.75" customHeight="1">
      <c r="A320" s="1"/>
      <c r="B320" s="1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ht="12.75" customHeight="1">
      <c r="A321" s="1"/>
      <c r="B321" s="1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ht="12.75" customHeight="1">
      <c r="A322" s="1"/>
      <c r="B322" s="1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ht="12.75" customHeight="1">
      <c r="A323" s="1"/>
      <c r="B323" s="1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ht="12.75" customHeight="1">
      <c r="A324" s="1"/>
      <c r="B324" s="1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ht="12.75" customHeight="1">
      <c r="A325" s="1"/>
      <c r="B325" s="1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ht="12.75" customHeight="1">
      <c r="A326" s="1"/>
      <c r="B326" s="1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ht="12.75" customHeight="1">
      <c r="A327" s="1"/>
      <c r="B327" s="1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ht="12.75" customHeight="1">
      <c r="A328" s="1"/>
      <c r="B328" s="1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ht="12.75" customHeight="1">
      <c r="A329" s="1"/>
      <c r="B329" s="1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ht="12.75" customHeight="1">
      <c r="A330" s="1"/>
      <c r="B330" s="1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ht="12.75" customHeight="1">
      <c r="A331" s="1"/>
      <c r="B331" s="1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ht="12.75" customHeight="1">
      <c r="A332" s="1"/>
      <c r="B332" s="1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ht="12.75" customHeight="1">
      <c r="A333" s="1"/>
      <c r="B333" s="1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ht="12.75" customHeight="1">
      <c r="A334" s="1"/>
      <c r="B334" s="1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ht="12.75" customHeight="1">
      <c r="A335" s="1"/>
      <c r="B335" s="1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ht="12.75" customHeight="1">
      <c r="A336" s="1"/>
      <c r="B336" s="1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ht="12.75" customHeight="1">
      <c r="A337" s="1"/>
      <c r="B337" s="1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ht="12.75" customHeight="1">
      <c r="A338" s="1"/>
      <c r="B338" s="1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ht="12.75" customHeight="1">
      <c r="A339" s="1"/>
      <c r="B339" s="1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ht="12.75" customHeight="1">
      <c r="A340" s="1"/>
      <c r="B340" s="1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ht="12.75" customHeight="1">
      <c r="A341" s="1"/>
      <c r="B341" s="1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ht="12.75" customHeight="1">
      <c r="A342" s="1"/>
      <c r="B342" s="1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ht="12.75" customHeight="1">
      <c r="A343" s="1"/>
      <c r="B343" s="1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ht="12.75" customHeight="1">
      <c r="A344" s="1"/>
      <c r="B344" s="1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ht="12.75" customHeight="1">
      <c r="A345" s="1"/>
      <c r="B345" s="1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ht="12.75" customHeight="1">
      <c r="A346" s="1"/>
      <c r="B346" s="1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ht="12.75" customHeight="1">
      <c r="A347" s="1"/>
      <c r="B347" s="1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ht="12.75" customHeight="1">
      <c r="A348" s="1"/>
      <c r="B348" s="1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ht="12.75" customHeight="1">
      <c r="A349" s="1"/>
      <c r="B349" s="1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ht="12.75" customHeight="1">
      <c r="A350" s="1"/>
      <c r="B350" s="1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ht="12.75" customHeight="1">
      <c r="A351" s="1"/>
      <c r="B351" s="1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ht="12.75" customHeight="1">
      <c r="A352" s="1"/>
      <c r="B352" s="1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ht="12.75" customHeight="1">
      <c r="A353" s="1"/>
      <c r="B353" s="1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ht="12.75" customHeight="1">
      <c r="A354" s="1"/>
      <c r="B354" s="1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ht="12.75" customHeight="1">
      <c r="A355" s="1"/>
      <c r="B355" s="1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ht="12.75" customHeight="1">
      <c r="A356" s="1"/>
      <c r="B356" s="1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ht="12.75" customHeight="1">
      <c r="A357" s="1"/>
      <c r="B357" s="1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ht="12.75" customHeight="1">
      <c r="A358" s="1"/>
      <c r="B358" s="1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ht="12.75" customHeight="1">
      <c r="A359" s="1"/>
      <c r="B359" s="1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ht="12.75" customHeight="1">
      <c r="A360" s="1"/>
      <c r="B360" s="1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ht="12.75" customHeight="1">
      <c r="A361" s="1"/>
      <c r="B361" s="1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ht="12.75" customHeight="1">
      <c r="A362" s="1"/>
      <c r="B362" s="1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ht="12.75" customHeight="1">
      <c r="A363" s="1"/>
      <c r="B363" s="1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ht="12.75" customHeight="1">
      <c r="A364" s="1"/>
      <c r="B364" s="1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ht="12.75" customHeight="1">
      <c r="A365" s="1"/>
      <c r="B365" s="1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ht="12.75" customHeight="1">
      <c r="A366" s="1"/>
      <c r="B366" s="1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ht="12.75" customHeight="1">
      <c r="A367" s="1"/>
      <c r="B367" s="1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ht="12.75" customHeight="1">
      <c r="A368" s="1"/>
      <c r="B368" s="1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ht="12.75" customHeight="1">
      <c r="A369" s="1"/>
      <c r="B369" s="1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ht="12.75" customHeight="1">
      <c r="A370" s="1"/>
      <c r="B370" s="1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ht="12.75" customHeight="1">
      <c r="A371" s="1"/>
      <c r="B371" s="1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ht="12.75" customHeight="1">
      <c r="A372" s="1"/>
      <c r="B372" s="1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ht="12.75" customHeight="1">
      <c r="A373" s="1"/>
      <c r="B373" s="1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ht="12.75" customHeight="1">
      <c r="A374" s="1"/>
      <c r="B374" s="1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ht="12.75" customHeight="1">
      <c r="A375" s="1"/>
      <c r="B375" s="1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ht="12.75" customHeight="1">
      <c r="A376" s="1"/>
      <c r="B376" s="1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ht="12.75" customHeight="1">
      <c r="A377" s="1"/>
      <c r="B377" s="1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ht="12.75" customHeight="1">
      <c r="A378" s="1"/>
      <c r="B378" s="1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ht="12.75" customHeight="1">
      <c r="A379" s="1"/>
      <c r="B379" s="1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ht="12.75" customHeight="1">
      <c r="A380" s="1"/>
      <c r="B380" s="1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ht="12.75" customHeight="1">
      <c r="A381" s="1"/>
      <c r="B381" s="1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</row>
    <row r="382" ht="12.75" customHeight="1">
      <c r="A382" s="1"/>
      <c r="B382" s="1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</row>
    <row r="383" ht="12.75" customHeight="1">
      <c r="A383" s="1"/>
      <c r="B383" s="1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</row>
    <row r="384" ht="12.75" customHeight="1">
      <c r="A384" s="1"/>
      <c r="B384" s="1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</row>
    <row r="385" ht="12.75" customHeight="1">
      <c r="A385" s="1"/>
      <c r="B385" s="1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</row>
    <row r="386" ht="12.75" customHeight="1">
      <c r="A386" s="1"/>
      <c r="B386" s="1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</row>
    <row r="387" ht="12.75" customHeight="1">
      <c r="A387" s="1"/>
      <c r="B387" s="1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ht="12.75" customHeight="1">
      <c r="A388" s="1"/>
      <c r="B388" s="1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ht="12.75" customHeight="1">
      <c r="A389" s="1"/>
      <c r="B389" s="1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</row>
    <row r="390" ht="12.75" customHeight="1">
      <c r="A390" s="1"/>
      <c r="B390" s="1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</row>
    <row r="391" ht="12.75" customHeight="1">
      <c r="A391" s="1"/>
      <c r="B391" s="1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</row>
    <row r="392" ht="12.75" customHeight="1">
      <c r="A392" s="1"/>
      <c r="B392" s="1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</row>
    <row r="393" ht="12.75" customHeight="1">
      <c r="A393" s="1"/>
      <c r="B393" s="1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</row>
    <row r="394" ht="12.75" customHeight="1">
      <c r="A394" s="1"/>
      <c r="B394" s="1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</row>
    <row r="395" ht="12.75" customHeight="1">
      <c r="A395" s="1"/>
      <c r="B395" s="1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ht="12.75" customHeight="1">
      <c r="A396" s="1"/>
      <c r="B396" s="1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ht="12.75" customHeight="1">
      <c r="A397" s="1"/>
      <c r="B397" s="1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</row>
    <row r="398" ht="12.75" customHeight="1">
      <c r="A398" s="1"/>
      <c r="B398" s="1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</row>
    <row r="399" ht="12.75" customHeight="1">
      <c r="A399" s="1"/>
      <c r="B399" s="1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</row>
    <row r="400" ht="12.75" customHeight="1">
      <c r="A400" s="1"/>
      <c r="B400" s="1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</row>
    <row r="401" ht="12.75" customHeight="1">
      <c r="A401" s="1"/>
      <c r="B401" s="1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</row>
    <row r="402" ht="12.75" customHeight="1">
      <c r="A402" s="1"/>
      <c r="B402" s="1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</row>
    <row r="403" ht="12.75" customHeight="1">
      <c r="A403" s="1"/>
      <c r="B403" s="1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ht="12.75" customHeight="1">
      <c r="A404" s="1"/>
      <c r="B404" s="1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ht="12.75" customHeight="1">
      <c r="A405" s="1"/>
      <c r="B405" s="1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</row>
    <row r="406" ht="12.75" customHeight="1">
      <c r="A406" s="1"/>
      <c r="B406" s="1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</row>
    <row r="407" ht="12.75" customHeight="1">
      <c r="A407" s="1"/>
      <c r="B407" s="1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</row>
    <row r="408" ht="12.75" customHeight="1">
      <c r="A408" s="1"/>
      <c r="B408" s="1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</row>
    <row r="409" ht="12.75" customHeight="1">
      <c r="A409" s="1"/>
      <c r="B409" s="1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</row>
    <row r="410" ht="12.75" customHeight="1">
      <c r="A410" s="1"/>
      <c r="B410" s="1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</row>
    <row r="411" ht="12.75" customHeight="1">
      <c r="A411" s="1"/>
      <c r="B411" s="1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ht="12.75" customHeight="1">
      <c r="A412" s="1"/>
      <c r="B412" s="1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ht="12.75" customHeight="1">
      <c r="A413" s="1"/>
      <c r="B413" s="1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</row>
    <row r="414" ht="12.75" customHeight="1">
      <c r="A414" s="1"/>
      <c r="B414" s="1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</row>
    <row r="415" ht="12.75" customHeight="1">
      <c r="A415" s="1"/>
      <c r="B415" s="1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</row>
    <row r="416" ht="12.75" customHeight="1">
      <c r="A416" s="1"/>
      <c r="B416" s="1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</row>
    <row r="417" ht="12.75" customHeight="1">
      <c r="A417" s="1"/>
      <c r="B417" s="1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</row>
    <row r="418" ht="12.75" customHeight="1">
      <c r="A418" s="1"/>
      <c r="B418" s="1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</row>
    <row r="419" ht="12.75" customHeight="1">
      <c r="A419" s="1"/>
      <c r="B419" s="1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ht="12.75" customHeight="1">
      <c r="A420" s="1"/>
      <c r="B420" s="1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ht="12.75" customHeight="1">
      <c r="A421" s="1"/>
      <c r="B421" s="1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</row>
    <row r="422" ht="12.75" customHeight="1">
      <c r="A422" s="1"/>
      <c r="B422" s="1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</row>
    <row r="423" ht="12.75" customHeight="1">
      <c r="A423" s="1"/>
      <c r="B423" s="1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</row>
    <row r="424" ht="12.75" customHeight="1">
      <c r="A424" s="1"/>
      <c r="B424" s="1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</row>
    <row r="425" ht="12.75" customHeight="1">
      <c r="A425" s="1"/>
      <c r="B425" s="1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</row>
    <row r="426" ht="12.75" customHeight="1">
      <c r="A426" s="1"/>
      <c r="B426" s="1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</row>
    <row r="427" ht="12.75" customHeight="1">
      <c r="A427" s="1"/>
      <c r="B427" s="1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ht="12.75" customHeight="1">
      <c r="A428" s="1"/>
      <c r="B428" s="1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ht="12.75" customHeight="1">
      <c r="A429" s="1"/>
      <c r="B429" s="1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</row>
    <row r="430" ht="12.75" customHeight="1">
      <c r="A430" s="1"/>
      <c r="B430" s="1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</row>
    <row r="431" ht="12.75" customHeight="1">
      <c r="A431" s="1"/>
      <c r="B431" s="1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</row>
    <row r="432" ht="12.75" customHeight="1">
      <c r="A432" s="1"/>
      <c r="B432" s="1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</row>
    <row r="433" ht="12.75" customHeight="1">
      <c r="A433" s="1"/>
      <c r="B433" s="1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</row>
    <row r="434" ht="12.75" customHeight="1">
      <c r="A434" s="1"/>
      <c r="B434" s="1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</row>
    <row r="435" ht="12.75" customHeight="1">
      <c r="A435" s="1"/>
      <c r="B435" s="1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ht="12.75" customHeight="1">
      <c r="A436" s="1"/>
      <c r="B436" s="1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ht="12.75" customHeight="1">
      <c r="A437" s="1"/>
      <c r="B437" s="1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</row>
    <row r="438" ht="12.75" customHeight="1">
      <c r="A438" s="1"/>
      <c r="B438" s="1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</row>
    <row r="439" ht="12.75" customHeight="1">
      <c r="A439" s="1"/>
      <c r="B439" s="1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</row>
    <row r="440" ht="12.75" customHeight="1">
      <c r="A440" s="1"/>
      <c r="B440" s="1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</row>
    <row r="441" ht="12.75" customHeight="1">
      <c r="A441" s="1"/>
      <c r="B441" s="1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</row>
    <row r="442" ht="12.75" customHeight="1">
      <c r="A442" s="1"/>
      <c r="B442" s="1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</row>
    <row r="443" ht="12.75" customHeight="1">
      <c r="A443" s="1"/>
      <c r="B443" s="1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ht="12.75" customHeight="1">
      <c r="A444" s="1"/>
      <c r="B444" s="1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ht="12.75" customHeight="1">
      <c r="A445" s="1"/>
      <c r="B445" s="1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</row>
    <row r="446" ht="12.75" customHeight="1">
      <c r="A446" s="1"/>
      <c r="B446" s="1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</row>
    <row r="447" ht="12.75" customHeight="1">
      <c r="A447" s="1"/>
      <c r="B447" s="1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</row>
    <row r="448" ht="12.75" customHeight="1">
      <c r="A448" s="1"/>
      <c r="B448" s="1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</row>
    <row r="449" ht="12.75" customHeight="1">
      <c r="A449" s="1"/>
      <c r="B449" s="1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</row>
    <row r="450" ht="12.75" customHeight="1">
      <c r="A450" s="1"/>
      <c r="B450" s="1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</row>
    <row r="451" ht="12.75" customHeight="1">
      <c r="A451" s="1"/>
      <c r="B451" s="1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ht="12.75" customHeight="1">
      <c r="A452" s="1"/>
      <c r="B452" s="1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ht="12.75" customHeight="1">
      <c r="A453" s="1"/>
      <c r="B453" s="1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</row>
    <row r="454" ht="12.75" customHeight="1">
      <c r="A454" s="1"/>
      <c r="B454" s="1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</row>
    <row r="455" ht="12.75" customHeight="1">
      <c r="A455" s="1"/>
      <c r="B455" s="1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</row>
    <row r="456" ht="12.75" customHeight="1">
      <c r="A456" s="1"/>
      <c r="B456" s="1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</row>
    <row r="457" ht="12.75" customHeight="1">
      <c r="A457" s="1"/>
      <c r="B457" s="1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</row>
    <row r="458" ht="12.75" customHeight="1">
      <c r="A458" s="1"/>
      <c r="B458" s="1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</row>
    <row r="459" ht="12.75" customHeight="1">
      <c r="A459" s="1"/>
      <c r="B459" s="1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ht="12.75" customHeight="1">
      <c r="A460" s="1"/>
      <c r="B460" s="1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  <row r="461" ht="12.75" customHeight="1">
      <c r="A461" s="1"/>
      <c r="B461" s="1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</row>
    <row r="462" ht="12.75" customHeight="1">
      <c r="A462" s="1"/>
      <c r="B462" s="1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</row>
    <row r="463" ht="12.75" customHeight="1">
      <c r="A463" s="1"/>
      <c r="B463" s="1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</row>
    <row r="464" ht="12.75" customHeight="1">
      <c r="A464" s="1"/>
      <c r="B464" s="1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</row>
    <row r="465" ht="12.75" customHeight="1">
      <c r="A465" s="1"/>
      <c r="B465" s="1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ht="12.75" customHeight="1">
      <c r="A466" s="1"/>
      <c r="B466" s="1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</row>
    <row r="467" ht="12.75" customHeight="1">
      <c r="A467" s="1"/>
      <c r="B467" s="1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ht="12.75" customHeight="1">
      <c r="A468" s="1"/>
      <c r="B468" s="1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</row>
    <row r="469" ht="12.75" customHeight="1">
      <c r="A469" s="1"/>
      <c r="B469" s="1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</row>
    <row r="470" ht="12.75" customHeight="1">
      <c r="A470" s="1"/>
      <c r="B470" s="1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</row>
    <row r="471" ht="12.75" customHeight="1">
      <c r="A471" s="1"/>
      <c r="B471" s="1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</row>
    <row r="472" ht="12.75" customHeight="1">
      <c r="A472" s="1"/>
      <c r="B472" s="1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</row>
    <row r="473" ht="12.75" customHeight="1">
      <c r="A473" s="1"/>
      <c r="B473" s="1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</row>
    <row r="474" ht="12.75" customHeight="1">
      <c r="A474" s="1"/>
      <c r="B474" s="1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</row>
    <row r="475" ht="12.75" customHeight="1">
      <c r="A475" s="1"/>
      <c r="B475" s="1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</row>
    <row r="476" ht="12.75" customHeight="1">
      <c r="A476" s="1"/>
      <c r="B476" s="1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</row>
    <row r="477" ht="12.75" customHeight="1">
      <c r="A477" s="1"/>
      <c r="B477" s="1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</row>
    <row r="478" ht="12.75" customHeight="1">
      <c r="A478" s="1"/>
      <c r="B478" s="1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</row>
    <row r="479" ht="12.75" customHeight="1">
      <c r="A479" s="1"/>
      <c r="B479" s="1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</row>
    <row r="480" ht="12.75" customHeight="1">
      <c r="A480" s="1"/>
      <c r="B480" s="1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</row>
    <row r="481" ht="12.75" customHeight="1">
      <c r="A481" s="1"/>
      <c r="B481" s="1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</row>
    <row r="482" ht="12.75" customHeight="1">
      <c r="A482" s="1"/>
      <c r="B482" s="1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</row>
    <row r="483" ht="12.75" customHeight="1">
      <c r="A483" s="1"/>
      <c r="B483" s="1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</row>
    <row r="484" ht="12.75" customHeight="1">
      <c r="A484" s="1"/>
      <c r="B484" s="1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</row>
    <row r="485" ht="12.75" customHeight="1">
      <c r="A485" s="1"/>
      <c r="B485" s="1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</row>
    <row r="486" ht="12.75" customHeight="1">
      <c r="A486" s="1"/>
      <c r="B486" s="1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</row>
    <row r="487" ht="12.75" customHeight="1">
      <c r="A487" s="1"/>
      <c r="B487" s="1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</row>
    <row r="488" ht="12.75" customHeight="1">
      <c r="A488" s="1"/>
      <c r="B488" s="1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</row>
    <row r="489" ht="12.75" customHeight="1">
      <c r="A489" s="1"/>
      <c r="B489" s="1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</row>
    <row r="490" ht="12.75" customHeight="1">
      <c r="A490" s="1"/>
      <c r="B490" s="1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</row>
    <row r="491" ht="12.75" customHeight="1">
      <c r="A491" s="1"/>
      <c r="B491" s="1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2" ht="12.75" customHeight="1">
      <c r="A492" s="1"/>
      <c r="B492" s="1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</row>
    <row r="493" ht="12.75" customHeight="1">
      <c r="A493" s="1"/>
      <c r="B493" s="1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ht="12.75" customHeight="1">
      <c r="A494" s="1"/>
      <c r="B494" s="1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ht="12.75" customHeight="1">
      <c r="A495" s="1"/>
      <c r="B495" s="1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ht="12.75" customHeight="1">
      <c r="A496" s="1"/>
      <c r="B496" s="1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ht="12.75" customHeight="1">
      <c r="A497" s="1"/>
      <c r="B497" s="1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</row>
    <row r="498" ht="12.75" customHeight="1">
      <c r="A498" s="1"/>
      <c r="B498" s="1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</row>
    <row r="499" ht="12.75" customHeight="1">
      <c r="A499" s="1"/>
      <c r="B499" s="1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</row>
    <row r="500" ht="12.75" customHeight="1">
      <c r="A500" s="1"/>
      <c r="B500" s="1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</row>
    <row r="501" ht="12.75" customHeight="1">
      <c r="A501" s="1"/>
      <c r="B501" s="1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</row>
    <row r="502" ht="12.75" customHeight="1">
      <c r="A502" s="1"/>
      <c r="B502" s="1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</row>
    <row r="503" ht="12.75" customHeight="1">
      <c r="A503" s="1"/>
      <c r="B503" s="1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ht="12.75" customHeight="1">
      <c r="A504" s="1"/>
      <c r="B504" s="1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</row>
    <row r="505" ht="12.75" customHeight="1">
      <c r="A505" s="1"/>
      <c r="B505" s="1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</row>
    <row r="506" ht="12.75" customHeight="1">
      <c r="A506" s="1"/>
      <c r="B506" s="1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</row>
    <row r="507" ht="12.75" customHeight="1">
      <c r="A507" s="1"/>
      <c r="B507" s="1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</row>
    <row r="508" ht="12.75" customHeight="1">
      <c r="A508" s="1"/>
      <c r="B508" s="1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ht="12.75" customHeight="1">
      <c r="A509" s="1"/>
      <c r="B509" s="1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</row>
    <row r="510" ht="12.75" customHeight="1">
      <c r="A510" s="1"/>
      <c r="B510" s="1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</row>
    <row r="511" ht="12.75" customHeight="1">
      <c r="A511" s="1"/>
      <c r="B511" s="1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</row>
    <row r="512" ht="12.75" customHeight="1">
      <c r="A512" s="1"/>
      <c r="B512" s="1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</row>
    <row r="513" ht="12.75" customHeight="1">
      <c r="A513" s="1"/>
      <c r="B513" s="1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</row>
    <row r="514" ht="12.75" customHeight="1">
      <c r="A514" s="1"/>
      <c r="B514" s="1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</row>
    <row r="515" ht="12.75" customHeight="1">
      <c r="A515" s="1"/>
      <c r="B515" s="1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</row>
    <row r="516" ht="12.75" customHeight="1">
      <c r="A516" s="1"/>
      <c r="B516" s="1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</row>
    <row r="517" ht="12.75" customHeight="1">
      <c r="A517" s="1"/>
      <c r="B517" s="1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</row>
    <row r="518" ht="12.75" customHeight="1">
      <c r="A518" s="1"/>
      <c r="B518" s="1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</row>
    <row r="519" ht="12.75" customHeight="1">
      <c r="A519" s="1"/>
      <c r="B519" s="1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</row>
    <row r="520" ht="12.75" customHeight="1">
      <c r="A520" s="1"/>
      <c r="B520" s="1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ht="12.75" customHeight="1">
      <c r="A521" s="1"/>
      <c r="B521" s="1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ht="12.75" customHeight="1">
      <c r="A522" s="1"/>
      <c r="B522" s="1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ht="12.75" customHeight="1">
      <c r="A523" s="1"/>
      <c r="B523" s="1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ht="12.75" customHeight="1">
      <c r="A524" s="1"/>
      <c r="B524" s="1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ht="12.75" customHeight="1">
      <c r="A525" s="1"/>
      <c r="B525" s="1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  <row r="526" ht="12.75" customHeight="1">
      <c r="A526" s="1"/>
      <c r="B526" s="1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</row>
    <row r="527" ht="12.75" customHeight="1">
      <c r="A527" s="1"/>
      <c r="B527" s="1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</row>
    <row r="528" ht="12.75" customHeight="1">
      <c r="A528" s="1"/>
      <c r="B528" s="1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</row>
    <row r="529" ht="12.75" customHeight="1">
      <c r="A529" s="1"/>
      <c r="B529" s="1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</row>
    <row r="530" ht="12.75" customHeight="1">
      <c r="A530" s="1"/>
      <c r="B530" s="1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</row>
    <row r="531" ht="12.75" customHeight="1">
      <c r="A531" s="1"/>
      <c r="B531" s="1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</row>
    <row r="532" ht="12.75" customHeight="1">
      <c r="A532" s="1"/>
      <c r="B532" s="1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</row>
    <row r="533" ht="12.75" customHeight="1">
      <c r="A533" s="1"/>
      <c r="B533" s="1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</row>
    <row r="534" ht="12.75" customHeight="1">
      <c r="A534" s="1"/>
      <c r="B534" s="1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</row>
    <row r="535" ht="12.75" customHeight="1">
      <c r="A535" s="1"/>
      <c r="B535" s="1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</row>
    <row r="536" ht="12.75" customHeight="1">
      <c r="A536" s="1"/>
      <c r="B536" s="1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</row>
    <row r="537" ht="12.75" customHeight="1">
      <c r="A537" s="1"/>
      <c r="B537" s="1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</row>
    <row r="538" ht="12.75" customHeight="1">
      <c r="A538" s="1"/>
      <c r="B538" s="1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</row>
    <row r="539" ht="12.75" customHeight="1">
      <c r="A539" s="1"/>
      <c r="B539" s="1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</row>
    <row r="540" ht="12.75" customHeight="1">
      <c r="A540" s="1"/>
      <c r="B540" s="1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</row>
    <row r="541" ht="12.75" customHeight="1">
      <c r="A541" s="1"/>
      <c r="B541" s="1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</row>
    <row r="542" ht="12.75" customHeight="1">
      <c r="A542" s="1"/>
      <c r="B542" s="1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</row>
    <row r="543" ht="12.75" customHeight="1">
      <c r="A543" s="1"/>
      <c r="B543" s="1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</row>
    <row r="544" ht="12.75" customHeight="1">
      <c r="A544" s="1"/>
      <c r="B544" s="1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</row>
    <row r="545" ht="12.75" customHeight="1">
      <c r="A545" s="1"/>
      <c r="B545" s="1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</row>
    <row r="546" ht="12.75" customHeight="1">
      <c r="A546" s="1"/>
      <c r="B546" s="1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</row>
    <row r="547" ht="12.75" customHeight="1">
      <c r="A547" s="1"/>
      <c r="B547" s="1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</row>
    <row r="548" ht="12.75" customHeight="1">
      <c r="A548" s="1"/>
      <c r="B548" s="1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</row>
    <row r="549" ht="12.75" customHeight="1">
      <c r="A549" s="1"/>
      <c r="B549" s="1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</row>
    <row r="550" ht="12.75" customHeight="1">
      <c r="A550" s="1"/>
      <c r="B550" s="1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</row>
    <row r="551" ht="12.75" customHeight="1">
      <c r="A551" s="1"/>
      <c r="B551" s="1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</row>
    <row r="552" ht="12.75" customHeight="1">
      <c r="A552" s="1"/>
      <c r="B552" s="1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</row>
    <row r="553" ht="12.75" customHeight="1">
      <c r="A553" s="1"/>
      <c r="B553" s="1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</row>
    <row r="554" ht="12.75" customHeight="1">
      <c r="A554" s="1"/>
      <c r="B554" s="1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</row>
    <row r="555" ht="12.75" customHeight="1">
      <c r="A555" s="1"/>
      <c r="B555" s="1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</row>
    <row r="556" ht="12.75" customHeight="1">
      <c r="A556" s="1"/>
      <c r="B556" s="1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</row>
    <row r="557" ht="12.75" customHeight="1">
      <c r="A557" s="1"/>
      <c r="B557" s="1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</row>
    <row r="558" ht="12.75" customHeight="1">
      <c r="A558" s="1"/>
      <c r="B558" s="1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</row>
    <row r="559" ht="12.75" customHeight="1">
      <c r="A559" s="1"/>
      <c r="B559" s="1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</row>
    <row r="560" ht="12.75" customHeight="1">
      <c r="A560" s="1"/>
      <c r="B560" s="1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</row>
    <row r="561" ht="12.75" customHeight="1">
      <c r="A561" s="1"/>
      <c r="B561" s="1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</row>
    <row r="562" ht="12.75" customHeight="1">
      <c r="A562" s="1"/>
      <c r="B562" s="1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</row>
    <row r="563" ht="12.75" customHeight="1">
      <c r="A563" s="1"/>
      <c r="B563" s="1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</row>
    <row r="564" ht="12.75" customHeight="1">
      <c r="A564" s="1"/>
      <c r="B564" s="1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</row>
    <row r="565" ht="12.75" customHeight="1">
      <c r="A565" s="1"/>
      <c r="B565" s="1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</row>
    <row r="566" ht="12.75" customHeight="1">
      <c r="A566" s="1"/>
      <c r="B566" s="1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</row>
    <row r="567" ht="12.75" customHeight="1">
      <c r="A567" s="1"/>
      <c r="B567" s="1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</row>
    <row r="568" ht="12.75" customHeight="1">
      <c r="A568" s="1"/>
      <c r="B568" s="1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</row>
    <row r="569" ht="12.75" customHeight="1">
      <c r="A569" s="1"/>
      <c r="B569" s="1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</row>
    <row r="570" ht="12.75" customHeight="1">
      <c r="A570" s="1"/>
      <c r="B570" s="1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</row>
    <row r="571" ht="12.75" customHeight="1">
      <c r="A571" s="1"/>
      <c r="B571" s="1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</row>
    <row r="572" ht="12.75" customHeight="1">
      <c r="A572" s="1"/>
      <c r="B572" s="1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</row>
    <row r="573" ht="12.75" customHeight="1">
      <c r="A573" s="1"/>
      <c r="B573" s="1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</row>
    <row r="574" ht="12.75" customHeight="1">
      <c r="A574" s="1"/>
      <c r="B574" s="1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</row>
    <row r="575" ht="12.75" customHeight="1">
      <c r="A575" s="1"/>
      <c r="B575" s="1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</row>
    <row r="576" ht="12.75" customHeight="1">
      <c r="A576" s="1"/>
      <c r="B576" s="1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</row>
    <row r="577" ht="12.75" customHeight="1">
      <c r="A577" s="1"/>
      <c r="B577" s="1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</row>
    <row r="578" ht="12.75" customHeight="1">
      <c r="A578" s="1"/>
      <c r="B578" s="1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</row>
    <row r="579" ht="12.75" customHeight="1">
      <c r="A579" s="1"/>
      <c r="B579" s="1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</row>
    <row r="580" ht="12.75" customHeight="1">
      <c r="A580" s="1"/>
      <c r="B580" s="1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</row>
    <row r="581" ht="12.75" customHeight="1">
      <c r="A581" s="1"/>
      <c r="B581" s="1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</row>
    <row r="582" ht="12.75" customHeight="1">
      <c r="A582" s="1"/>
      <c r="B582" s="1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</row>
    <row r="583" ht="12.75" customHeight="1">
      <c r="A583" s="1"/>
      <c r="B583" s="1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</row>
    <row r="584" ht="12.75" customHeight="1">
      <c r="A584" s="1"/>
      <c r="B584" s="1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</row>
    <row r="585" ht="12.75" customHeight="1">
      <c r="A585" s="1"/>
      <c r="B585" s="1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</row>
    <row r="586" ht="12.75" customHeight="1">
      <c r="A586" s="1"/>
      <c r="B586" s="1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</row>
    <row r="587" ht="12.75" customHeight="1">
      <c r="A587" s="1"/>
      <c r="B587" s="1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</row>
    <row r="588" ht="12.75" customHeight="1">
      <c r="A588" s="1"/>
      <c r="B588" s="1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</row>
    <row r="589" ht="12.75" customHeight="1">
      <c r="A589" s="1"/>
      <c r="B589" s="1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</row>
    <row r="590" ht="12.75" customHeight="1">
      <c r="A590" s="1"/>
      <c r="B590" s="1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</row>
    <row r="591" ht="12.75" customHeight="1">
      <c r="A591" s="1"/>
      <c r="B591" s="1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</row>
    <row r="592" ht="12.75" customHeight="1">
      <c r="A592" s="1"/>
      <c r="B592" s="1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</row>
    <row r="593" ht="12.75" customHeight="1">
      <c r="A593" s="1"/>
      <c r="B593" s="1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</row>
    <row r="594" ht="12.75" customHeight="1">
      <c r="A594" s="1"/>
      <c r="B594" s="1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</row>
    <row r="595" ht="12.75" customHeight="1">
      <c r="A595" s="1"/>
      <c r="B595" s="1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</row>
    <row r="596" ht="12.75" customHeight="1">
      <c r="A596" s="1"/>
      <c r="B596" s="1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</row>
    <row r="597" ht="12.75" customHeight="1">
      <c r="A597" s="1"/>
      <c r="B597" s="1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</row>
    <row r="598" ht="12.75" customHeight="1">
      <c r="A598" s="1"/>
      <c r="B598" s="1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</row>
    <row r="599" ht="12.75" customHeight="1">
      <c r="A599" s="1"/>
      <c r="B599" s="1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</row>
    <row r="600" ht="12.75" customHeight="1">
      <c r="A600" s="1"/>
      <c r="B600" s="1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</row>
    <row r="601" ht="12.75" customHeight="1">
      <c r="A601" s="1"/>
      <c r="B601" s="1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</row>
    <row r="602" ht="12.75" customHeight="1">
      <c r="A602" s="1"/>
      <c r="B602" s="1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</row>
    <row r="603" ht="12.75" customHeight="1">
      <c r="A603" s="1"/>
      <c r="B603" s="1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</row>
    <row r="604" ht="12.75" customHeight="1">
      <c r="A604" s="1"/>
      <c r="B604" s="1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</row>
    <row r="605" ht="12.75" customHeight="1">
      <c r="A605" s="1"/>
      <c r="B605" s="1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</row>
    <row r="606" ht="12.75" customHeight="1">
      <c r="A606" s="1"/>
      <c r="B606" s="1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</row>
    <row r="607" ht="12.75" customHeight="1">
      <c r="A607" s="1"/>
      <c r="B607" s="1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</row>
    <row r="608" ht="12.75" customHeight="1">
      <c r="A608" s="1"/>
      <c r="B608" s="1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</row>
    <row r="609" ht="12.75" customHeight="1">
      <c r="A609" s="1"/>
      <c r="B609" s="1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</row>
    <row r="610" ht="12.75" customHeight="1">
      <c r="A610" s="1"/>
      <c r="B610" s="1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</row>
    <row r="611" ht="12.75" customHeight="1">
      <c r="A611" s="1"/>
      <c r="B611" s="1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</row>
    <row r="612" ht="12.75" customHeight="1">
      <c r="A612" s="1"/>
      <c r="B612" s="1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</row>
    <row r="613" ht="12.75" customHeight="1">
      <c r="A613" s="1"/>
      <c r="B613" s="1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</row>
    <row r="614" ht="12.75" customHeight="1">
      <c r="A614" s="1"/>
      <c r="B614" s="1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</row>
    <row r="615" ht="12.75" customHeight="1">
      <c r="A615" s="1"/>
      <c r="B615" s="1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</row>
    <row r="616" ht="12.75" customHeight="1">
      <c r="A616" s="1"/>
      <c r="B616" s="1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</row>
    <row r="617" ht="12.75" customHeight="1">
      <c r="A617" s="1"/>
      <c r="B617" s="1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</row>
    <row r="618" ht="12.75" customHeight="1">
      <c r="A618" s="1"/>
      <c r="B618" s="1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</row>
    <row r="619" ht="12.75" customHeight="1">
      <c r="A619" s="1"/>
      <c r="B619" s="1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</row>
    <row r="620" ht="12.75" customHeight="1">
      <c r="A620" s="1"/>
      <c r="B620" s="1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</row>
    <row r="621" ht="12.75" customHeight="1">
      <c r="A621" s="1"/>
      <c r="B621" s="1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</row>
    <row r="622" ht="12.75" customHeight="1">
      <c r="A622" s="1"/>
      <c r="B622" s="1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</row>
    <row r="623" ht="12.75" customHeight="1">
      <c r="A623" s="1"/>
      <c r="B623" s="1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</row>
    <row r="624" ht="12.75" customHeight="1">
      <c r="A624" s="1"/>
      <c r="B624" s="1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</row>
    <row r="625" ht="12.75" customHeight="1">
      <c r="A625" s="1"/>
      <c r="B625" s="1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</row>
    <row r="626" ht="12.75" customHeight="1">
      <c r="A626" s="1"/>
      <c r="B626" s="1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</row>
    <row r="627" ht="12.75" customHeight="1">
      <c r="A627" s="1"/>
      <c r="B627" s="1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</row>
    <row r="628" ht="12.75" customHeight="1">
      <c r="A628" s="1"/>
      <c r="B628" s="1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</row>
    <row r="629" ht="12.75" customHeight="1">
      <c r="A629" s="1"/>
      <c r="B629" s="1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</row>
    <row r="630" ht="12.75" customHeight="1">
      <c r="A630" s="1"/>
      <c r="B630" s="1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</row>
    <row r="631" ht="12.75" customHeight="1">
      <c r="A631" s="1"/>
      <c r="B631" s="1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</row>
    <row r="632" ht="12.75" customHeight="1">
      <c r="A632" s="1"/>
      <c r="B632" s="1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</row>
    <row r="633" ht="12.75" customHeight="1">
      <c r="A633" s="1"/>
      <c r="B633" s="1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</row>
    <row r="634" ht="12.75" customHeight="1">
      <c r="A634" s="1"/>
      <c r="B634" s="1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</row>
    <row r="635" ht="12.75" customHeight="1">
      <c r="A635" s="1"/>
      <c r="B635" s="1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</row>
    <row r="636" ht="12.75" customHeight="1">
      <c r="A636" s="1"/>
      <c r="B636" s="1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</row>
    <row r="637" ht="12.75" customHeight="1">
      <c r="A637" s="1"/>
      <c r="B637" s="1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</row>
    <row r="638" ht="12.75" customHeight="1">
      <c r="A638" s="1"/>
      <c r="B638" s="1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</row>
    <row r="639" ht="12.75" customHeight="1">
      <c r="A639" s="1"/>
      <c r="B639" s="1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</row>
    <row r="640" ht="12.75" customHeight="1">
      <c r="A640" s="1"/>
      <c r="B640" s="1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</row>
    <row r="641" ht="12.75" customHeight="1">
      <c r="A641" s="1"/>
      <c r="B641" s="1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</row>
    <row r="642" ht="12.75" customHeight="1">
      <c r="A642" s="1"/>
      <c r="B642" s="1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</row>
    <row r="643" ht="12.75" customHeight="1">
      <c r="A643" s="1"/>
      <c r="B643" s="1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</row>
    <row r="644" ht="12.75" customHeight="1">
      <c r="A644" s="1"/>
      <c r="B644" s="1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</row>
    <row r="645" ht="12.75" customHeight="1">
      <c r="A645" s="1"/>
      <c r="B645" s="1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</row>
    <row r="646" ht="12.75" customHeight="1">
      <c r="A646" s="1"/>
      <c r="B646" s="1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</row>
    <row r="647" ht="12.75" customHeight="1">
      <c r="A647" s="1"/>
      <c r="B647" s="1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</row>
    <row r="648" ht="12.75" customHeight="1">
      <c r="A648" s="1"/>
      <c r="B648" s="1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</row>
    <row r="649" ht="12.75" customHeight="1">
      <c r="A649" s="1"/>
      <c r="B649" s="1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</row>
    <row r="650" ht="12.75" customHeight="1">
      <c r="A650" s="1"/>
      <c r="B650" s="1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</row>
    <row r="651" ht="12.75" customHeight="1">
      <c r="A651" s="1"/>
      <c r="B651" s="1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</row>
    <row r="652" ht="12.75" customHeight="1">
      <c r="A652" s="1"/>
      <c r="B652" s="1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</row>
    <row r="653" ht="12.75" customHeight="1">
      <c r="A653" s="1"/>
      <c r="B653" s="1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</row>
    <row r="654" ht="12.75" customHeight="1">
      <c r="A654" s="1"/>
      <c r="B654" s="1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</row>
    <row r="655" ht="12.75" customHeight="1">
      <c r="A655" s="1"/>
      <c r="B655" s="1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</row>
    <row r="656" ht="12.75" customHeight="1">
      <c r="A656" s="1"/>
      <c r="B656" s="1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</row>
    <row r="657" ht="12.75" customHeight="1">
      <c r="A657" s="1"/>
      <c r="B657" s="1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</row>
    <row r="658" ht="12.75" customHeight="1">
      <c r="A658" s="1"/>
      <c r="B658" s="1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</row>
    <row r="659" ht="12.75" customHeight="1">
      <c r="A659" s="1"/>
      <c r="B659" s="1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</row>
    <row r="660" ht="12.75" customHeight="1">
      <c r="A660" s="1"/>
      <c r="B660" s="1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</row>
    <row r="661" ht="12.75" customHeight="1">
      <c r="A661" s="1"/>
      <c r="B661" s="1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</row>
    <row r="662" ht="12.75" customHeight="1">
      <c r="A662" s="1"/>
      <c r="B662" s="1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</row>
    <row r="663" ht="12.75" customHeight="1">
      <c r="A663" s="1"/>
      <c r="B663" s="1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</row>
    <row r="664" ht="12.75" customHeight="1">
      <c r="A664" s="1"/>
      <c r="B664" s="1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</row>
    <row r="665" ht="12.75" customHeight="1">
      <c r="A665" s="1"/>
      <c r="B665" s="1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</row>
    <row r="666" ht="12.75" customHeight="1">
      <c r="A666" s="1"/>
      <c r="B666" s="1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</row>
    <row r="667" ht="12.75" customHeight="1">
      <c r="A667" s="1"/>
      <c r="B667" s="1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</row>
    <row r="668" ht="12.75" customHeight="1">
      <c r="A668" s="1"/>
      <c r="B668" s="1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</row>
    <row r="669" ht="12.75" customHeight="1">
      <c r="A669" s="1"/>
      <c r="B669" s="1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</row>
    <row r="670" ht="12.75" customHeight="1">
      <c r="A670" s="1"/>
      <c r="B670" s="1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</row>
    <row r="671" ht="12.75" customHeight="1">
      <c r="A671" s="1"/>
      <c r="B671" s="1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</row>
    <row r="672" ht="12.75" customHeight="1">
      <c r="A672" s="1"/>
      <c r="B672" s="1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</row>
    <row r="673" ht="12.75" customHeight="1">
      <c r="A673" s="1"/>
      <c r="B673" s="1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</row>
    <row r="674" ht="12.75" customHeight="1">
      <c r="A674" s="1"/>
      <c r="B674" s="1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</row>
    <row r="675" ht="12.75" customHeight="1">
      <c r="A675" s="1"/>
      <c r="B675" s="1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</row>
    <row r="676" ht="12.75" customHeight="1">
      <c r="A676" s="1"/>
      <c r="B676" s="1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</row>
    <row r="677" ht="12.75" customHeight="1">
      <c r="A677" s="1"/>
      <c r="B677" s="1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</row>
    <row r="678" ht="12.75" customHeight="1">
      <c r="A678" s="1"/>
      <c r="B678" s="1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</row>
    <row r="679" ht="12.75" customHeight="1">
      <c r="A679" s="1"/>
      <c r="B679" s="1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</row>
    <row r="680" ht="12.75" customHeight="1">
      <c r="A680" s="1"/>
      <c r="B680" s="1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</row>
    <row r="681" ht="12.75" customHeight="1">
      <c r="A681" s="1"/>
      <c r="B681" s="1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</row>
    <row r="682" ht="12.75" customHeight="1">
      <c r="A682" s="1"/>
      <c r="B682" s="1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</row>
    <row r="683" ht="12.75" customHeight="1">
      <c r="A683" s="1"/>
      <c r="B683" s="1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</row>
    <row r="684" ht="12.75" customHeight="1">
      <c r="A684" s="1"/>
      <c r="B684" s="1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</row>
    <row r="685" ht="12.75" customHeight="1">
      <c r="A685" s="1"/>
      <c r="B685" s="1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</row>
    <row r="686" ht="12.75" customHeight="1">
      <c r="A686" s="1"/>
      <c r="B686" s="1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</row>
    <row r="687" ht="12.75" customHeight="1">
      <c r="A687" s="1"/>
      <c r="B687" s="1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</row>
    <row r="688" ht="12.75" customHeight="1">
      <c r="A688" s="1"/>
      <c r="B688" s="1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</row>
    <row r="689" ht="12.75" customHeight="1">
      <c r="A689" s="1"/>
      <c r="B689" s="1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</row>
    <row r="690" ht="12.75" customHeight="1">
      <c r="A690" s="1"/>
      <c r="B690" s="1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</row>
    <row r="691" ht="12.75" customHeight="1">
      <c r="A691" s="1"/>
      <c r="B691" s="1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</row>
    <row r="692" ht="12.75" customHeight="1">
      <c r="A692" s="1"/>
      <c r="B692" s="1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</row>
    <row r="693" ht="12.75" customHeight="1">
      <c r="A693" s="1"/>
      <c r="B693" s="1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</row>
    <row r="694" ht="12.75" customHeight="1">
      <c r="A694" s="1"/>
      <c r="B694" s="1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</row>
    <row r="695" ht="12.75" customHeight="1">
      <c r="A695" s="1"/>
      <c r="B695" s="1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</row>
    <row r="696" ht="12.75" customHeight="1">
      <c r="A696" s="1"/>
      <c r="B696" s="1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</row>
    <row r="697" ht="12.75" customHeight="1">
      <c r="A697" s="1"/>
      <c r="B697" s="1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</row>
    <row r="698" ht="12.75" customHeight="1">
      <c r="A698" s="1"/>
      <c r="B698" s="1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</row>
    <row r="699" ht="12.75" customHeight="1">
      <c r="A699" s="1"/>
      <c r="B699" s="1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</row>
    <row r="700" ht="12.75" customHeight="1">
      <c r="A700" s="1"/>
      <c r="B700" s="1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</row>
    <row r="701" ht="12.75" customHeight="1">
      <c r="A701" s="1"/>
      <c r="B701" s="1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</row>
    <row r="702" ht="12.75" customHeight="1">
      <c r="A702" s="1"/>
      <c r="B702" s="1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</row>
    <row r="703" ht="12.75" customHeight="1">
      <c r="A703" s="1"/>
      <c r="B703" s="1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</row>
    <row r="704" ht="12.75" customHeight="1">
      <c r="A704" s="1"/>
      <c r="B704" s="1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</row>
    <row r="705" ht="12.75" customHeight="1">
      <c r="A705" s="1"/>
      <c r="B705" s="1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</row>
    <row r="706" ht="12.75" customHeight="1">
      <c r="A706" s="1"/>
      <c r="B706" s="1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</row>
    <row r="707" ht="12.75" customHeight="1">
      <c r="A707" s="1"/>
      <c r="B707" s="1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</row>
    <row r="708" ht="12.75" customHeight="1">
      <c r="A708" s="1"/>
      <c r="B708" s="1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</row>
    <row r="709" ht="12.75" customHeight="1">
      <c r="A709" s="1"/>
      <c r="B709" s="1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</row>
    <row r="710" ht="12.75" customHeight="1">
      <c r="A710" s="1"/>
      <c r="B710" s="1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</row>
    <row r="711" ht="12.75" customHeight="1">
      <c r="A711" s="1"/>
      <c r="B711" s="1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</row>
    <row r="712" ht="12.75" customHeight="1">
      <c r="A712" s="1"/>
      <c r="B712" s="1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</row>
    <row r="713" ht="12.75" customHeight="1">
      <c r="A713" s="1"/>
      <c r="B713" s="1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</row>
    <row r="714" ht="12.75" customHeight="1">
      <c r="A714" s="1"/>
      <c r="B714" s="1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</row>
    <row r="715" ht="12.75" customHeight="1">
      <c r="A715" s="1"/>
      <c r="B715" s="1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</row>
    <row r="716" ht="12.75" customHeight="1">
      <c r="A716" s="1"/>
      <c r="B716" s="1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</row>
    <row r="717" ht="12.75" customHeight="1">
      <c r="A717" s="1"/>
      <c r="B717" s="1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</row>
    <row r="718" ht="12.75" customHeight="1">
      <c r="A718" s="1"/>
      <c r="B718" s="1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</row>
    <row r="719" ht="12.75" customHeight="1">
      <c r="A719" s="1"/>
      <c r="B719" s="1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</row>
    <row r="720" ht="12.75" customHeight="1">
      <c r="A720" s="1"/>
      <c r="B720" s="1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</row>
    <row r="721" ht="12.75" customHeight="1">
      <c r="A721" s="1"/>
      <c r="B721" s="1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</row>
    <row r="722" ht="12.75" customHeight="1">
      <c r="A722" s="1"/>
      <c r="B722" s="1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</row>
    <row r="723" ht="12.75" customHeight="1">
      <c r="A723" s="1"/>
      <c r="B723" s="1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</row>
    <row r="724" ht="12.75" customHeight="1">
      <c r="A724" s="1"/>
      <c r="B724" s="1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</row>
    <row r="725" ht="12.75" customHeight="1">
      <c r="A725" s="1"/>
      <c r="B725" s="1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</row>
    <row r="726" ht="12.75" customHeight="1">
      <c r="A726" s="1"/>
      <c r="B726" s="1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</row>
    <row r="727" ht="12.75" customHeight="1">
      <c r="A727" s="1"/>
      <c r="B727" s="1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</row>
    <row r="728" ht="12.75" customHeight="1">
      <c r="A728" s="1"/>
      <c r="B728" s="1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</row>
    <row r="729" ht="12.75" customHeight="1">
      <c r="A729" s="1"/>
      <c r="B729" s="1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</row>
    <row r="730" ht="12.75" customHeight="1">
      <c r="A730" s="1"/>
      <c r="B730" s="1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</row>
    <row r="731" ht="12.75" customHeight="1">
      <c r="A731" s="1"/>
      <c r="B731" s="1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</row>
    <row r="732" ht="12.75" customHeight="1">
      <c r="A732" s="1"/>
      <c r="B732" s="1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</row>
    <row r="733" ht="12.75" customHeight="1">
      <c r="A733" s="1"/>
      <c r="B733" s="1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</row>
    <row r="734" ht="12.75" customHeight="1">
      <c r="A734" s="1"/>
      <c r="B734" s="1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</row>
    <row r="735" ht="12.75" customHeight="1">
      <c r="A735" s="1"/>
      <c r="B735" s="1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</row>
    <row r="736" ht="12.75" customHeight="1">
      <c r="A736" s="1"/>
      <c r="B736" s="1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</row>
    <row r="737" ht="12.75" customHeight="1">
      <c r="A737" s="1"/>
      <c r="B737" s="1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</row>
    <row r="738" ht="12.75" customHeight="1">
      <c r="A738" s="1"/>
      <c r="B738" s="1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</row>
    <row r="739" ht="12.75" customHeight="1">
      <c r="A739" s="1"/>
      <c r="B739" s="1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</row>
    <row r="740" ht="12.75" customHeight="1">
      <c r="A740" s="1"/>
      <c r="B740" s="1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</row>
    <row r="741" ht="12.75" customHeight="1">
      <c r="A741" s="1"/>
      <c r="B741" s="1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</row>
    <row r="742" ht="12.75" customHeight="1">
      <c r="A742" s="1"/>
      <c r="B742" s="1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</row>
    <row r="743" ht="12.75" customHeight="1">
      <c r="A743" s="1"/>
      <c r="B743" s="1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</row>
    <row r="744" ht="12.75" customHeight="1">
      <c r="A744" s="1"/>
      <c r="B744" s="1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</row>
    <row r="745" ht="12.75" customHeight="1">
      <c r="A745" s="1"/>
      <c r="B745" s="1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</row>
    <row r="746" ht="12.75" customHeight="1">
      <c r="A746" s="1"/>
      <c r="B746" s="1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</row>
    <row r="747" ht="12.75" customHeight="1">
      <c r="A747" s="1"/>
      <c r="B747" s="1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</row>
    <row r="748" ht="12.75" customHeight="1">
      <c r="A748" s="1"/>
      <c r="B748" s="1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</row>
    <row r="749" ht="12.75" customHeight="1">
      <c r="A749" s="1"/>
      <c r="B749" s="1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</row>
    <row r="750" ht="12.75" customHeight="1">
      <c r="A750" s="1"/>
      <c r="B750" s="1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</row>
    <row r="751" ht="12.75" customHeight="1">
      <c r="A751" s="1"/>
      <c r="B751" s="1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</row>
    <row r="752" ht="12.75" customHeight="1">
      <c r="A752" s="1"/>
      <c r="B752" s="1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</row>
    <row r="753" ht="12.75" customHeight="1">
      <c r="A753" s="1"/>
      <c r="B753" s="1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</row>
    <row r="754" ht="12.75" customHeight="1">
      <c r="A754" s="1"/>
      <c r="B754" s="1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</row>
    <row r="755" ht="12.75" customHeight="1">
      <c r="A755" s="1"/>
      <c r="B755" s="1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</row>
    <row r="756" ht="12.75" customHeight="1">
      <c r="A756" s="1"/>
      <c r="B756" s="1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</row>
    <row r="757" ht="12.75" customHeight="1">
      <c r="A757" s="1"/>
      <c r="B757" s="1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</row>
    <row r="758" ht="12.75" customHeight="1">
      <c r="A758" s="1"/>
      <c r="B758" s="1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</row>
    <row r="759" ht="12.75" customHeight="1">
      <c r="A759" s="1"/>
      <c r="B759" s="1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</row>
    <row r="760" ht="12.75" customHeight="1">
      <c r="A760" s="1"/>
      <c r="B760" s="1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</row>
    <row r="761" ht="12.75" customHeight="1">
      <c r="A761" s="1"/>
      <c r="B761" s="1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</row>
    <row r="762" ht="12.75" customHeight="1">
      <c r="A762" s="1"/>
      <c r="B762" s="1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</row>
    <row r="763" ht="12.75" customHeight="1">
      <c r="A763" s="1"/>
      <c r="B763" s="1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</row>
    <row r="764" ht="12.75" customHeight="1">
      <c r="A764" s="1"/>
      <c r="B764" s="1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</row>
    <row r="765" ht="12.75" customHeight="1">
      <c r="A765" s="1"/>
      <c r="B765" s="1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</row>
    <row r="766" ht="12.75" customHeight="1">
      <c r="A766" s="1"/>
      <c r="B766" s="1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</row>
    <row r="767" ht="12.75" customHeight="1">
      <c r="A767" s="1"/>
      <c r="B767" s="1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</row>
    <row r="768" ht="12.75" customHeight="1">
      <c r="A768" s="1"/>
      <c r="B768" s="1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</row>
    <row r="769" ht="12.75" customHeight="1">
      <c r="A769" s="1"/>
      <c r="B769" s="1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</row>
    <row r="770" ht="12.75" customHeight="1">
      <c r="A770" s="1"/>
      <c r="B770" s="1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</row>
    <row r="771" ht="12.75" customHeight="1">
      <c r="A771" s="1"/>
      <c r="B771" s="1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</row>
    <row r="772" ht="12.75" customHeight="1">
      <c r="A772" s="1"/>
      <c r="B772" s="1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</row>
    <row r="773" ht="12.75" customHeight="1">
      <c r="A773" s="1"/>
      <c r="B773" s="1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</row>
    <row r="774" ht="12.75" customHeight="1">
      <c r="A774" s="1"/>
      <c r="B774" s="1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</row>
    <row r="775" ht="12.75" customHeight="1">
      <c r="A775" s="1"/>
      <c r="B775" s="1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</row>
    <row r="776" ht="12.75" customHeight="1">
      <c r="A776" s="1"/>
      <c r="B776" s="1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</row>
    <row r="777" ht="12.75" customHeight="1">
      <c r="A777" s="1"/>
      <c r="B777" s="1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</row>
    <row r="778" ht="12.75" customHeight="1">
      <c r="A778" s="1"/>
      <c r="B778" s="1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</row>
    <row r="779" ht="12.75" customHeight="1">
      <c r="A779" s="1"/>
      <c r="B779" s="1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</row>
    <row r="780" ht="12.75" customHeight="1">
      <c r="A780" s="1"/>
      <c r="B780" s="1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</row>
    <row r="781" ht="12.75" customHeight="1">
      <c r="A781" s="1"/>
      <c r="B781" s="1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</row>
    <row r="782" ht="12.75" customHeight="1">
      <c r="A782" s="1"/>
      <c r="B782" s="1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</row>
    <row r="783" ht="12.75" customHeight="1">
      <c r="A783" s="1"/>
      <c r="B783" s="1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</row>
    <row r="784" ht="12.75" customHeight="1">
      <c r="A784" s="1"/>
      <c r="B784" s="1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</row>
    <row r="785" ht="12.75" customHeight="1">
      <c r="A785" s="1"/>
      <c r="B785" s="1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</row>
    <row r="786" ht="12.75" customHeight="1">
      <c r="A786" s="1"/>
      <c r="B786" s="1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</row>
    <row r="787" ht="12.75" customHeight="1">
      <c r="A787" s="1"/>
      <c r="B787" s="1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</row>
    <row r="788" ht="12.75" customHeight="1">
      <c r="A788" s="1"/>
      <c r="B788" s="1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</row>
    <row r="789" ht="12.75" customHeight="1">
      <c r="A789" s="1"/>
      <c r="B789" s="1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</row>
    <row r="790" ht="12.75" customHeight="1">
      <c r="A790" s="1"/>
      <c r="B790" s="1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</row>
    <row r="791" ht="12.75" customHeight="1">
      <c r="A791" s="1"/>
      <c r="B791" s="1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</row>
    <row r="792" ht="12.75" customHeight="1">
      <c r="A792" s="1"/>
      <c r="B792" s="1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</row>
    <row r="793" ht="12.75" customHeight="1">
      <c r="A793" s="1"/>
      <c r="B793" s="1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</row>
    <row r="794" ht="12.75" customHeight="1">
      <c r="A794" s="1"/>
      <c r="B794" s="1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</row>
    <row r="795" ht="12.75" customHeight="1">
      <c r="A795" s="1"/>
      <c r="B795" s="1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</row>
    <row r="796" ht="12.75" customHeight="1">
      <c r="A796" s="1"/>
      <c r="B796" s="1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</row>
    <row r="797" ht="12.75" customHeight="1">
      <c r="A797" s="1"/>
      <c r="B797" s="1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</row>
    <row r="798" ht="12.75" customHeight="1">
      <c r="A798" s="1"/>
      <c r="B798" s="1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</row>
    <row r="799" ht="12.75" customHeight="1">
      <c r="A799" s="1"/>
      <c r="B799" s="1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</row>
    <row r="800" ht="12.75" customHeight="1">
      <c r="A800" s="1"/>
      <c r="B800" s="1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</row>
    <row r="801" ht="12.75" customHeight="1">
      <c r="A801" s="1"/>
      <c r="B801" s="1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</row>
    <row r="802" ht="12.75" customHeight="1">
      <c r="A802" s="1"/>
      <c r="B802" s="1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</row>
    <row r="803" ht="12.75" customHeight="1">
      <c r="A803" s="1"/>
      <c r="B803" s="1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</row>
    <row r="804" ht="12.75" customHeight="1">
      <c r="A804" s="1"/>
      <c r="B804" s="1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</row>
    <row r="805" ht="12.75" customHeight="1">
      <c r="A805" s="1"/>
      <c r="B805" s="1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</row>
    <row r="806" ht="12.75" customHeight="1">
      <c r="A806" s="1"/>
      <c r="B806" s="1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</row>
    <row r="807" ht="12.75" customHeight="1">
      <c r="A807" s="1"/>
      <c r="B807" s="1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</row>
    <row r="808" ht="12.75" customHeight="1">
      <c r="A808" s="1"/>
      <c r="B808" s="1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</row>
    <row r="809" ht="12.75" customHeight="1">
      <c r="A809" s="1"/>
      <c r="B809" s="1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</row>
    <row r="810" ht="12.75" customHeight="1">
      <c r="A810" s="1"/>
      <c r="B810" s="1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</row>
    <row r="811" ht="12.75" customHeight="1">
      <c r="A811" s="1"/>
      <c r="B811" s="1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</row>
    <row r="812" ht="12.75" customHeight="1">
      <c r="A812" s="1"/>
      <c r="B812" s="1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</row>
    <row r="813" ht="12.75" customHeight="1">
      <c r="A813" s="1"/>
      <c r="B813" s="1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</row>
    <row r="814" ht="12.75" customHeight="1">
      <c r="A814" s="1"/>
      <c r="B814" s="1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</row>
    <row r="815" ht="12.75" customHeight="1">
      <c r="A815" s="1"/>
      <c r="B815" s="1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</row>
    <row r="816" ht="12.75" customHeight="1">
      <c r="A816" s="1"/>
      <c r="B816" s="1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</row>
    <row r="817" ht="12.75" customHeight="1">
      <c r="A817" s="1"/>
      <c r="B817" s="1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</row>
    <row r="818" ht="12.75" customHeight="1">
      <c r="A818" s="1"/>
      <c r="B818" s="1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</row>
    <row r="819" ht="12.75" customHeight="1">
      <c r="A819" s="1"/>
      <c r="B819" s="1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</row>
    <row r="820" ht="12.75" customHeight="1">
      <c r="A820" s="1"/>
      <c r="B820" s="1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</row>
    <row r="821" ht="12.75" customHeight="1">
      <c r="A821" s="1"/>
      <c r="B821" s="1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</row>
    <row r="822" ht="12.75" customHeight="1">
      <c r="A822" s="1"/>
      <c r="B822" s="1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</row>
    <row r="823" ht="12.75" customHeight="1">
      <c r="A823" s="1"/>
      <c r="B823" s="1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</row>
    <row r="824" ht="12.75" customHeight="1">
      <c r="A824" s="1"/>
      <c r="B824" s="1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</row>
    <row r="825" ht="12.75" customHeight="1">
      <c r="A825" s="1"/>
      <c r="B825" s="1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</row>
    <row r="826" ht="12.75" customHeight="1">
      <c r="A826" s="1"/>
      <c r="B826" s="1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</row>
    <row r="827" ht="12.75" customHeight="1">
      <c r="A827" s="1"/>
      <c r="B827" s="1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</row>
    <row r="828" ht="12.75" customHeight="1">
      <c r="A828" s="1"/>
      <c r="B828" s="1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</row>
    <row r="829" ht="12.75" customHeight="1">
      <c r="A829" s="1"/>
      <c r="B829" s="1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</row>
    <row r="830" ht="12.75" customHeight="1">
      <c r="A830" s="1"/>
      <c r="B830" s="1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</row>
    <row r="831" ht="12.75" customHeight="1">
      <c r="A831" s="1"/>
      <c r="B831" s="1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</row>
    <row r="832" ht="12.75" customHeight="1">
      <c r="A832" s="1"/>
      <c r="B832" s="1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</row>
    <row r="833" ht="12.75" customHeight="1">
      <c r="A833" s="1"/>
      <c r="B833" s="1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</row>
    <row r="834" ht="12.75" customHeight="1">
      <c r="A834" s="1"/>
      <c r="B834" s="1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</row>
    <row r="835" ht="12.75" customHeight="1">
      <c r="A835" s="1"/>
      <c r="B835" s="1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</row>
    <row r="836" ht="12.75" customHeight="1">
      <c r="A836" s="1"/>
      <c r="B836" s="1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</row>
    <row r="837" ht="12.75" customHeight="1">
      <c r="A837" s="1"/>
      <c r="B837" s="1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</row>
    <row r="838" ht="12.75" customHeight="1">
      <c r="A838" s="1"/>
      <c r="B838" s="1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</row>
    <row r="839" ht="12.75" customHeight="1">
      <c r="A839" s="1"/>
      <c r="B839" s="1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</row>
    <row r="840" ht="12.75" customHeight="1">
      <c r="A840" s="1"/>
      <c r="B840" s="1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</row>
    <row r="841" ht="12.75" customHeight="1">
      <c r="A841" s="1"/>
      <c r="B841" s="1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</row>
    <row r="842" ht="12.75" customHeight="1">
      <c r="A842" s="1"/>
      <c r="B842" s="1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</row>
    <row r="843" ht="12.75" customHeight="1">
      <c r="A843" s="1"/>
      <c r="B843" s="1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</row>
    <row r="844" ht="12.75" customHeight="1">
      <c r="A844" s="1"/>
      <c r="B844" s="1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</row>
    <row r="845" ht="12.75" customHeight="1">
      <c r="A845" s="1"/>
      <c r="B845" s="1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</row>
    <row r="846" ht="12.75" customHeight="1">
      <c r="A846" s="1"/>
      <c r="B846" s="1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</row>
    <row r="847" ht="12.75" customHeight="1">
      <c r="A847" s="1"/>
      <c r="B847" s="1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</row>
    <row r="848" ht="12.75" customHeight="1">
      <c r="A848" s="1"/>
      <c r="B848" s="1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</row>
    <row r="849" ht="12.75" customHeight="1">
      <c r="A849" s="1"/>
      <c r="B849" s="1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</row>
    <row r="850" ht="12.75" customHeight="1">
      <c r="A850" s="1"/>
      <c r="B850" s="1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</row>
    <row r="851" ht="12.75" customHeight="1">
      <c r="A851" s="1"/>
      <c r="B851" s="1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</row>
    <row r="852" ht="12.75" customHeight="1">
      <c r="A852" s="1"/>
      <c r="B852" s="1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</row>
    <row r="853" ht="12.75" customHeight="1">
      <c r="A853" s="1"/>
      <c r="B853" s="1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</row>
    <row r="854" ht="12.75" customHeight="1">
      <c r="A854" s="1"/>
      <c r="B854" s="1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</row>
    <row r="855" ht="12.75" customHeight="1">
      <c r="A855" s="1"/>
      <c r="B855" s="1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</row>
    <row r="856" ht="12.75" customHeight="1">
      <c r="A856" s="1"/>
      <c r="B856" s="1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</row>
    <row r="857" ht="12.75" customHeight="1">
      <c r="A857" s="1"/>
      <c r="B857" s="1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</row>
    <row r="858" ht="12.75" customHeight="1">
      <c r="A858" s="1"/>
      <c r="B858" s="1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</row>
    <row r="859" ht="12.75" customHeight="1">
      <c r="A859" s="1"/>
      <c r="B859" s="1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</row>
    <row r="860" ht="12.75" customHeight="1">
      <c r="A860" s="1"/>
      <c r="B860" s="1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</row>
    <row r="861" ht="12.75" customHeight="1">
      <c r="A861" s="1"/>
      <c r="B861" s="1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</row>
    <row r="862" ht="12.75" customHeight="1">
      <c r="A862" s="1"/>
      <c r="B862" s="1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</row>
    <row r="863" ht="12.75" customHeight="1">
      <c r="A863" s="1"/>
      <c r="B863" s="1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</row>
    <row r="864" ht="12.75" customHeight="1">
      <c r="A864" s="1"/>
      <c r="B864" s="1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</row>
    <row r="865" ht="12.75" customHeight="1">
      <c r="A865" s="1"/>
      <c r="B865" s="1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</row>
    <row r="866" ht="12.75" customHeight="1">
      <c r="A866" s="1"/>
      <c r="B866" s="1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</row>
    <row r="867" ht="12.75" customHeight="1">
      <c r="A867" s="1"/>
      <c r="B867" s="1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</row>
    <row r="868" ht="12.75" customHeight="1">
      <c r="A868" s="1"/>
      <c r="B868" s="1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</row>
    <row r="869" ht="12.75" customHeight="1">
      <c r="A869" s="1"/>
      <c r="B869" s="1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</row>
    <row r="870" ht="12.75" customHeight="1">
      <c r="A870" s="1"/>
      <c r="B870" s="1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</row>
    <row r="871" ht="12.75" customHeight="1">
      <c r="A871" s="1"/>
      <c r="B871" s="1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</row>
    <row r="872" ht="12.75" customHeight="1">
      <c r="A872" s="1"/>
      <c r="B872" s="1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</row>
    <row r="873" ht="12.75" customHeight="1">
      <c r="A873" s="1"/>
      <c r="B873" s="1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</row>
    <row r="874" ht="12.75" customHeight="1">
      <c r="A874" s="1"/>
      <c r="B874" s="1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</row>
    <row r="875" ht="12.75" customHeight="1">
      <c r="A875" s="1"/>
      <c r="B875" s="1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</row>
    <row r="876" ht="12.75" customHeight="1">
      <c r="A876" s="1"/>
      <c r="B876" s="1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</row>
    <row r="877" ht="12.75" customHeight="1">
      <c r="A877" s="1"/>
      <c r="B877" s="1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</row>
    <row r="878" ht="12.75" customHeight="1">
      <c r="A878" s="1"/>
      <c r="B878" s="1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</row>
    <row r="879" ht="12.75" customHeight="1">
      <c r="A879" s="1"/>
      <c r="B879" s="1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</row>
    <row r="880" ht="12.75" customHeight="1">
      <c r="A880" s="1"/>
      <c r="B880" s="1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</row>
    <row r="881" ht="12.75" customHeight="1">
      <c r="A881" s="1"/>
      <c r="B881" s="1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</row>
    <row r="882" ht="12.75" customHeight="1">
      <c r="A882" s="1"/>
      <c r="B882" s="1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</row>
    <row r="883" ht="12.75" customHeight="1">
      <c r="A883" s="1"/>
      <c r="B883" s="1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</row>
    <row r="884" ht="12.75" customHeight="1">
      <c r="A884" s="1"/>
      <c r="B884" s="1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</row>
    <row r="885" ht="12.75" customHeight="1">
      <c r="A885" s="1"/>
      <c r="B885" s="1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</row>
    <row r="886" ht="12.75" customHeight="1">
      <c r="A886" s="1"/>
      <c r="B886" s="1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</row>
    <row r="887" ht="12.75" customHeight="1">
      <c r="A887" s="1"/>
      <c r="B887" s="1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</row>
    <row r="888" ht="12.75" customHeight="1">
      <c r="A888" s="1"/>
      <c r="B888" s="1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</row>
    <row r="889" ht="12.75" customHeight="1">
      <c r="A889" s="1"/>
      <c r="B889" s="1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</row>
    <row r="890" ht="12.75" customHeight="1">
      <c r="A890" s="1"/>
      <c r="B890" s="1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</row>
    <row r="891" ht="12.75" customHeight="1">
      <c r="A891" s="1"/>
      <c r="B891" s="1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</row>
    <row r="892" ht="12.75" customHeight="1">
      <c r="A892" s="1"/>
      <c r="B892" s="1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</row>
    <row r="893" ht="12.75" customHeight="1">
      <c r="A893" s="1"/>
      <c r="B893" s="1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</row>
    <row r="894" ht="12.75" customHeight="1">
      <c r="A894" s="1"/>
      <c r="B894" s="1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</row>
    <row r="895" ht="12.75" customHeight="1">
      <c r="A895" s="1"/>
      <c r="B895" s="1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</row>
    <row r="896" ht="12.75" customHeight="1">
      <c r="A896" s="1"/>
      <c r="B896" s="1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</row>
    <row r="897" ht="12.75" customHeight="1">
      <c r="A897" s="1"/>
      <c r="B897" s="1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</row>
    <row r="898" ht="12.75" customHeight="1">
      <c r="A898" s="1"/>
      <c r="B898" s="1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</row>
    <row r="899" ht="12.75" customHeight="1">
      <c r="A899" s="1"/>
      <c r="B899" s="1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</row>
    <row r="900" ht="12.75" customHeight="1">
      <c r="A900" s="1"/>
      <c r="B900" s="1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</row>
    <row r="901" ht="12.75" customHeight="1">
      <c r="A901" s="1"/>
      <c r="B901" s="1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</row>
    <row r="902" ht="12.75" customHeight="1">
      <c r="A902" s="1"/>
      <c r="B902" s="1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</row>
    <row r="903" ht="12.75" customHeight="1">
      <c r="A903" s="1"/>
      <c r="B903" s="1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</row>
    <row r="904" ht="12.75" customHeight="1">
      <c r="A904" s="1"/>
      <c r="B904" s="1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</row>
    <row r="905" ht="12.75" customHeight="1">
      <c r="A905" s="1"/>
      <c r="B905" s="1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</row>
    <row r="906" ht="12.75" customHeight="1">
      <c r="A906" s="1"/>
      <c r="B906" s="1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</row>
    <row r="907" ht="12.75" customHeight="1">
      <c r="A907" s="1"/>
      <c r="B907" s="1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</row>
    <row r="908" ht="12.75" customHeight="1">
      <c r="A908" s="1"/>
      <c r="B908" s="1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</row>
    <row r="909" ht="12.75" customHeight="1">
      <c r="A909" s="1"/>
      <c r="B909" s="1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</row>
    <row r="910" ht="12.75" customHeight="1">
      <c r="A910" s="1"/>
      <c r="B910" s="1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</row>
    <row r="911" ht="12.75" customHeight="1">
      <c r="A911" s="1"/>
      <c r="B911" s="1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</row>
    <row r="912" ht="12.75" customHeight="1">
      <c r="A912" s="1"/>
      <c r="B912" s="1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</row>
    <row r="913" ht="12.75" customHeight="1">
      <c r="A913" s="1"/>
      <c r="B913" s="1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</row>
    <row r="914" ht="12.75" customHeight="1">
      <c r="A914" s="1"/>
      <c r="B914" s="1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</row>
    <row r="915" ht="12.75" customHeight="1">
      <c r="A915" s="1"/>
      <c r="B915" s="1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</row>
    <row r="916" ht="12.75" customHeight="1">
      <c r="A916" s="1"/>
      <c r="B916" s="1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</row>
    <row r="917" ht="12.75" customHeight="1">
      <c r="A917" s="1"/>
      <c r="B917" s="1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</row>
    <row r="918" ht="12.75" customHeight="1">
      <c r="A918" s="1"/>
      <c r="B918" s="1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</row>
    <row r="919" ht="12.75" customHeight="1">
      <c r="A919" s="1"/>
      <c r="B919" s="1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</row>
    <row r="920" ht="12.75" customHeight="1">
      <c r="A920" s="1"/>
      <c r="B920" s="1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</row>
    <row r="921" ht="12.75" customHeight="1">
      <c r="A921" s="1"/>
      <c r="B921" s="1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</row>
    <row r="922" ht="12.75" customHeight="1">
      <c r="A922" s="1"/>
      <c r="B922" s="1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</row>
    <row r="923" ht="12.75" customHeight="1">
      <c r="A923" s="1"/>
      <c r="B923" s="1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</row>
    <row r="924" ht="12.75" customHeight="1">
      <c r="A924" s="1"/>
      <c r="B924" s="1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</row>
    <row r="925" ht="12.75" customHeight="1">
      <c r="A925" s="1"/>
      <c r="B925" s="1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</row>
    <row r="926" ht="12.75" customHeight="1">
      <c r="A926" s="1"/>
      <c r="B926" s="1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</row>
    <row r="927" ht="12.75" customHeight="1">
      <c r="A927" s="1"/>
      <c r="B927" s="1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</row>
    <row r="928" ht="12.75" customHeight="1">
      <c r="A928" s="1"/>
      <c r="B928" s="1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</row>
    <row r="929" ht="12.75" customHeight="1">
      <c r="A929" s="1"/>
      <c r="B929" s="1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</row>
    <row r="930" ht="12.75" customHeight="1">
      <c r="A930" s="1"/>
      <c r="B930" s="1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</row>
    <row r="931" ht="12.75" customHeight="1">
      <c r="A931" s="1"/>
      <c r="B931" s="1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</row>
    <row r="932" ht="12.75" customHeight="1">
      <c r="A932" s="1"/>
      <c r="B932" s="1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</row>
    <row r="933" ht="12.75" customHeight="1">
      <c r="A933" s="1"/>
      <c r="B933" s="1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</row>
    <row r="934" ht="12.75" customHeight="1">
      <c r="A934" s="1"/>
      <c r="B934" s="1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</row>
    <row r="935" ht="12.75" customHeight="1">
      <c r="A935" s="1"/>
      <c r="B935" s="1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</row>
    <row r="936" ht="12.75" customHeight="1">
      <c r="A936" s="1"/>
      <c r="B936" s="1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</row>
    <row r="937" ht="12.75" customHeight="1">
      <c r="A937" s="1"/>
      <c r="B937" s="1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</row>
    <row r="938" ht="12.75" customHeight="1">
      <c r="A938" s="1"/>
      <c r="B938" s="1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</row>
    <row r="939" ht="12.75" customHeight="1">
      <c r="A939" s="1"/>
      <c r="B939" s="1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</row>
    <row r="940" ht="12.75" customHeight="1">
      <c r="A940" s="1"/>
      <c r="B940" s="1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</row>
    <row r="941" ht="12.75" customHeight="1">
      <c r="A941" s="1"/>
      <c r="B941" s="1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</row>
    <row r="942" ht="12.75" customHeight="1">
      <c r="A942" s="1"/>
      <c r="B942" s="1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</row>
    <row r="943" ht="12.75" customHeight="1">
      <c r="A943" s="1"/>
      <c r="B943" s="1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</row>
    <row r="944" ht="12.75" customHeight="1">
      <c r="A944" s="1"/>
      <c r="B944" s="1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</row>
    <row r="945" ht="12.75" customHeight="1">
      <c r="A945" s="1"/>
      <c r="B945" s="1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</row>
    <row r="946" ht="12.75" customHeight="1">
      <c r="A946" s="1"/>
      <c r="B946" s="1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</row>
    <row r="947" ht="12.75" customHeight="1">
      <c r="A947" s="1"/>
      <c r="B947" s="1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</row>
    <row r="948" ht="12.75" customHeight="1">
      <c r="A948" s="1"/>
      <c r="B948" s="1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</row>
    <row r="949" ht="12.75" customHeight="1">
      <c r="A949" s="1"/>
      <c r="B949" s="1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</row>
    <row r="950" ht="12.75" customHeight="1">
      <c r="A950" s="1"/>
      <c r="B950" s="1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</row>
    <row r="951" ht="12.75" customHeight="1">
      <c r="A951" s="1"/>
      <c r="B951" s="1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</row>
    <row r="952" ht="12.75" customHeight="1">
      <c r="A952" s="1"/>
      <c r="B952" s="1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</row>
    <row r="953" ht="12.75" customHeight="1">
      <c r="A953" s="1"/>
      <c r="B953" s="1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</row>
    <row r="954" ht="12.75" customHeight="1">
      <c r="A954" s="1"/>
      <c r="B954" s="1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</row>
    <row r="955" ht="12.75" customHeight="1">
      <c r="A955" s="1"/>
      <c r="B955" s="1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</row>
    <row r="956" ht="12.75" customHeight="1">
      <c r="A956" s="1"/>
      <c r="B956" s="1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</row>
    <row r="957" ht="12.75" customHeight="1">
      <c r="A957" s="1"/>
      <c r="B957" s="1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</row>
    <row r="958" ht="12.75" customHeight="1">
      <c r="A958" s="1"/>
      <c r="B958" s="1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</row>
    <row r="959" ht="12.75" customHeight="1">
      <c r="A959" s="1"/>
      <c r="B959" s="1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</row>
    <row r="960" ht="12.75" customHeight="1">
      <c r="A960" s="1"/>
      <c r="B960" s="1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</row>
    <row r="961" ht="12.75" customHeight="1">
      <c r="A961" s="1"/>
      <c r="B961" s="1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</row>
    <row r="962" ht="12.75" customHeight="1">
      <c r="A962" s="1"/>
      <c r="B962" s="1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</row>
    <row r="963" ht="12.75" customHeight="1">
      <c r="A963" s="1"/>
      <c r="B963" s="1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</row>
    <row r="964" ht="12.75" customHeight="1">
      <c r="A964" s="1"/>
      <c r="B964" s="1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</row>
    <row r="965" ht="12.75" customHeight="1">
      <c r="A965" s="1"/>
      <c r="B965" s="1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</row>
    <row r="966" ht="12.75" customHeight="1">
      <c r="A966" s="1"/>
      <c r="B966" s="1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</row>
    <row r="967" ht="12.75" customHeight="1">
      <c r="A967" s="1"/>
      <c r="B967" s="1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</row>
    <row r="968" ht="12.75" customHeight="1">
      <c r="A968" s="1"/>
      <c r="B968" s="1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</row>
    <row r="969" ht="12.75" customHeight="1">
      <c r="A969" s="1"/>
      <c r="B969" s="1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</row>
    <row r="970" ht="12.75" customHeight="1">
      <c r="A970" s="1"/>
      <c r="B970" s="1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</row>
    <row r="971" ht="12.75" customHeight="1">
      <c r="A971" s="1"/>
      <c r="B971" s="1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</row>
    <row r="972" ht="12.75" customHeight="1">
      <c r="A972" s="1"/>
      <c r="B972" s="1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</row>
    <row r="973" ht="12.75" customHeight="1">
      <c r="A973" s="1"/>
      <c r="B973" s="1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</row>
    <row r="974" ht="12.75" customHeight="1">
      <c r="A974" s="1"/>
      <c r="B974" s="1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</row>
    <row r="975" ht="12.75" customHeight="1">
      <c r="A975" s="1"/>
      <c r="B975" s="1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</row>
    <row r="976" ht="12.75" customHeight="1">
      <c r="A976" s="1"/>
      <c r="B976" s="1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</row>
    <row r="977" ht="12.75" customHeight="1">
      <c r="A977" s="1"/>
      <c r="B977" s="1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</row>
    <row r="978" ht="12.75" customHeight="1">
      <c r="A978" s="1"/>
      <c r="B978" s="1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</row>
    <row r="979" ht="12.75" customHeight="1">
      <c r="A979" s="1"/>
      <c r="B979" s="1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</row>
    <row r="980" ht="12.75" customHeight="1">
      <c r="A980" s="1"/>
      <c r="B980" s="1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</row>
    <row r="981" ht="12.75" customHeight="1">
      <c r="A981" s="1"/>
      <c r="B981" s="1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</row>
    <row r="982" ht="12.75" customHeight="1">
      <c r="A982" s="1"/>
      <c r="B982" s="1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</row>
    <row r="983" ht="12.75" customHeight="1">
      <c r="A983" s="1"/>
      <c r="B983" s="1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</row>
    <row r="984" ht="12.75" customHeight="1">
      <c r="A984" s="1"/>
      <c r="B984" s="1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</row>
    <row r="985" ht="12.75" customHeight="1">
      <c r="A985" s="1"/>
      <c r="B985" s="1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</row>
    <row r="986" ht="12.75" customHeight="1">
      <c r="A986" s="1"/>
      <c r="B986" s="1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</row>
    <row r="987" ht="12.75" customHeight="1">
      <c r="A987" s="1"/>
      <c r="B987" s="1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</row>
    <row r="988" ht="12.75" customHeight="1">
      <c r="A988" s="1"/>
      <c r="B988" s="1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</row>
    <row r="989" ht="12.75" customHeight="1">
      <c r="A989" s="1"/>
      <c r="B989" s="1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</row>
    <row r="990" ht="12.75" customHeight="1">
      <c r="A990" s="1"/>
      <c r="B990" s="1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</row>
    <row r="991" ht="12.75" customHeight="1">
      <c r="A991" s="1"/>
      <c r="B991" s="1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</row>
    <row r="992" ht="12.75" customHeight="1">
      <c r="A992" s="1"/>
      <c r="B992" s="1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</row>
    <row r="993" ht="12.75" customHeight="1">
      <c r="A993" s="1"/>
      <c r="B993" s="1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</row>
    <row r="994" ht="12.75" customHeight="1">
      <c r="A994" s="1"/>
      <c r="B994" s="1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</row>
    <row r="995" ht="12.75" customHeight="1">
      <c r="A995" s="1"/>
      <c r="B995" s="1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</row>
    <row r="996" ht="12.75" customHeight="1">
      <c r="A996" s="1"/>
      <c r="B996" s="1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</row>
    <row r="997" ht="12.75" customHeight="1">
      <c r="A997" s="1"/>
      <c r="B997" s="1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</row>
    <row r="998" ht="12.75" customHeight="1">
      <c r="A998" s="1"/>
      <c r="B998" s="1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</row>
    <row r="999" ht="12.75" customHeight="1">
      <c r="A999" s="1"/>
      <c r="B999" s="1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</row>
    <row r="1000" ht="12.75" customHeight="1">
      <c r="A1000" s="1"/>
      <c r="B1000" s="1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</row>
  </sheetData>
  <hyperlinks>
    <hyperlink display="Main" location="Main!A1" ref="A1"/>
  </hyperlink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14"/>
    <col customWidth="1" min="3" max="3" width="11.71"/>
    <col customWidth="1" min="4" max="6" width="9.14"/>
    <col customWidth="1" min="7" max="26" width="8.71"/>
  </cols>
  <sheetData>
    <row r="1" ht="12.75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 t="s">
        <v>109</v>
      </c>
      <c r="C4" s="1" t="s">
        <v>110</v>
      </c>
      <c r="D4" s="1">
        <v>100000.0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 t="s">
        <v>111</v>
      </c>
      <c r="D5" s="1">
        <v>550000.0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 t="s">
        <v>112</v>
      </c>
      <c r="C6" s="1" t="s">
        <v>111</v>
      </c>
      <c r="D6" s="1">
        <v>750000.0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 t="s">
        <v>113</v>
      </c>
      <c r="C7" s="1" t="s">
        <v>114</v>
      </c>
      <c r="D7" s="1">
        <v>350000.0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 t="s">
        <v>115</v>
      </c>
      <c r="C8" s="1" t="s">
        <v>114</v>
      </c>
      <c r="D8" s="1">
        <v>250000.0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 t="s">
        <v>116</v>
      </c>
      <c r="D9" s="1">
        <v>300000.0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 t="s">
        <v>117</v>
      </c>
      <c r="C10" s="1" t="s">
        <v>118</v>
      </c>
      <c r="D10" s="1">
        <v>300000.0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 t="s">
        <v>119</v>
      </c>
      <c r="D11" s="1">
        <v>300000.0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 t="s">
        <v>120</v>
      </c>
      <c r="D12" s="1">
        <v>300000.0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